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6500" windowHeight="131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9" i="3" l="1"/>
  <c r="G39" i="3" l="1"/>
  <c r="C9" i="4" l="1"/>
  <c r="L18" i="29" l="1"/>
  <c r="L17" i="29"/>
  <c r="J31" i="8" l="1"/>
  <c r="H169" i="29"/>
  <c r="H170" i="29"/>
  <c r="F45" i="29"/>
  <c r="C325" i="29"/>
  <c r="D280" i="29"/>
  <c r="D268" i="29"/>
  <c r="D267" i="29"/>
  <c r="D266" i="29"/>
  <c r="D264" i="29"/>
  <c r="D259" i="29"/>
  <c r="D254" i="29"/>
  <c r="D246" i="29"/>
  <c r="D245" i="29"/>
  <c r="D234" i="29"/>
  <c r="D227" i="29"/>
  <c r="D223" i="29"/>
  <c r="D219" i="29"/>
  <c r="F182" i="29"/>
  <c r="E182" i="29"/>
  <c r="F55" i="29"/>
  <c r="D45" i="29"/>
  <c r="F75" i="29"/>
  <c r="E75" i="29"/>
  <c r="D75" i="29"/>
  <c r="C75" i="29"/>
  <c r="E49" i="29"/>
  <c r="C45" i="29"/>
  <c r="C158" i="5"/>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D7733" i="106" s="1"/>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c r="B6380" i="106"/>
  <c r="D6380" i="106" s="1"/>
  <c r="B6381" i="106"/>
  <c r="D6381" i="106" s="1"/>
  <c r="B6382" i="106"/>
  <c r="D6382" i="106" s="1"/>
  <c r="B6383" i="106"/>
  <c r="D6383" i="106" s="1"/>
  <c r="B6384" i="106"/>
  <c r="D6384" i="106"/>
  <c r="B6385" i="106"/>
  <c r="D6385" i="106" s="1"/>
  <c r="B6386" i="106"/>
  <c r="D6386" i="106" s="1"/>
  <c r="B6387" i="106"/>
  <c r="D6387" i="106" s="1"/>
  <c r="B6388" i="106"/>
  <c r="D6388" i="106" s="1"/>
  <c r="B6389" i="106"/>
  <c r="D6389" i="106" s="1"/>
  <c r="B6390" i="106"/>
  <c r="D6390" i="106" s="1"/>
  <c r="B6391" i="106"/>
  <c r="D6391" i="106" s="1"/>
  <c r="B6392" i="106"/>
  <c r="D6392" i="106"/>
  <c r="B6393" i="106"/>
  <c r="D6393" i="106" s="1"/>
  <c r="B6394" i="106"/>
  <c r="D6394" i="106" s="1"/>
  <c r="B6395" i="106"/>
  <c r="D6395" i="106" s="1"/>
  <c r="B6398" i="106"/>
  <c r="D6398" i="106" s="1"/>
  <c r="B6399" i="106"/>
  <c r="D6399" i="106" s="1"/>
  <c r="B6401" i="106"/>
  <c r="D6401" i="106" s="1"/>
  <c r="B6402" i="106"/>
  <c r="D6402" i="106" s="1"/>
  <c r="B6403" i="106"/>
  <c r="D6403" i="106"/>
  <c r="B6404" i="106"/>
  <c r="D6404" i="106" s="1"/>
  <c r="B6405" i="106"/>
  <c r="D6405" i="106" s="1"/>
  <c r="B6406" i="106"/>
  <c r="D6406" i="106" s="1"/>
  <c r="B6407" i="106"/>
  <c r="D6407" i="106" s="1"/>
  <c r="B6408" i="106"/>
  <c r="D6408" i="106" s="1"/>
  <c r="B6410" i="106"/>
  <c r="D6410" i="106" s="1"/>
  <c r="B6411" i="106"/>
  <c r="D6411" i="106" s="1"/>
  <c r="B6412" i="106"/>
  <c r="D6412" i="106"/>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c r="B6618" i="106"/>
  <c r="D6618" i="106" s="1"/>
  <c r="B6619" i="106"/>
  <c r="D6619" i="106" s="1"/>
  <c r="B6620" i="106"/>
  <c r="D6620" i="106" s="1"/>
  <c r="B6621" i="106"/>
  <c r="D6621" i="106" s="1"/>
  <c r="B6622" i="106"/>
  <c r="D6622" i="106" s="1"/>
  <c r="B6623" i="106"/>
  <c r="D6623" i="106" s="1"/>
  <c r="B6624" i="106"/>
  <c r="D6624" i="106" s="1"/>
  <c r="B6625" i="106"/>
  <c r="D6625" i="106"/>
  <c r="B6626" i="106"/>
  <c r="D6626" i="106" s="1"/>
  <c r="B6627" i="106"/>
  <c r="D6627" i="106" s="1"/>
  <c r="B6628" i="106"/>
  <c r="D6628" i="106" s="1"/>
  <c r="B6629" i="106"/>
  <c r="D6629" i="106" s="1"/>
  <c r="B6630" i="106"/>
  <c r="D6630" i="106" s="1"/>
  <c r="B6631" i="106"/>
  <c r="D6631" i="106" s="1"/>
  <c r="B6632" i="106"/>
  <c r="D6632" i="106" s="1"/>
  <c r="B6633" i="106"/>
  <c r="D6633" i="106"/>
  <c r="B6634" i="106"/>
  <c r="D6634" i="106" s="1"/>
  <c r="B6635" i="106"/>
  <c r="D6635" i="106" s="1"/>
  <c r="B6636" i="106"/>
  <c r="D6636" i="106" s="1"/>
  <c r="B6637" i="106"/>
  <c r="D6637" i="106" s="1"/>
  <c r="B6638" i="106"/>
  <c r="D6638" i="106" s="1"/>
  <c r="B6639" i="106"/>
  <c r="D6639" i="106" s="1"/>
  <c r="B6640" i="106"/>
  <c r="D6640" i="106" s="1"/>
  <c r="B6641" i="106"/>
  <c r="D6641" i="106"/>
  <c r="B6642" i="106"/>
  <c r="D6642" i="106" s="1"/>
  <c r="B6643" i="106"/>
  <c r="D6643" i="106" s="1"/>
  <c r="B6644" i="106"/>
  <c r="D6644" i="106" s="1"/>
  <c r="B6645" i="106"/>
  <c r="D6645" i="106" s="1"/>
  <c r="B6646" i="106"/>
  <c r="D6646" i="106" s="1"/>
  <c r="B6647" i="106"/>
  <c r="D6647" i="106" s="1"/>
  <c r="B6648" i="106"/>
  <c r="D6648" i="106" s="1"/>
  <c r="B6649" i="106"/>
  <c r="D6649" i="106"/>
  <c r="B6650" i="106"/>
  <c r="D6650" i="106" s="1"/>
  <c r="B6651" i="106"/>
  <c r="D6651" i="106" s="1"/>
  <c r="B6652" i="106"/>
  <c r="D6652" i="106" s="1"/>
  <c r="B6653" i="106"/>
  <c r="D6653" i="106" s="1"/>
  <c r="B6654" i="106"/>
  <c r="D6654" i="106" s="1"/>
  <c r="B6655" i="106"/>
  <c r="D6655" i="106" s="1"/>
  <c r="B6656" i="106"/>
  <c r="D6656" i="106" s="1"/>
  <c r="B6657" i="106"/>
  <c r="D6657" i="106"/>
  <c r="B6658" i="106"/>
  <c r="D6658" i="106" s="1"/>
  <c r="B6659" i="106"/>
  <c r="D6659" i="106" s="1"/>
  <c r="B6660" i="106"/>
  <c r="D6660" i="106" s="1"/>
  <c r="B6661" i="106"/>
  <c r="D6661" i="106" s="1"/>
  <c r="B6662" i="106"/>
  <c r="D6662" i="106" s="1"/>
  <c r="B6663" i="106"/>
  <c r="D6663" i="106" s="1"/>
  <c r="B6664" i="106"/>
  <c r="D6664" i="106" s="1"/>
  <c r="B6665" i="106"/>
  <c r="D6665" i="106"/>
  <c r="B6666" i="106"/>
  <c r="D6666" i="106" s="1"/>
  <c r="B6667" i="106"/>
  <c r="D6667" i="106" s="1"/>
  <c r="B6668" i="106"/>
  <c r="D6668" i="106" s="1"/>
  <c r="B6669" i="106"/>
  <c r="D6669" i="106" s="1"/>
  <c r="B6670" i="106"/>
  <c r="D6670" i="106" s="1"/>
  <c r="B6671" i="106"/>
  <c r="D6671" i="106" s="1"/>
  <c r="B6672" i="106"/>
  <c r="D6672" i="106" s="1"/>
  <c r="B6673" i="106"/>
  <c r="D6673" i="106"/>
  <c r="B6674" i="106"/>
  <c r="D6674" i="106" s="1"/>
  <c r="B6675" i="106"/>
  <c r="D6675" i="106" s="1"/>
  <c r="B6676" i="106"/>
  <c r="D6676" i="106" s="1"/>
  <c r="B6677" i="106"/>
  <c r="D6677" i="106" s="1"/>
  <c r="B6678" i="106"/>
  <c r="D6678" i="106" s="1"/>
  <c r="B6679" i="106"/>
  <c r="D6679" i="106" s="1"/>
  <c r="B6680" i="106"/>
  <c r="D6680" i="106" s="1"/>
  <c r="B6681" i="106"/>
  <c r="D6681" i="106"/>
  <c r="B6682" i="106"/>
  <c r="D6682" i="106" s="1"/>
  <c r="B6683" i="106"/>
  <c r="D6683" i="106" s="1"/>
  <c r="B6684" i="106"/>
  <c r="D6684" i="106" s="1"/>
  <c r="B6685" i="106"/>
  <c r="D6685" i="106" s="1"/>
  <c r="B6686" i="106"/>
  <c r="D6686" i="106" s="1"/>
  <c r="B6687" i="106"/>
  <c r="D6687" i="106" s="1"/>
  <c r="B6688" i="106"/>
  <c r="D6688" i="106" s="1"/>
  <c r="B6689" i="106"/>
  <c r="D6689" i="106"/>
  <c r="B6690" i="106"/>
  <c r="D6690" i="106" s="1"/>
  <c r="B6691" i="106"/>
  <c r="D6691" i="106" s="1"/>
  <c r="B6692" i="106"/>
  <c r="D6692" i="106" s="1"/>
  <c r="B6693" i="106"/>
  <c r="D6693" i="106" s="1"/>
  <c r="B6694" i="106"/>
  <c r="D6694" i="106" s="1"/>
  <c r="B6695" i="106"/>
  <c r="D6695" i="106" s="1"/>
  <c r="B6696" i="106"/>
  <c r="D6696" i="106" s="1"/>
  <c r="B6697" i="106"/>
  <c r="D6697" i="106"/>
  <c r="B6698" i="106"/>
  <c r="D6698" i="106" s="1"/>
  <c r="B6699" i="106"/>
  <c r="D6699" i="106" s="1"/>
  <c r="B6700" i="106"/>
  <c r="D6700" i="106" s="1"/>
  <c r="B6701" i="106"/>
  <c r="D6701" i="106" s="1"/>
  <c r="B6702" i="106"/>
  <c r="D6702" i="106" s="1"/>
  <c r="B6703" i="106"/>
  <c r="D6703" i="106" s="1"/>
  <c r="B6704" i="106"/>
  <c r="D6704" i="106" s="1"/>
  <c r="B6705" i="106"/>
  <c r="D6705" i="106"/>
  <c r="B6706" i="106"/>
  <c r="D6706" i="106" s="1"/>
  <c r="B6707" i="106"/>
  <c r="D6707" i="106" s="1"/>
  <c r="B6708" i="106"/>
  <c r="D6708" i="106" s="1"/>
  <c r="B6709" i="106"/>
  <c r="D6709" i="106" s="1"/>
  <c r="B6710" i="106"/>
  <c r="D6710" i="106" s="1"/>
  <c r="B6711" i="106"/>
  <c r="D6711" i="106" s="1"/>
  <c r="B6712" i="106"/>
  <c r="D6712" i="106" s="1"/>
  <c r="B6713" i="106"/>
  <c r="D6713" i="106"/>
  <c r="B6714" i="106"/>
  <c r="D6714" i="106" s="1"/>
  <c r="B6715" i="106"/>
  <c r="D6715" i="106" s="1"/>
  <c r="B6716" i="106"/>
  <c r="D6716" i="106" s="1"/>
  <c r="B6717" i="106"/>
  <c r="D6717" i="106" s="1"/>
  <c r="B6718" i="106"/>
  <c r="D6718" i="106" s="1"/>
  <c r="B6719" i="106"/>
  <c r="D6719" i="106" s="1"/>
  <c r="B6720" i="106"/>
  <c r="D6720" i="106" s="1"/>
  <c r="B6721" i="106"/>
  <c r="D6721" i="106"/>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J210" i="29"/>
  <c r="B7072" i="106" s="1"/>
  <c r="D7072" i="106" s="1"/>
  <c r="B7073" i="106"/>
  <c r="D7073"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E27" i="108"/>
  <c r="G27" i="108"/>
  <c r="F28" i="108"/>
  <c r="F31" i="108"/>
  <c r="F36" i="108"/>
  <c r="G28" i="108"/>
  <c r="G29" i="108"/>
  <c r="E30" i="108"/>
  <c r="G30" i="108"/>
  <c r="D31" i="108"/>
  <c r="D36" i="108"/>
  <c r="E31" i="108"/>
  <c r="G31" i="108"/>
  <c r="E33" i="108"/>
  <c r="G33" i="108"/>
  <c r="E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F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s="1"/>
  <c r="D6400" i="106" s="1"/>
  <c r="K178" i="5"/>
  <c r="K274" i="5"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G5" i="4"/>
  <c r="B3409" i="106" s="1"/>
  <c r="D3409"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J22" i="37"/>
  <c r="D24" i="37"/>
  <c r="B4270" i="106" s="1"/>
  <c r="D4270" i="106" s="1"/>
  <c r="D4" i="7"/>
  <c r="B1760" i="106" s="1"/>
  <c r="D1760" i="106" s="1"/>
  <c r="D13" i="7"/>
  <c r="B3726" i="106" s="1"/>
  <c r="D3726" i="106" s="1"/>
  <c r="B5752" i="106"/>
  <c r="D5752" i="106" s="1"/>
  <c r="D7" i="7"/>
  <c r="B1763" i="106" s="1"/>
  <c r="D1763" i="106" s="1"/>
  <c r="D54" i="36" l="1"/>
  <c r="L13" i="11"/>
  <c r="B2060" i="106" s="1"/>
  <c r="D2060" i="106" s="1"/>
  <c r="L342" i="29"/>
  <c r="D69" i="36"/>
  <c r="F67" i="34"/>
  <c r="E29" i="108"/>
  <c r="F27" i="108"/>
  <c r="F41" i="108" s="1"/>
  <c r="G43" i="108" s="1"/>
  <c r="D12" i="7"/>
  <c r="B1769" i="106" s="1"/>
  <c r="D1769" i="106" s="1"/>
  <c r="B5096" i="106"/>
  <c r="D5096" i="106" s="1"/>
  <c r="H29" i="118"/>
  <c r="D11" i="37"/>
  <c r="D31" i="36"/>
  <c r="F136" i="34"/>
  <c r="N22" i="3"/>
  <c r="B283" i="106" s="1"/>
  <c r="D283" i="106" s="1"/>
  <c r="D5" i="4"/>
  <c r="B3406" i="106" s="1"/>
  <c r="D3406" i="106" s="1"/>
  <c r="H173" i="5"/>
  <c r="B5906" i="106" s="1"/>
  <c r="D5906" i="106" s="1"/>
  <c r="D9" i="7"/>
  <c r="B1767" i="106" s="1"/>
  <c r="D1767" i="106" s="1"/>
  <c r="L22" i="37"/>
  <c r="G172" i="5"/>
  <c r="G173" i="5" s="1"/>
  <c r="B5778" i="106" s="1"/>
  <c r="D5778" i="106" s="1"/>
  <c r="F34" i="34"/>
  <c r="B6289" i="106"/>
  <c r="D6289" i="106" s="1"/>
  <c r="L15" i="11"/>
  <c r="B3459" i="106" s="1"/>
  <c r="D3459" i="106" s="1"/>
  <c r="C109" i="5"/>
  <c r="B5121" i="106" s="1"/>
  <c r="D5121" i="106" s="1"/>
  <c r="I342" i="29"/>
  <c r="B7222" i="106" s="1"/>
  <c r="D7222" i="106" s="1"/>
  <c r="K76" i="4"/>
  <c r="B3586" i="106" s="1"/>
  <c r="D3586" i="106" s="1"/>
  <c r="E174" i="29"/>
  <c r="B1309" i="106" s="1"/>
  <c r="D1309" i="106" s="1"/>
  <c r="L5" i="11"/>
  <c r="B2056" i="106" s="1"/>
  <c r="D2056" i="106" s="1"/>
  <c r="D22" i="37"/>
  <c r="F172" i="5"/>
  <c r="B5644" i="106" s="1"/>
  <c r="D5644" i="106" s="1"/>
  <c r="F35" i="34"/>
  <c r="D37" i="108"/>
  <c r="F37" i="108"/>
  <c r="E28" i="108"/>
  <c r="D26" i="108"/>
  <c r="B7235" i="106"/>
  <c r="D7235" i="106" s="1"/>
  <c r="C342" i="29"/>
  <c r="B7216" i="106" s="1"/>
  <c r="D7216" i="106" s="1"/>
  <c r="F77" i="4"/>
  <c r="B3255" i="106" s="1"/>
  <c r="D3255" i="106" s="1"/>
  <c r="F106" i="34"/>
  <c r="B1223" i="106"/>
  <c r="D1223" i="106" s="1"/>
  <c r="B1126" i="106"/>
  <c r="D1126" i="106" s="1"/>
  <c r="H6" i="4"/>
  <c r="B2656" i="106" s="1"/>
  <c r="D2656" i="106" s="1"/>
  <c r="H109" i="5"/>
  <c r="B6025" i="106" s="1"/>
  <c r="D6025" i="106" s="1"/>
  <c r="F62" i="34"/>
  <c r="F49" i="34"/>
  <c r="F41" i="34"/>
  <c r="G39" i="108"/>
  <c r="B7047" i="106"/>
  <c r="D7047" i="106" s="1"/>
  <c r="D17" i="7"/>
  <c r="B4104" i="106" s="1"/>
  <c r="D4104" i="106" s="1"/>
  <c r="C172" i="5"/>
  <c r="B5214" i="106" s="1"/>
  <c r="D5214" i="106" s="1"/>
  <c r="F127" i="34"/>
  <c r="D5" i="7"/>
  <c r="B1761" i="106" s="1"/>
  <c r="D1761" i="106" s="1"/>
  <c r="H33" i="118"/>
  <c r="F128" i="34"/>
  <c r="B4951" i="106"/>
  <c r="D4951" i="106" s="1"/>
  <c r="L367" i="29"/>
  <c r="F19" i="7"/>
  <c r="B1807" i="106" s="1"/>
  <c r="D1807" i="106" s="1"/>
  <c r="F71" i="34"/>
  <c r="F50" i="34"/>
  <c r="F42" i="34"/>
  <c r="F26" i="108"/>
  <c r="K26" i="12"/>
  <c r="B7743" i="106" s="1"/>
  <c r="D7743" i="106" s="1"/>
  <c r="K350" i="29"/>
  <c r="K352" i="29" s="1"/>
  <c r="B5770" i="106"/>
  <c r="D5770" i="106" s="1"/>
  <c r="B3565" i="106"/>
  <c r="D3565" i="106" s="1"/>
  <c r="K41" i="3"/>
  <c r="B6191" i="106"/>
  <c r="D6191" i="106" s="1"/>
  <c r="J41" i="3"/>
  <c r="B6216" i="106" s="1"/>
  <c r="D6216" i="106" s="1"/>
  <c r="D15" i="7"/>
  <c r="B1772" i="106" s="1"/>
  <c r="D1772" i="106" s="1"/>
  <c r="B1746" i="106"/>
  <c r="D1746" i="106" s="1"/>
  <c r="D109" i="5"/>
  <c r="F130" i="34"/>
  <c r="K28" i="118"/>
  <c r="O27" i="118" s="1"/>
  <c r="O29" i="118" s="1"/>
  <c r="G109" i="5"/>
  <c r="H342" i="29"/>
  <c r="B7071" i="106"/>
  <c r="D7071" i="106" s="1"/>
  <c r="F66" i="34"/>
  <c r="I173" i="5"/>
  <c r="B4216" i="106" s="1"/>
  <c r="D4216" i="106" s="1"/>
  <c r="D11" i="7"/>
  <c r="B1768" i="106" s="1"/>
  <c r="D1768" i="106" s="1"/>
  <c r="F111" i="34"/>
  <c r="F131" i="34"/>
  <c r="B7041" i="106"/>
  <c r="D7041" i="106" s="1"/>
  <c r="E109" i="5"/>
  <c r="E4" i="4" s="1"/>
  <c r="B2630" i="106" s="1"/>
  <c r="D2630" i="106" s="1"/>
  <c r="L312" i="29"/>
  <c r="F45" i="34"/>
  <c r="F36" i="34"/>
  <c r="B3658" i="106"/>
  <c r="D3658" i="106" s="1"/>
  <c r="H365" i="29"/>
  <c r="B3649" i="106"/>
  <c r="D3649" i="106" s="1"/>
  <c r="G367" i="29"/>
  <c r="B3619" i="106"/>
  <c r="D3619" i="106" s="1"/>
  <c r="C352" i="29"/>
  <c r="F21" i="8"/>
  <c r="B3689" i="106"/>
  <c r="D3689" i="106" s="1"/>
  <c r="J77" i="4"/>
  <c r="B6262" i="106" s="1"/>
  <c r="D6262" i="106" s="1"/>
  <c r="B3670" i="106"/>
  <c r="D3670" i="106" s="1"/>
  <c r="B3170" i="106"/>
  <c r="D3170" i="106" s="1"/>
  <c r="H76" i="4"/>
  <c r="B3298" i="106" s="1"/>
  <c r="D3298" i="106" s="1"/>
  <c r="B1995" i="106"/>
  <c r="D1995" i="106" s="1"/>
  <c r="I24" i="12"/>
  <c r="B3647" i="106"/>
  <c r="D3647" i="106" s="1"/>
  <c r="G210" i="29"/>
  <c r="D6103" i="106"/>
  <c r="K285" i="29"/>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7270" i="106"/>
  <c r="L16" i="11" l="1"/>
  <c r="B2061" i="106" s="1"/>
  <c r="D2061" i="106" s="1"/>
  <c r="B2031" i="106"/>
  <c r="D2031" i="106" s="1"/>
  <c r="L114" i="29"/>
  <c r="N23" i="3"/>
  <c r="B284" i="106" s="1"/>
  <c r="D284" i="106" s="1"/>
  <c r="B5527" i="106"/>
  <c r="D5527" i="106" s="1"/>
  <c r="C173" i="5"/>
  <c r="B5223" i="106" s="1"/>
  <c r="D5223" i="106" s="1"/>
  <c r="D19" i="7"/>
  <c r="B1775" i="106" s="1"/>
  <c r="D1775" i="106" s="1"/>
  <c r="C4" i="4"/>
  <c r="B2551" i="106" s="1"/>
  <c r="D2551" i="106" s="1"/>
  <c r="D44" i="36"/>
  <c r="D41" i="108"/>
  <c r="E43" i="108" s="1"/>
  <c r="K13" i="4"/>
  <c r="B3572" i="106" s="1"/>
  <c r="D3572" i="106" s="1"/>
  <c r="B3672" i="106"/>
  <c r="D3672" i="106" s="1"/>
  <c r="K367" i="29"/>
  <c r="D51" i="36"/>
  <c r="D7255" i="106"/>
  <c r="D7256" i="106"/>
  <c r="D7251" i="106"/>
  <c r="C114" i="29"/>
  <c r="B757" i="106" s="1"/>
  <c r="D757" i="106" s="1"/>
  <c r="H4" i="4"/>
  <c r="H275" i="5"/>
  <c r="D7252" i="106"/>
  <c r="B1317" i="106"/>
  <c r="D1317" i="106" s="1"/>
  <c r="D7253" i="106"/>
  <c r="F274" i="5"/>
  <c r="F275" i="5" s="1"/>
  <c r="B5720" i="106" s="1"/>
  <c r="D5720" i="106" s="1"/>
  <c r="K342" i="29"/>
  <c r="F13" i="34" s="1"/>
  <c r="B3621" i="106"/>
  <c r="D3621" i="106" s="1"/>
  <c r="C367" i="29"/>
  <c r="B3622" i="106" s="1"/>
  <c r="D3622" i="106" s="1"/>
  <c r="H367" i="29"/>
  <c r="B3660" i="106" s="1"/>
  <c r="D3660" i="106" s="1"/>
  <c r="B7242" i="106"/>
  <c r="D7242" i="106" s="1"/>
  <c r="B1365" i="106"/>
  <c r="D1365" i="106" s="1"/>
  <c r="F65" i="34"/>
  <c r="B5356" i="106"/>
  <c r="D5356" i="106" s="1"/>
  <c r="D4" i="4"/>
  <c r="B2564" i="106" s="1"/>
  <c r="D2564" i="106" s="1"/>
  <c r="B6024" i="106"/>
  <c r="D6024" i="106" s="1"/>
  <c r="G4" i="4"/>
  <c r="B2603" i="106" s="1"/>
  <c r="D2603" i="106" s="1"/>
  <c r="B3568" i="106"/>
  <c r="D3568" i="106" s="1"/>
  <c r="D52" i="36"/>
  <c r="F73" i="34"/>
  <c r="G15" i="4"/>
  <c r="B6032" i="106" s="1"/>
  <c r="D6032" i="106" s="1"/>
  <c r="B1996" i="106"/>
  <c r="D1996" i="106" s="1"/>
  <c r="I26" i="12"/>
  <c r="B7741" i="106" s="1"/>
  <c r="D7741" i="106" s="1"/>
  <c r="B1879" i="106"/>
  <c r="D1879" i="106" s="1"/>
  <c r="H22" i="37"/>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C6" i="4" l="1"/>
  <c r="B2553" i="106" s="1"/>
  <c r="D2553" i="106" s="1"/>
  <c r="G41" i="108"/>
  <c r="G44" i="108" s="1"/>
  <c r="G45" i="108" s="1"/>
  <c r="J17" i="4"/>
  <c r="B6227" i="106" s="1"/>
  <c r="D6227" i="106" s="1"/>
  <c r="B2655" i="106"/>
  <c r="D2655" i="106" s="1"/>
  <c r="H8" i="4"/>
  <c r="J8" i="4"/>
  <c r="J10" i="4" s="1"/>
  <c r="B6225" i="106" s="1"/>
  <c r="D6225" i="106" s="1"/>
  <c r="F8" i="4"/>
  <c r="B2595" i="106" s="1"/>
  <c r="D259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D8" i="4"/>
  <c r="B2567" i="106"/>
  <c r="D2567" i="106" s="1"/>
  <c r="J19" i="4" l="1"/>
  <c r="B6229" i="106" s="1"/>
  <c r="D6229" i="106" s="1"/>
  <c r="J20" i="4"/>
  <c r="H10" i="4"/>
  <c r="B4127" i="106" s="1"/>
  <c r="D4127" i="106" s="1"/>
  <c r="B2658" i="106"/>
  <c r="D265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<sst xmlns="http://schemas.openxmlformats.org/spreadsheetml/2006/main" count="5054" uniqueCount="2113">
  <si>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</si>
  <si>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</si>
  <si>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</si>
  <si>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</si>
  <si>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</si>
  <si>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</si>
  <si>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</si>
  <si>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</si>
  <si>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</si>
  <si>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</si>
  <si>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</si>
  <si>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</si>
  <si>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</si>
  <si>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</si>
  <si>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</si>
  <si>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</si>
  <si>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</si>
  <si>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</si>
  <si>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</si>
  <si>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</si>
  <si>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</si>
  <si>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</si>
  <si>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</si>
  <si>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</si>
  <si>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</si>
  <si>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</si>
  <si>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</si>
  <si>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</si>
  <si>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</si>
  <si>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</si>
  <si>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</si>
  <si>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</si>
  <si>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</si>
  <si>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</si>
  <si>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</si>
  <si>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</si>
  <si>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</si>
  <si>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</si>
  <si>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</si>
  <si>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</si>
  <si>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</si>
  <si>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</si>
  <si>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</si>
  <si>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</si>
  <si>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</si>
  <si>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</si>
  <si>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</si>
  <si>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</si>
  <si>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</si>
  <si>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</si>
  <si>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</si>
  <si>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</si>
  <si>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</si>
  <si>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</si>
  <si>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</si>
  <si>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</si>
  <si>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</si>
  <si>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</si>
  <si>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</si>
  <si>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</si>
  <si>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</si>
  <si>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</si>
  <si>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</si>
  <si>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</si>
  <si>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</si>
  <si>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</si>
  <si>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</si>
  <si>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</si>
  <si>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</si>
  <si>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</si>
  <si>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</si>
  <si>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</si>
  <si>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</si>
  <si>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</si>
  <si>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</si>
  <si>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</si>
  <si>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</si>
  <si>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</si>
  <si>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</si>
  <si>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</si>
  <si>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</si>
  <si>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</si>
  <si>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</si>
  <si>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</si>
  <si>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</si>
  <si>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</si>
  <si>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</si>
  <si>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</si>
  <si>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</si>
  <si>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</si>
  <si>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</si>
  <si>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</si>
  <si>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</si>
  <si>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</si>
  <si>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</si>
  <si>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</si>
  <si>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</si>
  <si>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</si>
  <si>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</si>
  <si>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</si>
  <si>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</si>
  <si>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</si>
  <si>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</si>
  <si>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</si>
  <si>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</si>
  <si>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</si>
  <si>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</si>
  <si>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</si>
  <si>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</si>
  <si>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</si>
  <si>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</si>
  <si>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</si>
  <si>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</si>
  <si>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</si>
  <si>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</si>
  <si>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</si>
  <si>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</si>
  <si>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</si>
  <si>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</si>
  <si>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</si>
  <si>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</si>
  <si>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</si>
  <si>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</si>
  <si>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</si>
  <si>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</si>
  <si>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</si>
  <si>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</si>
  <si>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</si>
  <si>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</si>
  <si>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</si>
  <si>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</si>
  <si>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</si>
  <si>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</si>
  <si>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</si>
  <si>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</si>
  <si>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</si>
  <si>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</si>
  <si>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</si>
  <si>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</si>
  <si>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</si>
  <si>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</si>
  <si>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</si>
  <si>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</si>
  <si>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</si>
  <si>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</si>
  <si>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</si>
  <si>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</si>
  <si>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</si>
  <si>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</si>
  <si>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</si>
  <si>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</si>
  <si>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</si>
  <si>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</si>
  <si>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</si>
  <si>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</si>
  <si>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</si>
  <si>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</si>
  <si>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</si>
  <si>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</si>
  <si>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</si>
  <si>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</si>
  <si>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</si>
  <si>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</si>
  <si>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</si>
  <si>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</si>
  <si>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</si>
  <si>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</si>
  <si>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</si>
  <si>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</si>
  <si>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</si>
  <si>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</si>
  <si>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</si>
  <si>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</si>
  <si>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</si>
  <si>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</si>
  <si>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</si>
  <si>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</si>
  <si>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</si>
  <si>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</si>
  <si>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</si>
  <si>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</si>
  <si>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</si>
  <si>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</si>
  <si>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</si>
  <si>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</si>
  <si>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</si>
  <si>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</si>
  <si>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</si>
  <si>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</si>
  <si>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</si>
  <si>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</si>
  <si>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</si>
  <si>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</si>
  <si>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</si>
  <si>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</si>
  <si>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</si>
  <si>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</si>
  <si>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</si>
  <si>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</si>
  <si>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</si>
  <si>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</si>
  <si>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</si>
  <si>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</si>
  <si>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</si>
  <si>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</si>
  <si>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</si>
  <si>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</si>
  <si>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</si>
  <si>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</si>
  <si>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</si>
  <si>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</si>
  <si>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</si>
  <si>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</si>
  <si>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</si>
  <si>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</si>
  <si>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</si>
  <si>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</si>
  <si>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</si>
  <si>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</si>
  <si>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</si>
  <si>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</si>
  <si>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</si>
  <si>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</si>
  <si>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</si>
  <si>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</si>
  <si>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</si>
  <si>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</si>
  <si>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</si>
  <si>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</si>
  <si>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</si>
  <si>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</si>
  <si>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</si>
  <si>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</si>
  <si>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</si>
  <si>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</si>
  <si>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</si>
  <si>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</si>
  <si>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</si>
  <si>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</si>
  <si>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</si>
  <si>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</si>
  <si>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</si>
  <si>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</si>
  <si>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</si>
  <si>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</si>
  <si>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</si>
  <si>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</si>
  <si>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</si>
  <si>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</si>
  <si>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</si>
  <si>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</si>
  <si>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</si>
  <si>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</si>
  <si>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</si>
  <si>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</si>
  <si>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</si>
  <si>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</si>
  <si>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</si>
  <si>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</si>
  <si>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</si>
  <si>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</si>
  <si>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</si>
  <si>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</si>
  <si>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</si>
  <si>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</si>
  <si>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</si>
  <si>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</si>
  <si>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</si>
  <si>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</si>
  <si>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</si>
  <si>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</si>
  <si>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</si>
  <si>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</si>
  <si>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</si>
  <si>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</si>
  <si>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</si>
  <si>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</si>
  <si>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</si>
  <si>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</si>
  <si>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</si>
  <si>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</si>
  <si>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</si>
  <si>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</si>
  <si>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</si>
  <si>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</si>
  <si>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</si>
  <si>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</si>
  <si>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</si>
  <si>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</si>
  <si>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</si>
  <si>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</si>
  <si>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</si>
  <si>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</si>
  <si>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</si>
  <si>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</si>
  <si>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</si>
  <si>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</si>
  <si>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</si>
  <si>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</si>
  <si>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</si>
  <si>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</si>
  <si>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</si>
  <si>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</si>
  <si>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</si>
  <si>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</si>
  <si>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</si>
  <si>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</si>
  <si>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</si>
  <si>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</si>
  <si>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</si>
  <si>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</si>
  <si>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</si>
  <si>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</si>
  <si>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</si>
  <si>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</si>
  <si>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</si>
  <si>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</si>
  <si>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</si>
  <si>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</si>
  <si>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</si>
  <si>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</si>
  <si>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</si>
  <si>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</si>
  <si>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</si>
  <si>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</si>
  <si>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</si>
  <si>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</si>
  <si>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</si>
  <si>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</si>
  <si>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</si>
  <si>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</si>
  <si>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</si>
  <si>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</si>
  <si>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</si>
  <si>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</si>
  <si>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</si>
  <si>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</si>
  <si>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</si>
  <si>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</si>
  <si>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</si>
  <si>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</si>
  <si>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</si>
  <si>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</si>
  <si>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</si>
  <si>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</si>
  <si>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</si>
  <si>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</si>
  <si>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</si>
  <si>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</si>
  <si>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</si>
  <si>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</si>
  <si>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</si>
  <si>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</si>
  <si>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</si>
  <si>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</si>
  <si>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</si>
  <si>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</si>
  <si>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</si>
  <si>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</si>
  <si>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</si>
  <si>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</si>
  <si>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</si>
  <si>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</si>
  <si>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</si>
  <si>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</si>
  <si>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</si>
  <si>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</si>
  <si>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</si>
  <si>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</si>
  <si>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</si>
  <si>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</si>
  <si>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</si>
  <si>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</si>
  <si>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</si>
  <si>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</si>
  <si>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</si>
  <si>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</si>
  <si>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</si>
  <si>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</si>
  <si>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</si>
  <si>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</si>
  <si>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</si>
  <si>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</si>
  <si>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</si>
  <si>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</si>
  <si>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</si>
  <si>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</si>
  <si>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</si>
  <si>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</si>
  <si>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</si>
  <si>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</si>
  <si>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</si>
  <si>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</si>
  <si>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</si>
  <si>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</si>
  <si>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</si>
  <si>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</si>
  <si>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</si>
  <si>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</si>
  <si>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</si>
  <si>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</si>
  <si>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</si>
  <si>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</si>
  <si>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</si>
  <si>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</si>
  <si>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</si>
  <si>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</si>
  <si>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</si>
  <si>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</si>
  <si>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</si>
  <si>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</si>
  <si>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</si>
  <si>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</si>
  <si>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</si>
  <si>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</si>
  <si>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</si>
  <si>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</si>
  <si>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</si>
  <si>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</si>
  <si>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</si>
  <si>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</si>
  <si>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</si>
  <si>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</si>
  <si>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</si>
  <si>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</si>
  <si>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</si>
  <si>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</si>
  <si>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</si>
  <si>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</si>
  <si>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</si>
  <si>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</si>
  <si>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</si>
  <si>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</si>
  <si>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</si>
  <si>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</si>
  <si>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</si>
  <si>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</si>
  <si>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</si>
  <si>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</si>
  <si>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</si>
  <si>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</si>
  <si>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</si>
  <si>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</si>
  <si>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</si>
  <si>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</si>
  <si>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</si>
  <si>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</si>
  <si>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</si>
  <si>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</si>
  <si>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</si>
  <si>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</si>
  <si>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</si>
  <si>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</si>
  <si>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</si>
  <si>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</si>
  <si>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</si>
  <si>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</si>
  <si>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</si>
  <si>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</si>
  <si>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</si>
  <si>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</si>
  <si>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</si>
  <si>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</si>
  <si>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</si>
  <si>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</si>
  <si>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</si>
  <si>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</si>
  <si>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</si>
  <si>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</si>
  <si>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</si>
  <si>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</si>
  <si>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</si>
  <si>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</si>
  <si>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</si>
  <si>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</si>
  <si>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</si>
  <si>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</si>
  <si>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</si>
  <si>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</si>
  <si>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</si>
  <si>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</si>
  <si>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</si>
  <si>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</si>
  <si>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</si>
  <si>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</si>
  <si>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</si>
  <si>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</si>
  <si>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</si>
  <si>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</si>
  <si>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</si>
  <si>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</si>
  <si>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</si>
  <si>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</si>
  <si>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</si>
  <si>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</si>
  <si>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</si>
  <si>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</si>
  <si>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</si>
  <si>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</si>
  <si>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</si>
  <si>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</si>
  <si>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</si>
  <si>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</si>
  <si>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</si>
  <si>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</si>
  <si>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</si>
  <si>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</si>
  <si>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</si>
  <si>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</si>
  <si>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</si>
  <si>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</si>
  <si>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</si>
  <si>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</si>
  <si>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</si>
  <si>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</si>
  <si>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</si>
  <si>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</si>
  <si>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</si>
  <si>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</si>
  <si>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</si>
  <si>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</si>
  <si>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</si>
  <si>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</si>
  <si>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</si>
  <si>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</si>
  <si>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</si>
  <si>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</si>
  <si>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</si>
  <si>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</si>
  <si>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</si>
  <si>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</si>
  <si>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</si>
  <si>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</si>
  <si>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</si>
  <si>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</si>
  <si>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</si>
  <si>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</si>
  <si>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</si>
  <si>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</si>
  <si>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</si>
  <si>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</si>
  <si>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</si>
  <si>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</si>
  <si>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</si>
  <si>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</si>
  <si>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</si>
  <si>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</si>
  <si>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</si>
  <si>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</si>
  <si>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</si>
  <si>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</si>
  <si>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</si>
  <si>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</si>
  <si>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</si>
  <si>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</si>
  <si>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</si>
  <si>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</si>
  <si>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</si>
  <si>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</si>
  <si>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</si>
  <si>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</si>
  <si>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</si>
  <si>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</si>
  <si>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</si>
  <si>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</si>
  <si>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</si>
  <si>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</si>
  <si>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</si>
  <si>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</si>
  <si>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</si>
  <si>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</si>
  <si>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</si>
  <si>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</si>
  <si>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</si>
  <si>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</si>
  <si>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</si>
  <si>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</si>
  <si>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</si>
  <si>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</si>
  <si>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</si>
  <si>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</si>
  <si>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</si>
  <si>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</si>
  <si>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</si>
  <si>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</si>
  <si>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</si>
  <si>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</si>
  <si>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</si>
  <si>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</si>
  <si>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</si>
  <si>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</si>
  <si>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</si>
  <si>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</si>
  <si>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</si>
  <si>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</si>
  <si>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</si>
  <si>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</si>
  <si>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</si>
  <si>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</si>
  <si>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</si>
  <si>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</si>
  <si>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</si>
  <si>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</si>
  <si>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</si>
  <si>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</si>
  <si>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</si>
  <si>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</si>
  <si>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</si>
  <si>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</si>
  <si>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</si>
  <si>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</si>
  <si>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</si>
  <si>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</si>
  <si>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</si>
  <si>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</si>
  <si>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</si>
  <si>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</si>
  <si>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</si>
  <si>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</si>
  <si>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</si>
  <si>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</si>
  <si>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</si>
  <si>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</si>
  <si>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</si>
  <si>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</si>
  <si>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</si>
  <si>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</si>
  <si>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</si>
  <si>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</si>
  <si>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</si>
  <si>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</si>
  <si>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</si>
  <si>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</si>
  <si>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</si>
  <si>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</si>
  <si>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</si>
  <si>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</si>
  <si>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</si>
  <si>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</si>
  <si>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</si>
  <si>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</si>
  <si>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</si>
  <si>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</si>
  <si>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</si>
  <si>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</si>
  <si>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</si>
  <si>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</si>
  <si>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</si>
  <si>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</si>
  <si>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</si>
  <si>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</si>
  <si>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</si>
  <si>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</si>
  <si>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</si>
  <si>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</si>
  <si>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</si>
  <si>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</si>
  <si>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</si>
  <si>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</si>
  <si>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</si>
  <si>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</si>
  <si>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</si>
  <si>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</si>
  <si>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</si>
  <si>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</si>
  <si>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</si>
  <si>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</si>
  <si>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</si>
  <si>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</si>
  <si>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</si>
  <si>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</si>
  <si>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</si>
  <si>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</si>
  <si>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</si>
  <si>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</si>
  <si>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</si>
  <si>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</si>
  <si>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</si>
  <si>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</si>
  <si>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</si>
  <si>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</si>
  <si>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</si>
  <si>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</si>
  <si>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</si>
  <si>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</si>
  <si>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</si>
  <si>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</si>
  <si>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</si>
  <si>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</si>
  <si>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</si>
  <si>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</si>
  <si>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</si>
  <si>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</si>
  <si>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</si>
  <si>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</si>
  <si>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</si>
  <si>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</si>
  <si>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</si>
  <si>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</si>
  <si>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</si>
  <si>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</si>
  <si>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</si>
  <si>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</si>
  <si>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</si>
  <si>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</si>
  <si>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</si>
  <si>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</si>
  <si>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</si>
  <si>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</si>
  <si>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</si>
  <si>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</si>
  <si>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</si>
  <si>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</si>
  <si>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</si>
  <si>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</si>
  <si>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</si>
  <si>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</si>
  <si>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</si>
  <si>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</si>
  <si>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</si>
  <si>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</si>
  <si>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</si>
  <si>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</si>
  <si>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</si>
  <si>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</si>
  <si>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</si>
  <si>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</si>
  <si>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</si>
  <si>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</si>
  <si>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</si>
  <si>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</si>
  <si>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</si>
  <si>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</si>
  <si>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</si>
  <si>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</si>
  <si>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</si>
  <si>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</si>
  <si>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</si>
  <si>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</si>
  <si>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</si>
  <si>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</si>
  <si>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</si>
  <si>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</si>
  <si>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</si>
  <si>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</si>
  <si>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</si>
  <si>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</si>
  <si>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</si>
  <si>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</si>
  <si>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</si>
  <si>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</si>
  <si>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</si>
  <si>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</si>
  <si>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</si>
  <si>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</si>
  <si>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</si>
  <si>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</si>
  <si>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</si>
  <si>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</si>
  <si>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</si>
  <si>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</si>
  <si>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</si>
  <si>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</si>
  <si>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</si>
  <si>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</si>
  <si>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</si>
  <si>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</si>
  <si>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</si>
  <si>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</si>
  <si>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</si>
  <si>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</si>
  <si>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</si>
  <si>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</si>
  <si>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</si>
  <si>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</si>
  <si>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</si>
  <si>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</si>
  <si>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</si>
  <si>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</si>
  <si>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</si>
  <si>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</si>
  <si>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</si>
  <si>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</si>
  <si>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</si>
  <si>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</si>
  <si>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</si>
  <si>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</si>
  <si>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</si>
  <si>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</si>
  <si>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</si>
  <si>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</si>
  <si>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</si>
  <si>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</si>
  <si>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</si>
  <si>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</si>
  <si>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</si>
  <si>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</si>
  <si>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</si>
  <si>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</si>
  <si>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</si>
  <si>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</si>
  <si>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</si>
  <si>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</si>
  <si>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</si>
  <si>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</si>
  <si>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</si>
  <si>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</si>
  <si>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</si>
  <si>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</si>
  <si>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</si>
  <si>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</si>
  <si>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</si>
  <si>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</si>
  <si>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</si>
  <si>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</si>
  <si>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</si>
  <si>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</si>
  <si>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</si>
  <si>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</si>
  <si>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</si>
  <si>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</si>
  <si>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</si>
  <si>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</si>
  <si>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</si>
  <si>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</si>
  <si>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</si>
  <si>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</si>
  <si>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</si>
  <si>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</si>
  <si>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</si>
  <si>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</si>
  <si>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</si>
  <si>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</si>
  <si>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</si>
  <si>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</si>
  <si>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</si>
  <si>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</si>
  <si>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</si>
  <si>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</si>
  <si>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</si>
  <si>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</si>
  <si>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</si>
  <si>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</si>
  <si>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</si>
  <si>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</si>
  <si>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</si>
  <si>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</si>
  <si>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</si>
  <si>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</si>
  <si>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</si>
  <si>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</si>
  <si>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</si>
  <si>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</si>
  <si>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</si>
  <si>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</si>
  <si>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</si>
  <si>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</si>
  <si>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</si>
  <si>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</si>
  <si>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</si>
  <si>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</si>
  <si>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</si>
  <si>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</si>
  <si>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</si>
  <si>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</si>
  <si>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</si>
  <si>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</si>
  <si>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</si>
  <si>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</si>
  <si>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</si>
  <si>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</si>
  <si>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</si>
  <si>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</si>
  <si>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</si>
  <si>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</si>
  <si>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</si>
  <si>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</si>
  <si>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</si>
  <si>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</si>
  <si>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</si>
  <si>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</si>
  <si>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</si>
  <si>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</si>
  <si>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</si>
  <si>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</si>
  <si>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</si>
  <si>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</si>
  <si>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</si>
  <si>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</si>
  <si>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</si>
  <si>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</si>
  <si>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</si>
  <si>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</si>
  <si>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</si>
  <si>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</si>
  <si>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</si>
  <si>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</si>
  <si>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</si>
  <si>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</si>
  <si>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</si>
  <si>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</si>
  <si>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</si>
  <si>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</si>
  <si>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</si>
  <si>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</si>
  <si>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</si>
  <si>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</si>
  <si>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</si>
  <si>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</si>
  <si>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</si>
  <si>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</si>
  <si>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</si>
  <si>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</si>
  <si>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</si>
  <si>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</si>
  <si>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</si>
  <si>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</si>
  <si>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</si>
  <si>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</si>
  <si>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</si>
  <si>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</si>
  <si>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</si>
  <si>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</si>
  <si>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</si>
  <si>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</si>
  <si>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</si>
  <si>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</si>
  <si>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</si>
  <si>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</si>
  <si>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</si>
  <si>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</si>
  <si>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</si>
  <si>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</si>
  <si>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</si>
  <si>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</si>
  <si>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</si>
  <si>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</si>
  <si>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</si>
  <si>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</si>
  <si>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</si>
  <si>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</si>
  <si>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</si>
  <si>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</si>
  <si>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</si>
  <si>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</si>
  <si>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</si>
  <si>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</si>
  <si>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</si>
  <si>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</si>
  <si>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</si>
  <si>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</si>
  <si>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</si>
  <si>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</si>
  <si>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</si>
  <si>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</si>
  <si>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</si>
  <si>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</si>
  <si>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</si>
  <si>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</si>
  <si>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</si>
  <si>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</si>
  <si>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</si>
  <si>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</si>
  <si>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</si>
  <si>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</si>
  <si>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</si>
  <si>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</si>
  <si>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</si>
  <si>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</si>
  <si>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</si>
  <si>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</si>
  <si>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</si>
  <si>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</si>
  <si>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</si>
  <si>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</si>
  <si>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</si>
  <si>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</si>
  <si>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</si>
  <si>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</si>
  <si>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</si>
  <si>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</si>
  <si>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</si>
  <si>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</si>
  <si>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</si>
  <si>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</si>
  <si>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</si>
  <si>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</si>
  <si>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</si>
  <si>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</si>
  <si>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</si>
  <si>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</si>
  <si>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</si>
  <si>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</si>
  <si>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</si>
  <si>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</si>
  <si>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</si>
  <si>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</si>
  <si>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</si>
  <si>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</si>
  <si>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</si>
  <si>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</si>
  <si>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</si>
  <si>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</si>
  <si>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</si>
  <si>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</si>
  <si>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</si>
  <si>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</si>
  <si>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</si>
  <si>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</si>
  <si>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</si>
  <si>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</si>
  <si>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</si>
  <si>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</si>
  <si>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</si>
  <si>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</si>
  <si>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</si>
  <si>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</si>
  <si>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</si>
  <si>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</si>
  <si>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</si>
  <si>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</si>
  <si>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</si>
  <si>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</si>
  <si>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</si>
  <si>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</si>
  <si>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</si>
  <si>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</si>
  <si>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</si>
  <si>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</si>
  <si>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</si>
  <si>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</si>
  <si>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</si>
  <si>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</si>
  <si>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</si>
  <si>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</si>
  <si>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</si>
  <si>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</si>
  <si>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</si>
  <si>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</si>
  <si>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</si>
  <si>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</si>
  <si>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</si>
  <si>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</si>
  <si>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</si>
  <si>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</si>
  <si>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</si>
  <si>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</si>
  <si>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</si>
  <si>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</si>
  <si>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</si>
  <si>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</si>
  <si>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</si>
  <si>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</si>
  <si>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</si>
  <si>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</si>
  <si>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</si>
  <si>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</si>
  <si>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</si>
  <si>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</si>
  <si>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</si>
  <si>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</si>
  <si>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</si>
  <si>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</si>
  <si>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</si>
  <si>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</si>
  <si>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</si>
  <si>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</si>
  <si>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</si>
  <si>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</si>
  <si>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</si>
  <si>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</si>
  <si>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</si>
  <si>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</si>
  <si>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</si>
  <si>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</si>
  <si>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</si>
  <si>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</si>
  <si>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</si>
  <si>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</si>
  <si>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</si>
  <si>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</si>
  <si>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</si>
  <si>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</si>
  <si>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</si>
  <si>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</si>
  <si>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</si>
  <si>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</si>
  <si>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</si>
  <si>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</si>
  <si>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</si>
  <si>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</si>
  <si>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</si>
  <si>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</si>
  <si>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</si>
  <si>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</si>
  <si>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</si>
  <si>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</si>
  <si>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</si>
  <si>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</si>
  <si>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</si>
  <si>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</si>
  <si>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</si>
  <si>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</si>
  <si>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</si>
  <si>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</si>
  <si>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</si>
  <si>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</si>
  <si>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</si>
  <si>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</si>
  <si>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</si>
  <si>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</si>
  <si>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</si>
  <si>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</si>
  <si>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</si>
  <si>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</si>
  <si>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</si>
  <si>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</si>
  <si>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</si>
  <si>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</si>
  <si>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</si>
  <si>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</si>
  <si>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</si>
  <si>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</si>
  <si>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</si>
  <si>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</si>
  <si>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</si>
  <si>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</si>
  <si>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</si>
  <si>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</si>
  <si>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</si>
  <si>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</si>
  <si>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</si>
  <si>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</si>
  <si>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</si>
  <si>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</si>
  <si>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</si>
  <si>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</si>
  <si>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</si>
  <si>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</si>
  <si>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</si>
  <si>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</si>
  <si>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</si>
  <si>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</si>
  <si>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</si>
  <si>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</si>
  <si>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</si>
  <si>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</si>
  <si>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</si>
  <si>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</si>
  <si>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</si>
  <si>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</si>
  <si>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</si>
  <si>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</si>
  <si>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</si>
  <si>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</si>
  <si>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</si>
  <si>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</si>
  <si>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</si>
  <si>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</si>
  <si>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</si>
  <si>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</si>
  <si>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</si>
  <si>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</si>
  <si>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</si>
  <si>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</si>
  <si>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</si>
  <si>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</si>
  <si>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</si>
  <si>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</si>
  <si>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</si>
  <si>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</si>
  <si>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</si>
  <si>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</si>
  <si>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</si>
  <si>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</si>
  <si>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</si>
  <si>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</si>
  <si>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</si>
  <si>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</si>
  <si>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</si>
  <si>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</si>
  <si>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</si>
  <si>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</si>
  <si>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</si>
  <si>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</si>
  <si>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</si>
  <si>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</si>
  <si>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</si>
  <si>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</si>
  <si>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</si>
  <si>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</si>
  <si>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</si>
  <si>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</si>
  <si>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</si>
  <si>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</si>
  <si>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</si>
  <si>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</si>
  <si>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</si>
  <si>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</si>
  <si>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</si>
  <si>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</si>
  <si>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</si>
  <si>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</si>
  <si>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</si>
  <si>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</si>
  <si>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</si>
  <si>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</si>
  <si>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</si>
  <si>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</si>
  <si>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</si>
  <si>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</si>
  <si>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</si>
  <si>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</si>
  <si>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</si>
  <si>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</si>
  <si>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</si>
  <si>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</si>
  <si>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</si>
  <si>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</si>
  <si>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</si>
  <si>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</si>
  <si>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</si>
  <si>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</si>
  <si>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</si>
  <si>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</si>
  <si>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</si>
  <si>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</si>
  <si>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</si>
  <si>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</si>
  <si>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</si>
  <si>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</si>
  <si>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</si>
  <si>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</si>
  <si>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</si>
  <si>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</si>
  <si>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</si>
  <si>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</si>
  <si>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</si>
  <si>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</si>
  <si>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</si>
  <si>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</si>
  <si>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</si>
  <si>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</si>
  <si>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</si>
  <si>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</si>
  <si>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</si>
  <si>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</si>
  <si>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</si>
  <si>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</si>
  <si>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</si>
  <si>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</si>
  <si>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</si>
  <si>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</si>
  <si>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</si>
  <si>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</si>
  <si>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</si>
  <si>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</si>
  <si>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</si>
  <si>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</si>
  <si>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</si>
  <si>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</si>
  <si>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</si>
  <si>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</si>
  <si>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</si>
  <si>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</si>
  <si>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</si>
  <si>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</si>
  <si>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</si>
  <si>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</si>
  <si>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</si>
  <si>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</si>
  <si>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</si>
  <si>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</si>
  <si>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</si>
  <si>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</si>
  <si>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</si>
  <si>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</si>
  <si>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</si>
  <si>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</si>
  <si>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</si>
  <si>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</si>
  <si>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</si>
  <si>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</si>
  <si>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</si>
  <si>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</si>
  <si>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</si>
  <si>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</si>
  <si>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</si>
  <si>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</si>
  <si>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</si>
  <si>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</si>
  <si>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</si>
  <si>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</si>
  <si>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</si>
  <si>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</si>
  <si>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</si>
  <si>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</si>
  <si>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</si>
  <si>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</si>
  <si>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</si>
  <si>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</si>
  <si>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</si>
  <si>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</si>
  <si>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</si>
  <si>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</si>
  <si>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</si>
  <si>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</si>
  <si>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</si>
  <si>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</si>
  <si>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</si>
  <si>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</si>
  <si>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</si>
  <si>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</si>
  <si>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</si>
  <si>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</si>
  <si>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</si>
  <si>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</si>
  <si>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</si>
  <si>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</si>
  <si>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</si>
  <si>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</si>
  <si>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</si>
  <si>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</si>
  <si>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</si>
  <si>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</si>
  <si>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</si>
  <si>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</si>
  <si>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</si>
  <si>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</si>
  <si>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</si>
  <si>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</si>
  <si>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</si>
  <si>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</si>
  <si>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</si>
  <si>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</si>
  <si>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</si>
  <si>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</si>
  <si>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</si>
  <si>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</si>
  <si>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</si>
  <si>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</si>
  <si>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</si>
  <si>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</si>
  <si>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</si>
  <si>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</si>
  <si>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</si>
  <si>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</si>
  <si>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</si>
  <si>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</si>
  <si>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</si>
  <si>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</si>
  <si>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</si>
  <si>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</si>
  <si>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</si>
  <si>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</si>
  <si>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</si>
  <si>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</si>
  <si>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</si>
  <si>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</si>
  <si>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</si>
  <si>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</si>
  <si>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</si>
  <si>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</si>
  <si>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</si>
  <si>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</si>
  <si>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</si>
  <si>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</si>
  <si>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</si>
  <si>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</si>
  <si>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</si>
  <si>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</si>
  <si>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</si>
  <si>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</si>
  <si>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</si>
  <si>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</si>
  <si>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</si>
  <si>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</si>
  <si>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</si>
  <si>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</si>
  <si>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</si>
  <si>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</si>
  <si>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</si>
  <si>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</si>
  <si>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</si>
  <si>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</si>
  <si>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</si>
  <si>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</si>
  <si>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</si>
  <si>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</si>
  <si>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</si>
  <si>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</si>
  <si>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</si>
  <si>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</si>
  <si>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</si>
  <si>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</si>
  <si>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</si>
  <si>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</si>
  <si>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</si>
  <si>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</si>
  <si>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</si>
  <si>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</si>
  <si>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</si>
  <si>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</si>
  <si>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</si>
  <si>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</si>
  <si>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</si>
  <si>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</si>
  <si>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</si>
  <si>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</si>
  <si>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</si>
  <si>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</si>
  <si>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</si>
  <si>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</si>
  <si>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</si>
  <si>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</si>
  <si>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</si>
  <si>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</si>
  <si>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</si>
  <si>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</si>
  <si>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</si>
  <si>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</si>
  <si>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</si>
  <si>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</si>
  <si>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</si>
  <si>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</si>
  <si>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</si>
  <si>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</si>
  <si>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</si>
  <si>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</si>
  <si>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</si>
  <si>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</si>
  <si>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</si>
  <si>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</si>
  <si>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</si>
  <si>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</si>
  <si>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</si>
  <si>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</si>
  <si>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</si>
  <si>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</si>
  <si>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</si>
  <si>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</si>
  <si>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</si>
  <si>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</si>
  <si>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</si>
  <si>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</si>
  <si>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</si>
  <si>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</si>
  <si>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</si>
  <si>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</si>
  <si>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</si>
  <si>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</si>
  <si>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</si>
  <si>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</si>
  <si>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</si>
  <si>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</si>
  <si>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</si>
  <si>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</si>
  <si>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</si>
  <si>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</si>
  <si>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</si>
  <si>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</si>
  <si>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</si>
  <si>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</si>
  <si>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</si>
  <si>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</si>
  <si>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</si>
  <si>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</si>
  <si>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</si>
  <si>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</si>
  <si>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</si>
  <si>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</si>
  <si>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</si>
  <si>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</si>
  <si>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</si>
  <si>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</si>
  <si>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</si>
  <si>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</si>
  <si>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</si>
  <si>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</si>
  <si>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</si>
  <si>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</si>
  <si>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</si>
  <si>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</si>
  <si>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</si>
  <si>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</si>
  <si>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</si>
  <si>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</si>
  <si>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</si>
  <si>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</si>
  <si>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</si>
  <si>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</si>
  <si>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</si>
  <si>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</si>
  <si>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</si>
  <si>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</si>
  <si>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</si>
  <si>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</si>
  <si>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</si>
  <si>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</si>
  <si>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</si>
  <si>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</si>
  <si>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</si>
  <si>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</si>
  <si>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</si>
  <si>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</si>
  <si>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</si>
  <si>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</si>
  <si>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</si>
  <si>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</si>
  <si>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</si>
  <si>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</si>
  <si>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</si>
  <si>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</si>
  <si>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</si>
  <si>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</si>
  <si>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</si>
  <si>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</si>
  <si>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</si>
  <si>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</si>
  <si>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</si>
  <si>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</si>
  <si>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</si>
  <si>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</si>
  <si>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</si>
  <si>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</si>
  <si>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</si>
  <si>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</si>
  <si>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</si>
  <si>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</si>
  <si>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</si>
  <si>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</si>
  <si>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</si>
  <si>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</si>
  <si>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</si>
  <si>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</si>
  <si>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</si>
  <si>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</si>
  <si>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</si>
  <si>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</si>
  <si>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</si>
  <si>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</si>
  <si>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</si>
  <si>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</si>
  <si>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</si>
  <si>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</si>
  <si>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</si>
  <si>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</si>
  <si>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</si>
  <si>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</si>
  <si>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</si>
  <si>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</si>
  <si>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</si>
  <si>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</si>
  <si>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</si>
  <si>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</si>
  <si>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</si>
  <si>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</si>
  <si>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</si>
  <si>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</si>
  <si>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</si>
  <si>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</si>
  <si>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</si>
  <si>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</si>
  <si>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</si>
  <si>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</si>
  <si>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</si>
  <si>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</si>
  <si>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</si>
  <si>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</si>
  <si>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</si>
  <si>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</si>
  <si>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</si>
  <si>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</si>
  <si>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</si>
  <si>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</si>
  <si>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</si>
  <si>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</si>
  <si>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</si>
  <si>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</si>
  <si>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</si>
  <si>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</si>
  <si>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</si>
  <si>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</si>
  <si>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</si>
  <si>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</si>
  <si>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</si>
  <si>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</si>
  <si>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</si>
  <si>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</si>
  <si>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</si>
  <si>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</si>
  <si>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</si>
  <si>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</si>
  <si>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</si>
  <si>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</si>
  <si>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</si>
  <si>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</si>
  <si>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</si>
  <si>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</si>
  <si>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</si>
  <si>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</si>
  <si>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</si>
  <si>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</si>
  <si>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</si>
  <si>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</si>
  <si>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</si>
  <si>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</si>
  <si>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</si>
  <si>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</si>
  <si>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</si>
  <si>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</si>
  <si>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</si>
  <si>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</si>
  <si>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</si>
  <si>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</si>
  <si>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</si>
  <si>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</si>
  <si>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</si>
  <si>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</si>
  <si>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</si>
  <si>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</si>
  <si>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</si>
  <si>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</si>
  <si>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</si>
  <si>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</si>
  <si>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</si>
  <si>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</si>
  <si>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</si>
  <si>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</si>
  <si>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</si>
  <si>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</si>
  <si>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</si>
  <si>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</si>
  <si>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</si>
  <si>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</si>
  <si>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</si>
  <si>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</si>
  <si>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</si>
  <si>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</si>
  <si>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</si>
  <si>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</si>
  <si>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</si>
  <si>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</si>
  <si>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</si>
  <si>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</si>
  <si>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</si>
  <si>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</si>
  <si>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</si>
  <si>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</si>
  <si>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</si>
  <si>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</si>
  <si>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</si>
  <si>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</si>
  <si>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</si>
  <si>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</si>
  <si>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</si>
  <si>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</si>
  <si>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</si>
  <si>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</si>
  <si>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</si>
  <si>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</si>
  <si>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</si>
  <si>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</si>
  <si>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</si>
  <si>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</si>
  <si>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</si>
  <si>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</si>
  <si>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</si>
  <si>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</si>
  <si>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</si>
  <si>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</si>
  <si>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</si>
  <si>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</si>
  <si>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</si>
  <si>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</si>
  <si>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</si>
  <si>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</si>
  <si>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</si>
  <si>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</si>
  <si>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</si>
  <si>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</si>
  <si>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</si>
  <si>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</si>
  <si>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</si>
  <si>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</si>
  <si>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</si>
  <si>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</si>
  <si>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</si>
  <si>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</si>
  <si>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</si>
  <si>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</si>
  <si>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</si>
  <si>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</si>
  <si>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</si>
  <si>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</si>
  <si>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</si>
  <si>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</si>
  <si>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</si>
  <si>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</si>
  <si>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</si>
  <si>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</si>
  <si>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</si>
  <si>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</si>
  <si>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</si>
  <si>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</si>
  <si>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</si>
  <si>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</si>
  <si>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</si>
  <si>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</si>
  <si>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</si>
  <si>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</si>
  <si>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</si>
  <si>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</si>
  <si>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</si>
  <si>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</si>
  <si>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</si>
  <si>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</si>
  <si>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</si>
  <si>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</si>
  <si>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</si>
  <si>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</si>
  <si>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</si>
  <si>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</si>
  <si>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</si>
  <si>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</si>
  <si>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</si>
  <si>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</si>
  <si>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</si>
  <si>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</si>
  <si>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</si>
  <si>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</si>
  <si>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</si>
  <si>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</si>
  <si>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</si>
  <si>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</si>
  <si>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</si>
  <si>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</si>
  <si>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</si>
  <si>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</si>
  <si>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</si>
  <si>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</si>
  <si>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</si>
  <si>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</si>
  <si>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</si>
  <si>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</si>
  <si>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</si>
  <si>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</si>
  <si>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</si>
  <si>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</si>
  <si>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</si>
  <si>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</si>
  <si>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</si>
  <si>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</si>
  <si>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</si>
  <si>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</si>
  <si>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</si>
  <si>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</si>
  <si>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</si>
  <si>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</si>
  <si>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</si>
  <si>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</si>
  <si>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</si>
  <si>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</si>
  <si>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</si>
  <si>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</si>
  <si>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</si>
  <si>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</si>
  <si>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</si>
  <si>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</si>
  <si>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</si>
  <si>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</si>
  <si>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</si>
  <si>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</si>
  <si>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</si>
  <si>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</si>
  <si>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</si>
  <si>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</si>
  <si>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</si>
  <si>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</si>
  <si>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</si>
  <si>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</si>
  <si>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</si>
  <si>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</si>
  <si>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</si>
  <si>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</si>
  <si>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</si>
  <si>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</si>
  <si>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</si>
  <si>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</si>
  <si>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</si>
  <si>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</si>
  <si>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</si>
  <si>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</si>
  <si>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</si>
  <si>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</si>
  <si>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</si>
  <si>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</si>
  <si>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</si>
  <si>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</si>
  <si>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</si>
  <si>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</si>
  <si>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</si>
  <si>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</si>
  <si>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</si>
  <si>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</si>
  <si>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</si>
  <si>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</si>
  <si>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</si>
  <si>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</si>
  <si>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</si>
  <si>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</si>
  <si>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</si>
  <si>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</si>
  <si>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</si>
  <si>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</si>
  <si>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</si>
  <si>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</si>
  <si>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</si>
  <si>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</si>
  <si>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</si>
  <si>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</si>
  <si>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</si>
  <si>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</si>
  <si>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</si>
  <si>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</si>
  <si>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</si>
  <si>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</si>
  <si>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</si>
  <si>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</si>
  <si>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</si>
  <si>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</si>
  <si>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</si>
  <si>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</si>
  <si>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</si>
  <si>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</si>
  <si>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</si>
  <si>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</si>
  <si>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</si>
  <si>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</si>
  <si>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</si>
  <si>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</si>
  <si>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</si>
  <si>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</si>
  <si>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</si>
  <si>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</si>
  <si>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</si>
  <si>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</si>
  <si>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</si>
  <si>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</si>
  <si>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</si>
  <si>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</si>
  <si>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</si>
  <si>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</si>
  <si>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</si>
  <si>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</si>
  <si>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</si>
  <si>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</si>
  <si>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</si>
  <si>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</si>
  <si>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</si>
  <si>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</si>
  <si>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</si>
  <si>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</si>
  <si>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</si>
  <si>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</si>
  <si>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</si>
  <si>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</si>
  <si>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</si>
  <si>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</si>
  <si>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</si>
  <si>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</si>
  <si>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</si>
  <si>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</si>
  <si>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</si>
  <si>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</si>
  <si>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</si>
  <si>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</si>
  <si>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</si>
  <si>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</si>
  <si>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</si>
  <si>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</si>
  <si>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</si>
  <si>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</si>
  <si>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</si>
  <si>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</si>
  <si>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</si>
  <si>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</si>
  <si>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</si>
  <si>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</si>
  <si>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</si>
  <si>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</si>
  <si>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</si>
  <si>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</si>
  <si>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</si>
  <si>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</si>
  <si>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</si>
  <si>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</si>
  <si>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</si>
  <si>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</si>
  <si>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</si>
  <si>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</si>
  <si>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</si>
  <si>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</si>
  <si>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</si>
  <si>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</si>
  <si>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</si>
  <si>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</si>
  <si>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</si>
  <si>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</si>
  <si>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</si>
  <si>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</si>
  <si>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</si>
  <si>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</si>
  <si>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</si>
  <si>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</si>
  <si>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</si>
  <si>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</si>
  <si>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</si>
  <si>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</si>
  <si>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</si>
  <si>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</si>
  <si>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</si>
  <si>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</si>
  <si>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</si>
  <si>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</si>
  <si>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</si>
  <si>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</si>
  <si>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</si>
  <si>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</si>
  <si>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</si>
  <si>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</si>
  <si>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</si>
  <si>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</si>
  <si>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</si>
  <si>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</si>
  <si>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</si>
  <si>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</si>
  <si>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</si>
  <si>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</si>
  <si>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</si>
  <si>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</si>
  <si>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</si>
  <si>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</si>
  <si>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</si>
  <si>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</si>
  <si>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</si>
  <si>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</si>
  <si>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</si>
  <si>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</si>
  <si>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</si>
  <si>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</si>
  <si>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</si>
  <si>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</si>
  <si>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</si>
  <si>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</si>
  <si>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</si>
  <si>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</si>
  <si>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</si>
  <si>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</si>
  <si>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</si>
  <si>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</si>
  <si>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</si>
  <si>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</si>
  <si>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</si>
  <si>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</si>
  <si>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</si>
  <si>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</si>
  <si>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</si>
  <si>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</si>
  <si>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</si>
  <si>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</si>
  <si>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</si>
  <si>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</si>
  <si>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</si>
  <si>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</si>
  <si>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</si>
  <si>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</si>
  <si>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</si>
  <si>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</si>
  <si>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</si>
  <si>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</si>
  <si>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</si>
  <si>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</si>
  <si>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</si>
  <si>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</si>
  <si>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</si>
  <si>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</si>
  <si>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</si>
  <si>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</si>
  <si>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</si>
  <si>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</si>
  <si>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</si>
  <si>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</si>
  <si>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</si>
  <si>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</si>
  <si>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</si>
  <si>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</si>
  <si>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</si>
  <si>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</si>
  <si>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</si>
  <si>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</si>
  <si>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</si>
  <si>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</si>
  <si>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</si>
  <si>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</si>
  <si>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</si>
  <si>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</si>
  <si>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</si>
  <si>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</si>
  <si>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</si>
  <si>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</si>
  <si>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</si>
  <si>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</si>
  <si>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</si>
  <si>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</si>
  <si>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</si>
  <si>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</si>
  <si>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</si>
  <si>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</si>
  <si>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</si>
  <si>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</si>
  <si>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</si>
  <si>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</si>
  <si>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</si>
  <si>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</si>
  <si>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</si>
  <si>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</si>
  <si>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</si>
  <si>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</si>
  <si>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</si>
  <si>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</si>
  <si>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</si>
  <si>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</si>
  <si>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</si>
  <si>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</si>
  <si>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</si>
  <si>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</si>
  <si>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</si>
  <si>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</si>
  <si>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</si>
  <si>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</si>
  <si>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</si>
  <si>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</si>
  <si>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</si>
  <si>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</si>
  <si>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</si>
  <si>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</si>
  <si>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</si>
  <si>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</si>
  <si>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</si>
  <si>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</si>
  <si>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</si>
  <si>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</si>
  <si>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</si>
  <si>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</si>
  <si>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</si>
  <si>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</si>
  <si>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</si>
  <si>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</si>
  <si>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</si>
  <si>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</si>
  <si>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</si>
  <si>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</si>
  <si>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</si>
  <si>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</si>
  <si>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</si>
  <si>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</si>
  <si>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</si>
  <si>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</si>
  <si>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</si>
  <si>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</si>
  <si>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</si>
  <si>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</si>
  <si>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</si>
  <si>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</si>
  <si>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</si>
  <si>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</si>
  <si>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</si>
  <si>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Bureau</t>
  </si>
  <si>
    <t>204 Pleasant St.</t>
  </si>
  <si>
    <t xml:space="preserve">DePue  </t>
  </si>
  <si>
    <t>doughertyc@depueschools.org</t>
  </si>
  <si>
    <t>Chris Dougherty</t>
  </si>
  <si>
    <t>815-447-2121</t>
  </si>
  <si>
    <t>815-557-2067</t>
  </si>
  <si>
    <t>Hopkins &amp; Associates, CPAs</t>
  </si>
  <si>
    <t>Kim Bird</t>
  </si>
  <si>
    <t>314 S. McCoy St.</t>
  </si>
  <si>
    <t>Granville</t>
  </si>
  <si>
    <t>IL</t>
  </si>
  <si>
    <t>815-339-6630</t>
  </si>
  <si>
    <t>815-339-6643</t>
  </si>
  <si>
    <t>kim@hopkinsoffice.com</t>
  </si>
  <si>
    <t>GASB 75 disclosures</t>
  </si>
  <si>
    <t>Capital Lease Obligation</t>
  </si>
  <si>
    <t>Fire/Life Safety Bonds</t>
  </si>
  <si>
    <t>Working Cash Bonds</t>
  </si>
  <si>
    <t>Capital Lease</t>
  </si>
  <si>
    <t>BMP Co-op</t>
  </si>
  <si>
    <t>O&amp;M-Plant Maintenance-Purchased Services</t>
  </si>
  <si>
    <t>20-2540-300</t>
  </si>
  <si>
    <t>Illinois Valley Waste Services</t>
  </si>
  <si>
    <t>Republic Services</t>
  </si>
  <si>
    <t>Kenrick Pest Control</t>
  </si>
  <si>
    <t>Obrlander Alarm System</t>
  </si>
  <si>
    <t>Frontier</t>
  </si>
  <si>
    <t>Comcast Cable</t>
  </si>
  <si>
    <t>Village of DePue</t>
  </si>
  <si>
    <t>10-1999 - $3,130 insurance claim, $1,938 Erate, $2,838 SRAVTE, misc reimbursements</t>
  </si>
  <si>
    <t>10-3999 - $4,999 B2B Library Grant, $27,524 Healthy Community Grant, misc</t>
  </si>
  <si>
    <t>10-4999 - $8,763 - BEST rimbursement</t>
  </si>
  <si>
    <t>Hall Soccer Co-op</t>
  </si>
  <si>
    <t>DePue CUSD 103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</si>
</sst>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DDC5C891-5F92-4E0C-B8B0-E3E0BEF54CB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8" t="s">
        <v>425</v>
      </c>
      <c r="J1" s="1999"/>
      <c r="K1" s="1999"/>
      <c r="L1" s="1999"/>
      <c r="M1" s="1999"/>
      <c r="N1" s="1999"/>
      <c r="O1" s="1999"/>
      <c r="P1" s="1999"/>
      <c r="Q1" s="1999"/>
      <c r="R1" s="1999"/>
      <c r="S1" s="1999"/>
    </row>
    <row r="2" spans="1:28" ht="12" customHeight="1" x14ac:dyDescent="0.2">
      <c r="A2" s="47" t="s">
        <v>1684</v>
      </c>
      <c r="D2" s="48"/>
      <c r="I2" s="2000" t="s">
        <v>1036</v>
      </c>
      <c r="J2" s="1999"/>
      <c r="K2" s="1999"/>
      <c r="L2" s="1999"/>
      <c r="M2" s="1999"/>
      <c r="N2" s="1999"/>
      <c r="O2" s="1999"/>
      <c r="P2" s="1999"/>
      <c r="Q2" s="1999"/>
      <c r="R2" s="1999"/>
      <c r="S2" s="1999"/>
    </row>
    <row r="3" spans="1:28" ht="12" customHeight="1" x14ac:dyDescent="0.2">
      <c r="A3" s="155" t="s">
        <v>1685</v>
      </c>
      <c r="B3" s="156"/>
      <c r="C3" s="156"/>
      <c r="D3" s="157"/>
      <c r="I3" s="2000" t="s">
        <v>54</v>
      </c>
      <c r="J3" s="1999"/>
      <c r="K3" s="1999"/>
      <c r="L3" s="1999"/>
      <c r="M3" s="1999"/>
      <c r="N3" s="1999"/>
      <c r="O3" s="1999"/>
      <c r="P3" s="1999"/>
      <c r="Q3" s="1999"/>
      <c r="R3" s="1999"/>
      <c r="S3" s="1999"/>
    </row>
    <row r="4" spans="1:28" ht="12" customHeight="1" x14ac:dyDescent="0.2">
      <c r="A4" s="37"/>
      <c r="I4" s="2000" t="s">
        <v>545</v>
      </c>
      <c r="J4" s="1999"/>
      <c r="K4" s="1999"/>
      <c r="L4" s="1999"/>
      <c r="M4" s="1999"/>
      <c r="N4" s="1999"/>
      <c r="O4" s="1999"/>
      <c r="P4" s="1999"/>
      <c r="Q4" s="1999"/>
      <c r="R4" s="1999"/>
      <c r="S4" s="1999"/>
    </row>
    <row r="5" spans="1:28" ht="14.1" customHeight="1" x14ac:dyDescent="0.2">
      <c r="B5" s="104" t="s">
        <v>2077</v>
      </c>
      <c r="C5" s="26" t="s">
        <v>966</v>
      </c>
      <c r="D5" s="84"/>
      <c r="E5" s="84"/>
      <c r="H5" s="38"/>
      <c r="I5" s="2008" t="s">
        <v>701</v>
      </c>
      <c r="J5" s="2007"/>
      <c r="K5" s="2007"/>
      <c r="L5" s="2007"/>
      <c r="M5" s="2007"/>
      <c r="N5" s="2007"/>
      <c r="O5" s="2007"/>
      <c r="P5" s="2007"/>
      <c r="Q5" s="2007"/>
      <c r="R5" s="2007"/>
      <c r="S5" s="2007"/>
    </row>
    <row r="6" spans="1:28" ht="14.1" customHeight="1" x14ac:dyDescent="0.2">
      <c r="B6" s="104"/>
      <c r="C6" s="26" t="s">
        <v>967</v>
      </c>
      <c r="D6" s="84"/>
      <c r="E6" s="84"/>
      <c r="I6" s="2006" t="s">
        <v>938</v>
      </c>
      <c r="J6" s="2007"/>
      <c r="K6" s="2007"/>
      <c r="L6" s="2007"/>
      <c r="M6" s="2007"/>
      <c r="N6" s="2007"/>
      <c r="O6" s="2007"/>
      <c r="P6" s="2007"/>
      <c r="Q6" s="2007"/>
      <c r="R6" s="2007"/>
      <c r="S6" s="2007"/>
    </row>
    <row r="7" spans="1:28" ht="12.2" customHeight="1" x14ac:dyDescent="0.2">
      <c r="I7" s="2001">
        <v>43281</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695</v>
      </c>
      <c r="J9" s="2004"/>
      <c r="K9" s="2004"/>
      <c r="L9" s="2004"/>
      <c r="M9" s="2004"/>
      <c r="N9" s="2004"/>
      <c r="O9" s="2004"/>
      <c r="P9" s="2004"/>
      <c r="Q9" s="2004"/>
      <c r="R9" s="2004"/>
      <c r="S9" s="2005"/>
      <c r="T9" s="2019" t="s">
        <v>554</v>
      </c>
      <c r="U9" s="2020"/>
      <c r="V9" s="2020"/>
      <c r="W9" s="2020"/>
      <c r="X9" s="2020"/>
      <c r="Y9" s="2020"/>
      <c r="Z9" s="2020"/>
      <c r="AA9" s="2021"/>
    </row>
    <row r="10" spans="1:28" ht="13.5" customHeight="1" x14ac:dyDescent="0.2">
      <c r="A10" s="2026" t="s">
        <v>696</v>
      </c>
      <c r="B10" s="2027"/>
      <c r="C10" s="2027"/>
      <c r="D10" s="2027"/>
      <c r="E10" s="2027"/>
      <c r="F10" s="2027"/>
      <c r="G10" s="2027"/>
      <c r="H10" s="2028"/>
      <c r="I10" s="29"/>
      <c r="J10" s="30"/>
      <c r="K10" s="28"/>
      <c r="R10" s="30"/>
      <c r="S10" s="30"/>
      <c r="T10" s="2022"/>
      <c r="U10" s="2007"/>
      <c r="V10" s="2007"/>
      <c r="W10" s="2007"/>
      <c r="X10" s="2007"/>
      <c r="Y10" s="2007"/>
      <c r="Z10" s="2007"/>
      <c r="AA10" s="2013"/>
    </row>
    <row r="11" spans="1:28" ht="14.25" customHeight="1" x14ac:dyDescent="0.2">
      <c r="A11" s="2029" t="s">
        <v>1012</v>
      </c>
      <c r="B11" s="2030"/>
      <c r="C11" s="2030"/>
      <c r="D11" s="2030"/>
      <c r="E11" s="2030"/>
      <c r="F11" s="2030"/>
      <c r="G11" s="2030"/>
      <c r="H11" s="2031"/>
      <c r="I11" s="27"/>
      <c r="J11" s="74"/>
      <c r="K11" s="27"/>
      <c r="O11" s="148" t="s">
        <v>2077</v>
      </c>
      <c r="P11" s="100" t="s">
        <v>210</v>
      </c>
      <c r="Q11" s="30"/>
      <c r="R11" s="28"/>
      <c r="S11" s="27"/>
      <c r="T11" s="2023"/>
      <c r="U11" s="2024"/>
      <c r="V11" s="2024"/>
      <c r="W11" s="2024"/>
      <c r="X11" s="2024"/>
      <c r="Y11" s="2024"/>
      <c r="Z11" s="2024"/>
      <c r="AA11" s="202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3">
        <v>28006103022</v>
      </c>
      <c r="B13" s="2034"/>
      <c r="C13" s="2034"/>
      <c r="D13" s="2034"/>
      <c r="E13" s="2034"/>
      <c r="F13" s="2034"/>
      <c r="G13" s="2034"/>
      <c r="H13" s="2035"/>
      <c r="I13" s="31"/>
      <c r="J13" s="30"/>
      <c r="K13" s="28"/>
      <c r="L13" s="30"/>
      <c r="M13" s="30"/>
      <c r="N13" s="30"/>
      <c r="O13" s="30"/>
      <c r="P13" s="30"/>
      <c r="Q13" s="30"/>
      <c r="R13" s="30"/>
      <c r="S13" s="30"/>
      <c r="T13" s="2038" t="s">
        <v>2085</v>
      </c>
      <c r="U13" s="2039"/>
      <c r="V13" s="2039"/>
      <c r="W13" s="2039"/>
      <c r="X13" s="2039"/>
      <c r="Y13" s="2040"/>
      <c r="Z13" s="2040"/>
      <c r="AA13" s="204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2" t="s">
        <v>2078</v>
      </c>
      <c r="B15" s="2036"/>
      <c r="C15" s="2036"/>
      <c r="D15" s="2036"/>
      <c r="E15" s="2036"/>
      <c r="F15" s="2036"/>
      <c r="G15" s="2036"/>
      <c r="H15" s="2037"/>
      <c r="T15" s="2042" t="s">
        <v>2086</v>
      </c>
      <c r="U15" s="1986"/>
      <c r="V15" s="1986"/>
      <c r="W15" s="1986"/>
      <c r="X15" s="1986"/>
      <c r="Y15" s="2043"/>
      <c r="Z15" s="2043"/>
      <c r="AA15" s="204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2" t="s">
        <v>2112</v>
      </c>
      <c r="B17" s="1993"/>
      <c r="C17" s="1993"/>
      <c r="D17" s="1993"/>
      <c r="E17" s="1993"/>
      <c r="F17" s="1993"/>
      <c r="G17" s="1993"/>
      <c r="H17" s="2018"/>
      <c r="T17" s="2049" t="s">
        <v>2087</v>
      </c>
      <c r="U17" s="2050"/>
      <c r="V17" s="2050"/>
      <c r="W17" s="2050"/>
      <c r="X17" s="2050"/>
      <c r="Y17" s="2050"/>
      <c r="Z17" s="2050"/>
      <c r="AA17" s="2051"/>
    </row>
    <row r="18" spans="1:27" ht="13.5" customHeight="1" x14ac:dyDescent="0.2">
      <c r="A18" s="85" t="s">
        <v>551</v>
      </c>
      <c r="B18" s="76"/>
      <c r="C18" s="72"/>
      <c r="D18" s="76"/>
      <c r="E18" s="76"/>
      <c r="F18" s="76"/>
      <c r="G18" s="76"/>
      <c r="H18" s="56"/>
      <c r="I18" s="2017" t="s">
        <v>697</v>
      </c>
      <c r="J18" s="1968"/>
      <c r="K18" s="1968"/>
      <c r="L18" s="1968"/>
      <c r="M18" s="1968"/>
      <c r="N18" s="1968"/>
      <c r="O18" s="1968"/>
      <c r="P18" s="1968"/>
      <c r="Q18" s="1968"/>
      <c r="R18" s="1968"/>
      <c r="S18" s="1969"/>
      <c r="T18" s="85" t="s">
        <v>735</v>
      </c>
      <c r="U18" s="51"/>
      <c r="V18" s="72"/>
      <c r="W18" s="50"/>
      <c r="X18" s="85" t="s">
        <v>284</v>
      </c>
      <c r="Y18" s="81"/>
      <c r="Z18" s="159" t="s">
        <v>698</v>
      </c>
      <c r="AA18" s="46"/>
    </row>
    <row r="19" spans="1:27" ht="13.5" customHeight="1" x14ac:dyDescent="0.2">
      <c r="A19" s="2032" t="s">
        <v>2079</v>
      </c>
      <c r="B19" s="1978"/>
      <c r="C19" s="1978"/>
      <c r="D19" s="1978"/>
      <c r="E19" s="1978"/>
      <c r="F19" s="1978"/>
      <c r="G19" s="1978"/>
      <c r="H19" s="1958"/>
      <c r="I19" s="30"/>
      <c r="J19" s="99"/>
      <c r="K19" s="40"/>
      <c r="L19" s="38"/>
      <c r="M19" s="112" t="s">
        <v>333</v>
      </c>
      <c r="P19" s="27"/>
      <c r="Q19" s="27"/>
      <c r="R19" s="27"/>
      <c r="S19" s="31"/>
      <c r="T19" s="2032" t="s">
        <v>2088</v>
      </c>
      <c r="U19" s="1957"/>
      <c r="V19" s="1957"/>
      <c r="W19" s="1958"/>
      <c r="X19" s="2047" t="s">
        <v>2089</v>
      </c>
      <c r="Y19" s="2048"/>
      <c r="Z19" s="2045">
        <v>61326</v>
      </c>
      <c r="AA19" s="204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6" t="s">
        <v>2080</v>
      </c>
      <c r="B21" s="1957"/>
      <c r="C21" s="1957"/>
      <c r="D21" s="1957"/>
      <c r="E21" s="1957"/>
      <c r="F21" s="1957"/>
      <c r="G21" s="1957"/>
      <c r="H21" s="1958"/>
      <c r="I21" s="2012" t="s">
        <v>699</v>
      </c>
      <c r="J21" s="2007"/>
      <c r="K21" s="2007"/>
      <c r="L21" s="2007"/>
      <c r="M21" s="2007"/>
      <c r="N21" s="2007"/>
      <c r="O21" s="2007"/>
      <c r="P21" s="2007"/>
      <c r="Q21" s="2007"/>
      <c r="R21" s="2007"/>
      <c r="S21" s="2013"/>
      <c r="T21" s="2056" t="s">
        <v>2090</v>
      </c>
      <c r="U21" s="2057"/>
      <c r="V21" s="2057"/>
      <c r="W21" s="2057"/>
      <c r="X21" s="2062" t="s">
        <v>2091</v>
      </c>
      <c r="Y21" s="2063"/>
      <c r="Z21" s="2063"/>
      <c r="AA21" s="2064"/>
    </row>
    <row r="22" spans="1:27" ht="13.5" customHeight="1" x14ac:dyDescent="0.2">
      <c r="A22" s="87" t="s">
        <v>552</v>
      </c>
      <c r="B22" s="59"/>
      <c r="C22" s="59"/>
      <c r="D22" s="59"/>
      <c r="E22" s="59"/>
      <c r="F22" s="59"/>
      <c r="G22" s="59"/>
      <c r="H22" s="60"/>
      <c r="I22" s="2014" t="s">
        <v>1504</v>
      </c>
      <c r="J22" s="2015"/>
      <c r="K22" s="2015"/>
      <c r="L22" s="2015"/>
      <c r="M22" s="2015"/>
      <c r="N22" s="2015"/>
      <c r="O22" s="2015"/>
      <c r="P22" s="2015"/>
      <c r="Q22" s="2015"/>
      <c r="R22" s="2015"/>
      <c r="S22" s="2016"/>
      <c r="T22" s="85" t="s">
        <v>1596</v>
      </c>
      <c r="U22" s="51"/>
      <c r="V22" s="72"/>
      <c r="W22" s="51"/>
      <c r="X22" s="160" t="s">
        <v>1385</v>
      </c>
      <c r="Z22" s="45"/>
      <c r="AA22" s="46"/>
    </row>
    <row r="23" spans="1:27" ht="13.5" customHeight="1" x14ac:dyDescent="0.2">
      <c r="A23" s="2009" t="s">
        <v>2081</v>
      </c>
      <c r="B23" s="2010"/>
      <c r="C23" s="2010"/>
      <c r="D23" s="2010"/>
      <c r="E23" s="2010"/>
      <c r="F23" s="2010"/>
      <c r="G23" s="2010"/>
      <c r="H23" s="2011"/>
      <c r="T23" s="1992">
        <v>66.004501000000005</v>
      </c>
      <c r="U23" s="2055"/>
      <c r="V23" s="2055"/>
      <c r="W23" s="2055"/>
      <c r="X23" s="2059">
        <v>43434</v>
      </c>
      <c r="Y23" s="2060"/>
      <c r="Z23" s="2060"/>
      <c r="AA23" s="2061"/>
    </row>
    <row r="24" spans="1:27" ht="14.1" customHeight="1" x14ac:dyDescent="0.2">
      <c r="A24" s="88" t="s">
        <v>698</v>
      </c>
      <c r="B24" s="49"/>
      <c r="C24" s="49"/>
      <c r="D24" s="49"/>
      <c r="E24" s="49"/>
      <c r="F24" s="49"/>
      <c r="G24" s="49"/>
      <c r="H24" s="61"/>
      <c r="J24" s="1979">
        <f>IF(B5="x",IF(AUDITCHECK!D29="AFR form Incomplete.","",IF(AUDITCHECK!D29="Deficit reduction plan is required.","School District must complete a deficit reduction plan in the 2018-2019 Budget",)),"")</f>
        <v>0</v>
      </c>
      <c r="K24" s="1979"/>
      <c r="L24" s="1979"/>
      <c r="M24" s="1979"/>
      <c r="N24" s="1979"/>
      <c r="O24" s="1979"/>
      <c r="P24" s="1979"/>
      <c r="Q24" s="1979"/>
      <c r="R24" s="1979"/>
      <c r="S24" s="1980"/>
      <c r="T24" s="105" t="s">
        <v>552</v>
      </c>
      <c r="U24" s="106"/>
      <c r="V24" s="106"/>
      <c r="W24" s="106"/>
      <c r="X24" s="107"/>
      <c r="Y24" s="107"/>
      <c r="Z24" s="107"/>
      <c r="AA24" s="108"/>
    </row>
    <row r="25" spans="1:27" ht="14.1" customHeight="1" x14ac:dyDescent="0.2">
      <c r="A25" s="1956">
        <v>61322</v>
      </c>
      <c r="B25" s="1957"/>
      <c r="C25" s="1957"/>
      <c r="D25" s="1957"/>
      <c r="E25" s="1957"/>
      <c r="F25" s="1957"/>
      <c r="G25" s="1957"/>
      <c r="H25" s="1958"/>
      <c r="I25" s="113"/>
      <c r="J25" s="1981"/>
      <c r="K25" s="1981"/>
      <c r="L25" s="1981"/>
      <c r="M25" s="1981"/>
      <c r="N25" s="1981"/>
      <c r="O25" s="1981"/>
      <c r="P25" s="1981"/>
      <c r="Q25" s="1981"/>
      <c r="R25" s="1981"/>
      <c r="S25" s="1982"/>
      <c r="T25" s="2052" t="s">
        <v>2092</v>
      </c>
      <c r="U25" s="2053"/>
      <c r="V25" s="2053"/>
      <c r="W25" s="2053"/>
      <c r="X25" s="2053"/>
      <c r="Y25" s="2053"/>
      <c r="Z25" s="2053"/>
      <c r="AA25" s="20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7" t="s">
        <v>1591</v>
      </c>
      <c r="J27" s="1968"/>
      <c r="K27" s="1968"/>
      <c r="L27" s="1968"/>
      <c r="M27" s="1968"/>
      <c r="N27" s="1968"/>
      <c r="O27" s="1968"/>
      <c r="P27" s="1968"/>
      <c r="Q27" s="1968"/>
      <c r="R27" s="1968"/>
      <c r="S27" s="196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8"/>
      <c r="Q35" s="1957"/>
      <c r="R35" s="195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2" t="s">
        <v>2082</v>
      </c>
      <c r="B38" s="1993"/>
      <c r="C38" s="1993"/>
      <c r="D38" s="1993"/>
      <c r="E38" s="1993"/>
      <c r="F38" s="1957"/>
      <c r="G38" s="1957"/>
      <c r="H38" s="1958"/>
      <c r="I38" s="1985"/>
      <c r="J38" s="1986"/>
      <c r="K38" s="1986"/>
      <c r="L38" s="1986"/>
      <c r="M38" s="1986"/>
      <c r="N38" s="1986"/>
      <c r="O38" s="1986"/>
      <c r="P38" s="1987"/>
      <c r="Q38" s="1987"/>
      <c r="R38" s="1987"/>
      <c r="S38" s="1988"/>
      <c r="T38" s="2042"/>
      <c r="U38" s="1986"/>
      <c r="V38" s="1986"/>
      <c r="W38" s="1986"/>
      <c r="X38" s="1987"/>
      <c r="Y38" s="1987"/>
      <c r="Z38" s="1987"/>
      <c r="AA38" s="1988"/>
    </row>
    <row r="39" spans="1:27" ht="12" customHeight="1" x14ac:dyDescent="0.2">
      <c r="A39" s="1962" t="s">
        <v>552</v>
      </c>
      <c r="B39" s="1963"/>
      <c r="C39" s="72"/>
      <c r="D39" s="69"/>
      <c r="E39" s="69"/>
      <c r="F39" s="79"/>
      <c r="G39" s="69"/>
      <c r="H39" s="56"/>
      <c r="I39" s="1962" t="s">
        <v>552</v>
      </c>
      <c r="J39" s="1963"/>
      <c r="K39" s="1963"/>
      <c r="L39" s="1963"/>
      <c r="M39" s="1963"/>
      <c r="N39" s="67"/>
      <c r="O39" s="72"/>
      <c r="P39" s="72"/>
      <c r="Q39" s="78"/>
      <c r="R39" s="72"/>
      <c r="S39" s="56"/>
      <c r="T39" s="72" t="s">
        <v>552</v>
      </c>
      <c r="U39" s="51"/>
      <c r="V39" s="72"/>
      <c r="W39" s="50"/>
      <c r="X39" s="78"/>
      <c r="Y39" s="45"/>
      <c r="Z39" s="45"/>
      <c r="AA39" s="46"/>
    </row>
    <row r="40" spans="1:27" ht="13.5" customHeight="1" x14ac:dyDescent="0.2">
      <c r="A40" s="1970" t="s">
        <v>2081</v>
      </c>
      <c r="B40" s="1971"/>
      <c r="C40" s="1972"/>
      <c r="D40" s="1972"/>
      <c r="E40" s="1972"/>
      <c r="F40" s="1973"/>
      <c r="G40" s="1973"/>
      <c r="H40" s="1974"/>
      <c r="I40" s="1995"/>
      <c r="J40" s="1996"/>
      <c r="K40" s="1996"/>
      <c r="L40" s="1996"/>
      <c r="M40" s="1996"/>
      <c r="N40" s="1996"/>
      <c r="O40" s="1996"/>
      <c r="P40" s="1996"/>
      <c r="Q40" s="1996"/>
      <c r="R40" s="1996"/>
      <c r="S40" s="1997"/>
      <c r="T40" s="1995"/>
      <c r="U40" s="2058"/>
      <c r="V40" s="1996"/>
      <c r="W40" s="1996"/>
      <c r="X40" s="1996"/>
      <c r="Y40" s="1996"/>
      <c r="Z40" s="1996"/>
      <c r="AA40" s="199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4" t="s">
        <v>2083</v>
      </c>
      <c r="B42" s="1976"/>
      <c r="C42" s="1977"/>
      <c r="D42" s="1975" t="s">
        <v>2084</v>
      </c>
      <c r="E42" s="1976"/>
      <c r="F42" s="1976"/>
      <c r="G42" s="1976"/>
      <c r="H42" s="1977"/>
      <c r="I42" s="1959"/>
      <c r="J42" s="1960"/>
      <c r="K42" s="1960"/>
      <c r="L42" s="1960"/>
      <c r="M42" s="1960"/>
      <c r="N42" s="1960"/>
      <c r="O42" s="1961"/>
      <c r="P42" s="1994"/>
      <c r="Q42" s="1960"/>
      <c r="R42" s="1960"/>
      <c r="S42" s="1961"/>
      <c r="T42" s="1959"/>
      <c r="U42" s="1960"/>
      <c r="V42" s="1960"/>
      <c r="W42" s="1961"/>
      <c r="X42" s="1994"/>
      <c r="Y42" s="1960"/>
      <c r="Z42" s="1960"/>
      <c r="AA42" s="196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9"/>
      <c r="B44" s="1990"/>
      <c r="C44" s="1990"/>
      <c r="D44" s="1990"/>
      <c r="E44" s="1990"/>
      <c r="F44" s="1990"/>
      <c r="G44" s="1990"/>
      <c r="H44" s="1991"/>
      <c r="I44" s="1964"/>
      <c r="J44" s="1965"/>
      <c r="K44" s="1965"/>
      <c r="L44" s="1965"/>
      <c r="M44" s="1965"/>
      <c r="N44" s="1965"/>
      <c r="O44" s="1965"/>
      <c r="P44" s="1965"/>
      <c r="Q44" s="1965"/>
      <c r="R44" s="1965"/>
      <c r="S44" s="1966"/>
      <c r="T44" s="1964"/>
      <c r="U44" s="1983"/>
      <c r="V44" s="1983"/>
      <c r="W44" s="1983"/>
      <c r="X44" s="1983"/>
      <c r="Y44" s="1983"/>
      <c r="Z44" s="1965"/>
      <c r="AA44" s="196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4" sqref="E14"/>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0" t="s">
        <v>1905</v>
      </c>
      <c r="B2" s="1550" t="s">
        <v>2037</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172980</v>
      </c>
      <c r="C4" s="1546"/>
      <c r="D4" s="1774">
        <f>B4-C4</f>
        <v>172980</v>
      </c>
      <c r="E4" s="1546">
        <v>192009</v>
      </c>
      <c r="F4" s="1774">
        <f>E4-C4</f>
        <v>192009</v>
      </c>
    </row>
    <row r="5" spans="1:6" ht="13.7" customHeight="1" x14ac:dyDescent="0.2">
      <c r="A5" s="716" t="s">
        <v>925</v>
      </c>
      <c r="B5" s="1772">
        <f>'Revenues 9-14'!D5</f>
        <v>34236</v>
      </c>
      <c r="C5" s="585"/>
      <c r="D5" s="1775">
        <f t="shared" ref="D5:D18" si="0">B5-C5</f>
        <v>34236</v>
      </c>
      <c r="E5" s="585">
        <v>38002</v>
      </c>
      <c r="F5" s="1775">
        <f>E5-C5</f>
        <v>38002</v>
      </c>
    </row>
    <row r="6" spans="1:6" ht="13.7" customHeight="1" x14ac:dyDescent="0.2">
      <c r="A6" s="716" t="s">
        <v>431</v>
      </c>
      <c r="B6" s="1772">
        <f>'Revenues 9-14'!E5</f>
        <v>37986</v>
      </c>
      <c r="C6" s="585"/>
      <c r="D6" s="1775">
        <f t="shared" si="0"/>
        <v>37986</v>
      </c>
      <c r="E6" s="585">
        <v>66734</v>
      </c>
      <c r="F6" s="1775">
        <f t="shared" ref="F6:F18" si="1">E6-C6</f>
        <v>66734</v>
      </c>
    </row>
    <row r="7" spans="1:6" ht="13.7" customHeight="1" x14ac:dyDescent="0.2">
      <c r="A7" s="716" t="s">
        <v>157</v>
      </c>
      <c r="B7" s="1772">
        <f>'Revenues 9-14'!F5</f>
        <v>14415</v>
      </c>
      <c r="C7" s="585"/>
      <c r="D7" s="1775">
        <f t="shared" si="0"/>
        <v>14415</v>
      </c>
      <c r="E7" s="585">
        <v>15939</v>
      </c>
      <c r="F7" s="1775">
        <f t="shared" si="1"/>
        <v>15939</v>
      </c>
    </row>
    <row r="8" spans="1:6" ht="13.7" customHeight="1" x14ac:dyDescent="0.2">
      <c r="A8" s="716" t="s">
        <v>1241</v>
      </c>
      <c r="B8" s="1772">
        <f>'Revenues 9-14'!G5</f>
        <v>75809</v>
      </c>
      <c r="C8" s="585"/>
      <c r="D8" s="1775">
        <f t="shared" si="0"/>
        <v>75809</v>
      </c>
      <c r="E8" s="585">
        <v>64001</v>
      </c>
      <c r="F8" s="1775">
        <f t="shared" si="1"/>
        <v>64001</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3603</v>
      </c>
      <c r="C10" s="585"/>
      <c r="D10" s="1775">
        <f t="shared" si="0"/>
        <v>3603</v>
      </c>
      <c r="E10" s="585">
        <v>3986</v>
      </c>
      <c r="F10" s="1775">
        <f t="shared" si="1"/>
        <v>3986</v>
      </c>
    </row>
    <row r="11" spans="1:6" x14ac:dyDescent="0.2">
      <c r="A11" s="716" t="s">
        <v>429</v>
      </c>
      <c r="B11" s="1772">
        <f>'Revenues 9-14'!J5</f>
        <v>53603</v>
      </c>
      <c r="C11" s="585"/>
      <c r="D11" s="1775">
        <f t="shared" si="0"/>
        <v>53603</v>
      </c>
      <c r="E11" s="585">
        <v>118001</v>
      </c>
      <c r="F11" s="1775">
        <f t="shared" si="1"/>
        <v>118001</v>
      </c>
    </row>
    <row r="12" spans="1:6" ht="13.7" customHeight="1" x14ac:dyDescent="0.2">
      <c r="A12" s="716" t="s">
        <v>159</v>
      </c>
      <c r="B12" s="1772">
        <f>'Revenues 9-14'!K5</f>
        <v>3603</v>
      </c>
      <c r="C12" s="585"/>
      <c r="D12" s="1775">
        <f t="shared" si="0"/>
        <v>3603</v>
      </c>
      <c r="E12" s="585">
        <v>3986</v>
      </c>
      <c r="F12" s="1775">
        <f t="shared" si="1"/>
        <v>3986</v>
      </c>
    </row>
    <row r="13" spans="1:6" ht="13.7" customHeight="1" x14ac:dyDescent="0.2">
      <c r="A13" s="716" t="s">
        <v>993</v>
      </c>
      <c r="B13" s="1772">
        <f>SUM('Revenues 9-14'!C6:D6)</f>
        <v>3603</v>
      </c>
      <c r="C13" s="585"/>
      <c r="D13" s="1775">
        <f t="shared" si="0"/>
        <v>3603</v>
      </c>
      <c r="E13" s="585">
        <v>3986</v>
      </c>
      <c r="F13" s="1775">
        <f t="shared" si="1"/>
        <v>3986</v>
      </c>
    </row>
    <row r="14" spans="1:6" ht="13.7" customHeight="1" x14ac:dyDescent="0.2">
      <c r="A14" s="716" t="s">
        <v>430</v>
      </c>
      <c r="B14" s="1772">
        <f>SUM('Revenues 9-14'!C7:D7,'Revenues 9-14'!F7:H7)</f>
        <v>2883</v>
      </c>
      <c r="C14" s="585"/>
      <c r="D14" s="1775">
        <f t="shared" si="0"/>
        <v>2883</v>
      </c>
      <c r="E14" s="585">
        <v>3188</v>
      </c>
      <c r="F14" s="1775">
        <f t="shared" si="1"/>
        <v>3188</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75809</v>
      </c>
      <c r="C16" s="585"/>
      <c r="D16" s="1775">
        <f t="shared" si="0"/>
        <v>75809</v>
      </c>
      <c r="E16" s="585">
        <v>64001</v>
      </c>
      <c r="F16" s="1775">
        <f t="shared" si="1"/>
        <v>64001</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26801</v>
      </c>
      <c r="C18" s="585"/>
      <c r="D18" s="1775">
        <f t="shared" si="0"/>
        <v>26801</v>
      </c>
      <c r="E18" s="585"/>
      <c r="F18" s="1775">
        <f t="shared" si="1"/>
        <v>0</v>
      </c>
    </row>
    <row r="19" spans="1:6" ht="13.7" customHeight="1" thickBot="1" x14ac:dyDescent="0.25">
      <c r="A19" s="1776" t="s">
        <v>1223</v>
      </c>
      <c r="B19" s="1773">
        <f>SUM(B4:B18)</f>
        <v>505331</v>
      </c>
      <c r="C19" s="1773">
        <f>SUM(C4:C18)</f>
        <v>0</v>
      </c>
      <c r="D19" s="1773">
        <f>SUM(D4:D18)</f>
        <v>505331</v>
      </c>
      <c r="E19" s="1773">
        <f>SUM(E4:E18)</f>
        <v>573833</v>
      </c>
      <c r="F19" s="1773">
        <f>SUM(F4:F18)</f>
        <v>573833</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F53" sqref="F53:G5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650</v>
      </c>
      <c r="B1" s="2220"/>
      <c r="C1" s="722"/>
    </row>
    <row r="2" spans="1:7" ht="33.75" x14ac:dyDescent="0.2">
      <c r="A2" s="2227" t="s">
        <v>1905</v>
      </c>
      <c r="B2" s="2228"/>
      <c r="C2" s="1908" t="s">
        <v>2038</v>
      </c>
      <c r="D2" s="724" t="s">
        <v>2045</v>
      </c>
      <c r="E2" s="724" t="s">
        <v>2046</v>
      </c>
      <c r="F2" s="1908" t="s">
        <v>2039</v>
      </c>
    </row>
    <row r="3" spans="1:7" ht="15.75" customHeight="1" x14ac:dyDescent="0.2">
      <c r="A3" s="2229" t="s">
        <v>1176</v>
      </c>
      <c r="B3" s="2230"/>
      <c r="C3" s="2223"/>
      <c r="D3" s="2224"/>
      <c r="E3" s="2224"/>
      <c r="F3" s="2225"/>
    </row>
    <row r="4" spans="1:7" ht="12.75" customHeight="1" thickBot="1" x14ac:dyDescent="0.25">
      <c r="A4" s="2217" t="s">
        <v>651</v>
      </c>
      <c r="B4" s="2218"/>
      <c r="C4" s="581"/>
      <c r="D4" s="581"/>
      <c r="E4" s="581"/>
      <c r="F4" s="1777">
        <f>SUM(C4+D4)-E4</f>
        <v>0</v>
      </c>
    </row>
    <row r="5" spans="1:7" ht="15.75" customHeight="1" thickTop="1" x14ac:dyDescent="0.2">
      <c r="A5" s="2221" t="s">
        <v>1172</v>
      </c>
      <c r="B5" s="2216"/>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3" t="s">
        <v>652</v>
      </c>
      <c r="B15" s="2214"/>
      <c r="C15" s="1777">
        <f>SUM(C6:C14)</f>
        <v>0</v>
      </c>
      <c r="D15" s="1777">
        <f>SUM(D6:D14)</f>
        <v>0</v>
      </c>
      <c r="E15" s="1777">
        <f>SUM(E6:E14)</f>
        <v>0</v>
      </c>
      <c r="F15" s="1777">
        <f>SUM(F6:F14)</f>
        <v>0</v>
      </c>
      <c r="G15" s="552"/>
    </row>
    <row r="16" spans="1:7" s="202" customFormat="1" ht="15.75" customHeight="1" thickTop="1" x14ac:dyDescent="0.2">
      <c r="A16" s="2226" t="s">
        <v>1173</v>
      </c>
      <c r="B16" s="2216"/>
      <c r="C16" s="2210"/>
      <c r="D16" s="2211"/>
      <c r="E16" s="2211"/>
      <c r="F16" s="2212"/>
    </row>
    <row r="17" spans="1:11" ht="12.75" customHeight="1" thickBot="1" x14ac:dyDescent="0.25">
      <c r="A17" s="2208" t="s">
        <v>66</v>
      </c>
      <c r="B17" s="2209"/>
      <c r="C17" s="727"/>
      <c r="D17" s="585"/>
      <c r="E17" s="727"/>
      <c r="F17" s="1777">
        <f>SUM(C17+D17)-E17</f>
        <v>0</v>
      </c>
    </row>
    <row r="18" spans="1:11" ht="12.75" customHeight="1" thickTop="1" thickBot="1" x14ac:dyDescent="0.25">
      <c r="A18" s="2208" t="s">
        <v>6</v>
      </c>
      <c r="B18" s="2209"/>
      <c r="C18" s="727"/>
      <c r="D18" s="585"/>
      <c r="E18" s="727"/>
      <c r="F18" s="1777">
        <f>SUM(C18+D18)-E18</f>
        <v>0</v>
      </c>
    </row>
    <row r="19" spans="1:11" ht="12.75" customHeight="1" thickTop="1" thickBot="1" x14ac:dyDescent="0.25">
      <c r="A19" s="2208" t="s">
        <v>406</v>
      </c>
      <c r="B19" s="2209"/>
      <c r="C19" s="727"/>
      <c r="D19" s="585"/>
      <c r="E19" s="727"/>
      <c r="F19" s="1777">
        <f>SUM(C19+D19)-E19</f>
        <v>0</v>
      </c>
    </row>
    <row r="20" spans="1:11" ht="12.75" customHeight="1" thickTop="1" thickBot="1" x14ac:dyDescent="0.25">
      <c r="A20" s="2208" t="s">
        <v>468</v>
      </c>
      <c r="B20" s="2209"/>
      <c r="C20" s="727"/>
      <c r="D20" s="585"/>
      <c r="E20" s="727"/>
      <c r="F20" s="1777">
        <f>SUM(C20+D20)-E20</f>
        <v>0</v>
      </c>
    </row>
    <row r="21" spans="1:11" ht="14.25" thickTop="1" thickBot="1" x14ac:dyDescent="0.25">
      <c r="A21" s="2213" t="s">
        <v>653</v>
      </c>
      <c r="B21" s="2214"/>
      <c r="C21" s="1777">
        <f>SUM(C17:C20)</f>
        <v>0</v>
      </c>
      <c r="D21" s="1777">
        <f>SUM(D17:D20)</f>
        <v>0</v>
      </c>
      <c r="E21" s="1777">
        <f>SUM(E17:E20)</f>
        <v>0</v>
      </c>
      <c r="F21" s="1777">
        <f>SUM(F17:F20)</f>
        <v>0</v>
      </c>
      <c r="G21" s="552"/>
    </row>
    <row r="22" spans="1:11" ht="15.75" customHeight="1" thickTop="1" x14ac:dyDescent="0.2">
      <c r="A22" s="2215" t="s">
        <v>1174</v>
      </c>
      <c r="B22" s="2216"/>
      <c r="C22" s="2210"/>
      <c r="D22" s="2211"/>
      <c r="E22" s="2211"/>
      <c r="F22" s="2212"/>
    </row>
    <row r="23" spans="1:11" ht="13.5" thickBot="1" x14ac:dyDescent="0.25">
      <c r="A23" s="2217" t="s">
        <v>654</v>
      </c>
      <c r="B23" s="2218"/>
      <c r="C23" s="581"/>
      <c r="D23" s="581"/>
      <c r="E23" s="581"/>
      <c r="F23" s="1777">
        <f>SUM(C23+D23)-E23</f>
        <v>0</v>
      </c>
      <c r="G23" s="552"/>
    </row>
    <row r="24" spans="1:11" ht="15.75" customHeight="1" thickTop="1" x14ac:dyDescent="0.2">
      <c r="A24" s="2215" t="s">
        <v>1175</v>
      </c>
      <c r="B24" s="2216"/>
      <c r="C24" s="2210"/>
      <c r="D24" s="2211"/>
      <c r="E24" s="2211"/>
      <c r="F24" s="2212"/>
    </row>
    <row r="25" spans="1:11" ht="13.5" thickBot="1" x14ac:dyDescent="0.25">
      <c r="A25" s="2217" t="s">
        <v>655</v>
      </c>
      <c r="B25" s="2218"/>
      <c r="C25" s="581"/>
      <c r="D25" s="581"/>
      <c r="E25" s="581"/>
      <c r="F25" s="1777">
        <f>SUM(C25+D25)-E25</f>
        <v>0</v>
      </c>
      <c r="G25" s="552"/>
    </row>
    <row r="26" spans="1:11" ht="15.75" customHeight="1" thickTop="1" x14ac:dyDescent="0.2">
      <c r="A26" s="2221" t="s">
        <v>678</v>
      </c>
      <c r="B26" s="2216"/>
      <c r="C26" s="728"/>
      <c r="D26" s="728"/>
      <c r="E26" s="728"/>
      <c r="F26" s="729"/>
    </row>
    <row r="27" spans="1:11" ht="13.5" thickBot="1" x14ac:dyDescent="0.25">
      <c r="A27" s="2213" t="s">
        <v>1130</v>
      </c>
      <c r="B27" s="2214"/>
      <c r="C27" s="585"/>
      <c r="D27" s="585"/>
      <c r="E27" s="585"/>
      <c r="F27" s="1777">
        <f>SUM(C27+D27)-E27</f>
        <v>0</v>
      </c>
      <c r="G27" s="552"/>
    </row>
    <row r="28" spans="1:11" ht="7.5" customHeight="1" thickTop="1" x14ac:dyDescent="0.2">
      <c r="A28" s="594"/>
    </row>
    <row r="29" spans="1:11" ht="23.25" customHeight="1" x14ac:dyDescent="0.2">
      <c r="A29" s="2219" t="s">
        <v>603</v>
      </c>
      <c r="B29" s="2220"/>
      <c r="C29" s="730"/>
      <c r="D29" s="730"/>
      <c r="E29" s="730"/>
      <c r="F29" s="730"/>
      <c r="G29" s="730"/>
      <c r="H29" s="730"/>
      <c r="I29" s="730"/>
      <c r="J29" s="730"/>
    </row>
    <row r="30" spans="1:11" ht="33.75" x14ac:dyDescent="0.2">
      <c r="A30" s="1551"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t="s">
        <v>2094</v>
      </c>
      <c r="B31" s="734"/>
      <c r="C31" s="735"/>
      <c r="D31" s="736">
        <v>7</v>
      </c>
      <c r="E31" s="735">
        <v>133533</v>
      </c>
      <c r="F31" s="735"/>
      <c r="G31" s="735"/>
      <c r="H31" s="735">
        <v>21893</v>
      </c>
      <c r="I31" s="1778">
        <f>((E31+F31)-H31)+G31</f>
        <v>111640</v>
      </c>
      <c r="J31" s="735">
        <f>111640-441</f>
        <v>111199</v>
      </c>
      <c r="K31" s="737"/>
    </row>
    <row r="32" spans="1:11" ht="12" customHeight="1" x14ac:dyDescent="0.2">
      <c r="A32" s="733" t="s">
        <v>2095</v>
      </c>
      <c r="B32" s="734">
        <v>39814</v>
      </c>
      <c r="C32" s="735">
        <v>149979</v>
      </c>
      <c r="D32" s="736">
        <v>4</v>
      </c>
      <c r="E32" s="735">
        <v>10463</v>
      </c>
      <c r="F32" s="735"/>
      <c r="G32" s="735"/>
      <c r="H32" s="735">
        <v>10463</v>
      </c>
      <c r="I32" s="1778">
        <f>((E32+F32)-H32)+G32</f>
        <v>0</v>
      </c>
      <c r="J32" s="735"/>
      <c r="K32" s="737"/>
    </row>
    <row r="33" spans="1:11" ht="12" customHeight="1" x14ac:dyDescent="0.2">
      <c r="A33" s="733" t="s">
        <v>2096</v>
      </c>
      <c r="B33" s="734">
        <v>41091</v>
      </c>
      <c r="C33" s="735">
        <v>150000</v>
      </c>
      <c r="D33" s="736">
        <v>1</v>
      </c>
      <c r="E33" s="735">
        <v>150000</v>
      </c>
      <c r="F33" s="735"/>
      <c r="G33" s="735"/>
      <c r="H33" s="735">
        <v>20000</v>
      </c>
      <c r="I33" s="1778">
        <f t="shared" ref="I33:I48" si="1">((E33+F33)-H33)+G33</f>
        <v>130000</v>
      </c>
      <c r="J33" s="735">
        <v>130000</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299979</v>
      </c>
      <c r="D49" s="746"/>
      <c r="E49" s="1778">
        <f t="shared" ref="E49:J49" si="2">SUM(E31:E48)</f>
        <v>293996</v>
      </c>
      <c r="F49" s="1778">
        <f t="shared" si="2"/>
        <v>0</v>
      </c>
      <c r="G49" s="1778">
        <f t="shared" si="2"/>
        <v>0</v>
      </c>
      <c r="H49" s="1778">
        <f t="shared" si="2"/>
        <v>52356</v>
      </c>
      <c r="I49" s="1778">
        <f t="shared" si="2"/>
        <v>241640</v>
      </c>
      <c r="J49" s="1778">
        <f t="shared" si="2"/>
        <v>241199</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2" t="s">
        <v>605</v>
      </c>
      <c r="C52" s="2203"/>
      <c r="D52" s="2203"/>
      <c r="E52" s="750" t="s">
        <v>900</v>
      </c>
      <c r="F52" s="2204" t="s">
        <v>2097</v>
      </c>
      <c r="G52" s="2205"/>
      <c r="H52" s="737"/>
      <c r="I52" s="737"/>
      <c r="J52" s="747"/>
    </row>
    <row r="53" spans="1:11" ht="11.25" customHeight="1" x14ac:dyDescent="0.2">
      <c r="A53" s="751" t="s">
        <v>969</v>
      </c>
      <c r="B53" s="752" t="s">
        <v>1008</v>
      </c>
      <c r="C53" s="747"/>
      <c r="D53" s="738"/>
      <c r="E53" s="750" t="s">
        <v>518</v>
      </c>
      <c r="F53" s="2206"/>
      <c r="G53" s="2207"/>
      <c r="H53" s="737"/>
      <c r="I53" s="737"/>
      <c r="J53" s="747"/>
    </row>
    <row r="54" spans="1:11" ht="11.25" customHeight="1" x14ac:dyDescent="0.2">
      <c r="A54" s="753" t="s">
        <v>970</v>
      </c>
      <c r="B54" s="748" t="s">
        <v>1009</v>
      </c>
      <c r="C54" s="747"/>
      <c r="D54" s="738"/>
      <c r="E54" s="750" t="s">
        <v>519</v>
      </c>
      <c r="F54" s="2206"/>
      <c r="G54" s="220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911</v>
      </c>
      <c r="B1" s="2232"/>
      <c r="C1" s="2232"/>
      <c r="D1" s="2232"/>
      <c r="E1" s="2232"/>
      <c r="F1" s="2232"/>
      <c r="G1" s="2233"/>
      <c r="H1" s="1552"/>
      <c r="I1" s="761"/>
      <c r="J1" s="433"/>
    </row>
    <row r="2" spans="1:11" ht="26.25" x14ac:dyDescent="0.2">
      <c r="A2" s="2250" t="s">
        <v>1776</v>
      </c>
      <c r="B2" s="2251"/>
      <c r="C2" s="2251"/>
      <c r="D2" s="2251"/>
      <c r="E2" s="2252"/>
      <c r="F2" s="762" t="s">
        <v>960</v>
      </c>
      <c r="G2" s="763" t="s">
        <v>1773</v>
      </c>
      <c r="H2" s="763" t="s">
        <v>430</v>
      </c>
      <c r="I2" s="763" t="s">
        <v>1220</v>
      </c>
      <c r="J2" s="763" t="s">
        <v>1919</v>
      </c>
      <c r="K2" s="763" t="s">
        <v>140</v>
      </c>
    </row>
    <row r="3" spans="1:11" x14ac:dyDescent="0.2">
      <c r="A3" s="2253" t="s">
        <v>1698</v>
      </c>
      <c r="B3" s="2254"/>
      <c r="C3" s="2254"/>
      <c r="D3" s="2254"/>
      <c r="E3" s="2255"/>
      <c r="F3" s="764"/>
      <c r="G3" s="765"/>
      <c r="H3" s="765"/>
      <c r="I3" s="765"/>
      <c r="J3" s="766"/>
      <c r="K3" s="766"/>
    </row>
    <row r="4" spans="1:11" x14ac:dyDescent="0.2">
      <c r="A4" s="2256" t="s">
        <v>387</v>
      </c>
      <c r="B4" s="2257"/>
      <c r="C4" s="2257"/>
      <c r="D4" s="2257"/>
      <c r="E4" s="2203"/>
      <c r="F4" s="767"/>
      <c r="G4" s="768"/>
      <c r="H4" s="769"/>
      <c r="I4" s="768"/>
      <c r="J4" s="770"/>
      <c r="K4" s="770"/>
    </row>
    <row r="5" spans="1:11" x14ac:dyDescent="0.2">
      <c r="A5" s="2234" t="s">
        <v>1129</v>
      </c>
      <c r="B5" s="2235"/>
      <c r="C5" s="2235"/>
      <c r="D5" s="2235"/>
      <c r="E5" s="2236"/>
      <c r="F5" s="771" t="s">
        <v>903</v>
      </c>
      <c r="G5" s="772"/>
      <c r="H5" s="765">
        <v>2883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3800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7629</v>
      </c>
    </row>
    <row r="10" spans="1:11" x14ac:dyDescent="0.2">
      <c r="A10" s="2234" t="s">
        <v>1920</v>
      </c>
      <c r="B10" s="2235"/>
      <c r="C10" s="2235"/>
      <c r="D10" s="2235"/>
      <c r="E10" s="2237"/>
      <c r="F10" s="784" t="s">
        <v>917</v>
      </c>
      <c r="G10" s="783"/>
      <c r="H10" s="785"/>
      <c r="I10" s="765"/>
      <c r="J10" s="766"/>
      <c r="K10" s="766"/>
    </row>
    <row r="11" spans="1:11" x14ac:dyDescent="0.2">
      <c r="A11" s="2234" t="s">
        <v>162</v>
      </c>
      <c r="B11" s="2235"/>
      <c r="C11" s="2235"/>
      <c r="D11" s="2235"/>
      <c r="E11" s="2236"/>
      <c r="F11" s="771" t="s">
        <v>907</v>
      </c>
      <c r="G11" s="772"/>
      <c r="H11" s="765"/>
      <c r="I11" s="765"/>
      <c r="J11" s="766"/>
      <c r="K11" s="774"/>
    </row>
    <row r="12" spans="1:11" ht="13.5" thickBot="1" x14ac:dyDescent="0.25">
      <c r="A12" s="2261" t="s">
        <v>961</v>
      </c>
      <c r="B12" s="2262"/>
      <c r="C12" s="2262"/>
      <c r="D12" s="2262"/>
      <c r="E12" s="2263"/>
      <c r="F12" s="1779"/>
      <c r="G12" s="1780">
        <f>SUM(G5:G11)</f>
        <v>0</v>
      </c>
      <c r="H12" s="1780">
        <f>SUM(H5:H11)</f>
        <v>2883</v>
      </c>
      <c r="I12" s="1780">
        <f>SUM(I5:I11)</f>
        <v>0</v>
      </c>
      <c r="J12" s="1780">
        <f>SUM(J5:J11)</f>
        <v>0</v>
      </c>
      <c r="K12" s="1780">
        <f>SUM(K5:K11)</f>
        <v>11429</v>
      </c>
    </row>
    <row r="13" spans="1:11" ht="13.5" thickTop="1" x14ac:dyDescent="0.2">
      <c r="A13" s="2258" t="s">
        <v>388</v>
      </c>
      <c r="B13" s="2259"/>
      <c r="C13" s="2259"/>
      <c r="D13" s="2259"/>
      <c r="E13" s="2260"/>
      <c r="F13" s="786"/>
      <c r="G13" s="787"/>
      <c r="H13" s="788"/>
      <c r="I13" s="789"/>
      <c r="J13" s="789"/>
      <c r="K13" s="789"/>
    </row>
    <row r="14" spans="1:11" x14ac:dyDescent="0.2">
      <c r="A14" s="2241" t="s">
        <v>476</v>
      </c>
      <c r="B14" s="2241"/>
      <c r="C14" s="2241"/>
      <c r="D14" s="2241"/>
      <c r="E14" s="2242"/>
      <c r="F14" s="790" t="s">
        <v>909</v>
      </c>
      <c r="G14" s="783"/>
      <c r="H14" s="765">
        <v>2883</v>
      </c>
      <c r="I14" s="772"/>
      <c r="J14" s="774"/>
      <c r="K14" s="766">
        <v>11429</v>
      </c>
    </row>
    <row r="15" spans="1:11" x14ac:dyDescent="0.2">
      <c r="A15" s="2235" t="s">
        <v>4</v>
      </c>
      <c r="B15" s="2235"/>
      <c r="C15" s="2235"/>
      <c r="D15" s="2235"/>
      <c r="E15" s="2236"/>
      <c r="F15" s="790" t="s">
        <v>910</v>
      </c>
      <c r="G15" s="772"/>
      <c r="H15" s="765"/>
      <c r="I15" s="765"/>
      <c r="J15" s="766"/>
      <c r="K15" s="766"/>
    </row>
    <row r="16" spans="1:11" x14ac:dyDescent="0.2">
      <c r="A16" s="2235" t="s">
        <v>316</v>
      </c>
      <c r="B16" s="2235"/>
      <c r="C16" s="2235"/>
      <c r="D16" s="2235"/>
      <c r="E16" s="2236"/>
      <c r="F16" s="790" t="s">
        <v>980</v>
      </c>
      <c r="G16" s="773"/>
      <c r="H16" s="768"/>
      <c r="I16" s="768"/>
      <c r="J16" s="770"/>
      <c r="K16" s="770"/>
    </row>
    <row r="17" spans="1:11" x14ac:dyDescent="0.2">
      <c r="A17" s="2266" t="s">
        <v>992</v>
      </c>
      <c r="B17" s="2266"/>
      <c r="C17" s="2266"/>
      <c r="D17" s="2266"/>
      <c r="E17" s="2267"/>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43" t="s">
        <v>1916</v>
      </c>
      <c r="B19" s="2243"/>
      <c r="C19" s="2243"/>
      <c r="D19" s="2243"/>
      <c r="E19" s="2244"/>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64" t="s">
        <v>659</v>
      </c>
      <c r="B21" s="2264"/>
      <c r="C21" s="2264"/>
      <c r="D21" s="2264"/>
      <c r="E21" s="2264"/>
      <c r="F21" s="1781"/>
      <c r="G21" s="793"/>
      <c r="H21" s="797"/>
      <c r="I21" s="797"/>
      <c r="J21" s="1782">
        <f>SUM(J18:J20)</f>
        <v>0</v>
      </c>
      <c r="K21" s="794"/>
    </row>
    <row r="22" spans="1:11" ht="13.5" thickTop="1" x14ac:dyDescent="0.2">
      <c r="A22" s="2235" t="s">
        <v>1922</v>
      </c>
      <c r="B22" s="2235"/>
      <c r="C22" s="2235"/>
      <c r="D22" s="2235"/>
      <c r="E22" s="2236"/>
      <c r="F22" s="790" t="s">
        <v>917</v>
      </c>
      <c r="G22" s="783"/>
      <c r="H22" s="765"/>
      <c r="I22" s="765"/>
      <c r="J22" s="798"/>
      <c r="K22" s="766"/>
    </row>
    <row r="23" spans="1:11" ht="13.5" thickBot="1" x14ac:dyDescent="0.25">
      <c r="A23" s="2265" t="s">
        <v>962</v>
      </c>
      <c r="B23" s="2264"/>
      <c r="C23" s="2264"/>
      <c r="D23" s="2264"/>
      <c r="E23" s="2264"/>
      <c r="F23" s="1783"/>
      <c r="G23" s="1780">
        <f>SUM(G14:G16,G21,G22)</f>
        <v>0</v>
      </c>
      <c r="H23" s="1780">
        <f>SUM(H14:H16,H21,H22)</f>
        <v>2883</v>
      </c>
      <c r="I23" s="1780">
        <f>SUM(I14:I16,I21,I22)</f>
        <v>0</v>
      </c>
      <c r="J23" s="1780">
        <f>SUM(J14:J16,J21,J22)</f>
        <v>0</v>
      </c>
      <c r="K23" s="1780">
        <f>SUM(K14:K16,K21,K22)</f>
        <v>11429</v>
      </c>
    </row>
    <row r="24" spans="1:11" ht="14.25" thickTop="1" thickBot="1" x14ac:dyDescent="0.25">
      <c r="A24" s="2265" t="s">
        <v>2026</v>
      </c>
      <c r="B24" s="2264"/>
      <c r="C24" s="2264"/>
      <c r="D24" s="2264"/>
      <c r="E24" s="2264"/>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8"/>
      <c r="I31" s="2239"/>
      <c r="J31" s="2239"/>
      <c r="K31" s="2239"/>
    </row>
    <row r="32" spans="1:11" x14ac:dyDescent="0.2">
      <c r="A32" s="810"/>
      <c r="B32" s="237"/>
      <c r="C32" s="237"/>
      <c r="D32" s="237"/>
      <c r="E32" s="806"/>
      <c r="F32" s="812" t="s">
        <v>561</v>
      </c>
      <c r="G32" s="765"/>
      <c r="H32" s="2240"/>
      <c r="I32" s="2239"/>
      <c r="J32" s="2239"/>
      <c r="K32" s="2239"/>
    </row>
    <row r="33" spans="1:11" ht="1.5" customHeight="1" x14ac:dyDescent="0.2">
      <c r="A33" s="813" t="s">
        <v>1231</v>
      </c>
      <c r="B33" s="364"/>
      <c r="C33" s="364"/>
      <c r="D33" s="364"/>
      <c r="E33" s="364"/>
      <c r="F33" s="364"/>
      <c r="G33" s="814"/>
      <c r="H33" s="2240"/>
      <c r="I33" s="2239"/>
      <c r="J33" s="2239"/>
      <c r="K33" s="223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5" t="s">
        <v>562</v>
      </c>
      <c r="B41" s="2248"/>
      <c r="C41" s="2248"/>
      <c r="D41" s="2248"/>
      <c r="E41" s="2248"/>
      <c r="F41" s="224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2" sqref="F12:F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7"/>
      <c r="E1" s="828"/>
      <c r="F1" s="828"/>
      <c r="G1" s="829"/>
      <c r="H1" s="830"/>
      <c r="I1" s="831"/>
      <c r="J1" s="2268"/>
      <c r="K1" s="2269"/>
      <c r="L1" s="226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99312</v>
      </c>
      <c r="D5" s="842"/>
      <c r="E5" s="842"/>
      <c r="F5" s="1782">
        <f>(C5+D5)-E5</f>
        <v>99312</v>
      </c>
      <c r="G5" s="838"/>
      <c r="H5" s="843"/>
      <c r="I5" s="843"/>
      <c r="J5" s="843"/>
      <c r="K5" s="794"/>
      <c r="L5" s="1791">
        <f>F5-K5</f>
        <v>99312</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2246964</v>
      </c>
      <c r="D8" s="845"/>
      <c r="E8" s="845"/>
      <c r="F8" s="1782">
        <f>(C8+D8)-E8</f>
        <v>2246964</v>
      </c>
      <c r="G8" s="844">
        <v>50</v>
      </c>
      <c r="H8" s="766">
        <v>1305149</v>
      </c>
      <c r="I8" s="766">
        <v>66093</v>
      </c>
      <c r="J8" s="766"/>
      <c r="K8" s="1791">
        <f>(H8+I8)-J8</f>
        <v>1371242</v>
      </c>
      <c r="L8" s="1791">
        <f>F8-K8</f>
        <v>875722</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176024</v>
      </c>
      <c r="D10" s="847"/>
      <c r="E10" s="847"/>
      <c r="F10" s="1786">
        <f>(C10+D10)-E10</f>
        <v>176024</v>
      </c>
      <c r="G10" s="844">
        <v>20</v>
      </c>
      <c r="H10" s="848">
        <v>96176</v>
      </c>
      <c r="I10" s="848">
        <v>5864</v>
      </c>
      <c r="J10" s="848"/>
      <c r="K10" s="1791">
        <f>(H10+I10)-J10</f>
        <v>102040</v>
      </c>
      <c r="L10" s="1791">
        <f>F10-K10</f>
        <v>73984</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1628238</v>
      </c>
      <c r="D12" s="845"/>
      <c r="E12" s="845"/>
      <c r="F12" s="1782">
        <f>(C12+D12)-E12</f>
        <v>1628238</v>
      </c>
      <c r="G12" s="844">
        <v>10</v>
      </c>
      <c r="H12" s="766">
        <v>1606581</v>
      </c>
      <c r="I12" s="766">
        <v>10714</v>
      </c>
      <c r="J12" s="766"/>
      <c r="K12" s="1791">
        <f>(H12+I12)-J12</f>
        <v>1617295</v>
      </c>
      <c r="L12" s="1791">
        <f>F12-K12</f>
        <v>10943</v>
      </c>
    </row>
    <row r="13" spans="1:14" ht="14.25" thickTop="1" thickBot="1" x14ac:dyDescent="0.25">
      <c r="A13" s="849" t="s">
        <v>1184</v>
      </c>
      <c r="B13" s="841">
        <v>252</v>
      </c>
      <c r="C13" s="845">
        <v>88361</v>
      </c>
      <c r="D13" s="845"/>
      <c r="E13" s="845"/>
      <c r="F13" s="1782">
        <f>(C13+D13)-E13</f>
        <v>88361</v>
      </c>
      <c r="G13" s="844">
        <v>5</v>
      </c>
      <c r="H13" s="766">
        <v>73300</v>
      </c>
      <c r="I13" s="766">
        <v>9489</v>
      </c>
      <c r="J13" s="766"/>
      <c r="K13" s="1791">
        <f>(H13+I13)-J13</f>
        <v>82789</v>
      </c>
      <c r="L13" s="1791">
        <f>F13-K13</f>
        <v>5572</v>
      </c>
    </row>
    <row r="14" spans="1:14" ht="14.25" thickTop="1" thickBot="1" x14ac:dyDescent="0.25">
      <c r="A14" s="849" t="s">
        <v>1185</v>
      </c>
      <c r="B14" s="841">
        <v>253</v>
      </c>
      <c r="C14" s="766">
        <v>79833</v>
      </c>
      <c r="D14" s="766"/>
      <c r="E14" s="766"/>
      <c r="F14" s="1782">
        <f>(C14+D14)-E14</f>
        <v>79833</v>
      </c>
      <c r="G14" s="844">
        <v>3</v>
      </c>
      <c r="H14" s="766">
        <v>61432</v>
      </c>
      <c r="I14" s="766">
        <v>2914</v>
      </c>
      <c r="J14" s="766"/>
      <c r="K14" s="1791">
        <f>(H14+I14)-J14</f>
        <v>64346</v>
      </c>
      <c r="L14" s="1791">
        <f>F14-K14</f>
        <v>15487</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4318732</v>
      </c>
      <c r="D16" s="1782">
        <f>SUM(D3,D5:D6,D8:D10,D12:D15)</f>
        <v>0</v>
      </c>
      <c r="E16" s="1782">
        <f>SUM(E3,E5:E6,E8:E10,E12:E15)</f>
        <v>0</v>
      </c>
      <c r="F16" s="1782">
        <f>SUM(F3,F5:F6,F8:F10,F12:F15)</f>
        <v>4318732</v>
      </c>
      <c r="G16" s="844"/>
      <c r="H16" s="1782">
        <f>SUM(H3,H6,H8:H10,H12:H14,)</f>
        <v>3142638</v>
      </c>
      <c r="I16" s="1782">
        <f>SUM(I3,I6,I8:I10,I12:I14,)</f>
        <v>95074</v>
      </c>
      <c r="J16" s="1782">
        <f>SUM(J3,J6,J8:J10,J12:J14,)</f>
        <v>0</v>
      </c>
      <c r="K16" s="1782">
        <f>(H16+I16)-J16</f>
        <v>3237712</v>
      </c>
      <c r="L16" s="1782">
        <f>F16-K16</f>
        <v>1081020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95074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79"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3613652</v>
      </c>
      <c r="G8" s="866"/>
    </row>
    <row r="9" spans="1:7" x14ac:dyDescent="0.2">
      <c r="A9" s="870" t="s">
        <v>480</v>
      </c>
      <c r="B9" s="871" t="s">
        <v>1989</v>
      </c>
      <c r="C9" s="872"/>
      <c r="D9" s="870" t="s">
        <v>522</v>
      </c>
      <c r="E9" s="869"/>
      <c r="F9" s="1934">
        <f>'Expenditures 15-22'!K151</f>
        <v>288783</v>
      </c>
      <c r="G9" s="873"/>
    </row>
    <row r="10" spans="1:7" x14ac:dyDescent="0.2">
      <c r="A10" s="870" t="s">
        <v>520</v>
      </c>
      <c r="B10" s="871" t="s">
        <v>1990</v>
      </c>
      <c r="C10" s="872"/>
      <c r="D10" s="870" t="s">
        <v>522</v>
      </c>
      <c r="E10" s="869"/>
      <c r="F10" s="1934">
        <f>'Expenditures 15-22'!K174</f>
        <v>68364</v>
      </c>
      <c r="G10" s="873"/>
    </row>
    <row r="11" spans="1:7" x14ac:dyDescent="0.2">
      <c r="A11" s="870" t="s">
        <v>481</v>
      </c>
      <c r="B11" s="871" t="s">
        <v>1991</v>
      </c>
      <c r="C11" s="872"/>
      <c r="D11" s="870" t="s">
        <v>522</v>
      </c>
      <c r="E11" s="869"/>
      <c r="F11" s="1934">
        <f>'Expenditures 15-22'!K210</f>
        <v>183152</v>
      </c>
      <c r="G11" s="873"/>
    </row>
    <row r="12" spans="1:7" x14ac:dyDescent="0.2">
      <c r="A12" s="870" t="s">
        <v>482</v>
      </c>
      <c r="B12" s="871" t="s">
        <v>1992</v>
      </c>
      <c r="C12" s="872"/>
      <c r="D12" s="870" t="s">
        <v>522</v>
      </c>
      <c r="E12" s="869"/>
      <c r="F12" s="1934">
        <f>'Expenditures 15-22'!K295</f>
        <v>132224</v>
      </c>
      <c r="G12" s="873"/>
    </row>
    <row r="13" spans="1:7" x14ac:dyDescent="0.2">
      <c r="A13" s="870" t="s">
        <v>108</v>
      </c>
      <c r="B13" s="871" t="s">
        <v>1993</v>
      </c>
      <c r="C13" s="872"/>
      <c r="D13" s="870" t="s">
        <v>522</v>
      </c>
      <c r="E13" s="869"/>
      <c r="F13" s="1934">
        <f>'Expenditures 15-22'!K342</f>
        <v>115346</v>
      </c>
      <c r="G13" s="874"/>
    </row>
    <row r="14" spans="1:7" ht="12" customHeight="1" thickBot="1" x14ac:dyDescent="0.25">
      <c r="A14" s="1792"/>
      <c r="B14" s="1793"/>
      <c r="C14" s="1794"/>
      <c r="D14" s="1795" t="s">
        <v>522</v>
      </c>
      <c r="E14" s="1796" t="s">
        <v>1015</v>
      </c>
      <c r="F14" s="1797">
        <f>SUM(F8:F13)</f>
        <v>4401521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103231</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33006</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3905</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44013</v>
      </c>
      <c r="G52" s="866"/>
    </row>
    <row r="53" spans="1:7" x14ac:dyDescent="0.2">
      <c r="A53" s="870" t="s">
        <v>479</v>
      </c>
      <c r="B53" s="870" t="s">
        <v>1551</v>
      </c>
      <c r="C53" s="890">
        <f>'Expenditures 15-22'!B102</f>
        <v>4000</v>
      </c>
      <c r="D53" s="889" t="str">
        <f>'Expenditures 15-22'!A102</f>
        <v>Total Payments to Other Govt Units</v>
      </c>
      <c r="E53" s="869"/>
      <c r="F53" s="1938">
        <f>'Expenditures 15-22'!K102</f>
        <v>234321</v>
      </c>
      <c r="G53" s="866"/>
    </row>
    <row r="54" spans="1:7" x14ac:dyDescent="0.2">
      <c r="A54" s="870" t="s">
        <v>479</v>
      </c>
      <c r="B54" s="870" t="s">
        <v>1552</v>
      </c>
      <c r="C54" s="890" t="s">
        <v>1039</v>
      </c>
      <c r="D54" s="886" t="s">
        <v>1157</v>
      </c>
      <c r="E54" s="869"/>
      <c r="F54" s="1938">
        <f>'Expenditures 15-22'!G114</f>
        <v>0</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0</v>
      </c>
      <c r="G57" s="866"/>
    </row>
    <row r="58" spans="1:7" x14ac:dyDescent="0.2">
      <c r="A58" s="870" t="s">
        <v>480</v>
      </c>
      <c r="B58" s="870" t="s">
        <v>1995</v>
      </c>
      <c r="C58" s="887" t="s">
        <v>1039</v>
      </c>
      <c r="D58" s="886" t="s">
        <v>1157</v>
      </c>
      <c r="E58" s="869"/>
      <c r="F58" s="1940">
        <f>'Expenditures 15-22'!G151</f>
        <v>0</v>
      </c>
      <c r="G58" s="866"/>
    </row>
    <row r="59" spans="1:7" x14ac:dyDescent="0.2">
      <c r="A59" s="894" t="s">
        <v>480</v>
      </c>
      <c r="B59" s="857" t="s">
        <v>1996</v>
      </c>
      <c r="C59" s="895" t="s">
        <v>1039</v>
      </c>
      <c r="D59" s="857" t="s">
        <v>309</v>
      </c>
      <c r="F59" s="1941">
        <f>'Expenditures 15-22'!I151</f>
        <v>0</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52356</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2001</v>
      </c>
      <c r="C64" s="897" t="str">
        <f>'Expenditures 15-22'!B206</f>
        <v>5300</v>
      </c>
      <c r="D64" s="893" t="s">
        <v>329</v>
      </c>
      <c r="E64" s="869"/>
      <c r="F64" s="1938">
        <f>'Expenditures 15-22'!K206</f>
        <v>0</v>
      </c>
      <c r="G64" s="866"/>
    </row>
    <row r="65" spans="1:8" x14ac:dyDescent="0.2">
      <c r="A65" s="870" t="s">
        <v>481</v>
      </c>
      <c r="B65" s="870" t="s">
        <v>2002</v>
      </c>
      <c r="C65" s="887" t="s">
        <v>1039</v>
      </c>
      <c r="D65" s="886" t="s">
        <v>1157</v>
      </c>
      <c r="E65" s="869"/>
      <c r="F65" s="1938">
        <f>'Expenditures 15-22'!G210</f>
        <v>0</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5084</v>
      </c>
      <c r="G67" s="866"/>
    </row>
    <row r="68" spans="1:8" x14ac:dyDescent="0.2">
      <c r="A68" s="870" t="s">
        <v>482</v>
      </c>
      <c r="B68" s="870" t="s">
        <v>1555</v>
      </c>
      <c r="C68" s="887" t="str">
        <f>'Expenditures 15-22'!B218</f>
        <v>1225</v>
      </c>
      <c r="D68" s="893" t="str">
        <f>'Expenditures 15-22'!A218</f>
        <v>Special Education Programs - Pre-K</v>
      </c>
      <c r="E68" s="869"/>
      <c r="F68" s="1938">
        <f>'Expenditures 15-22'!K218</f>
        <v>335</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0</v>
      </c>
      <c r="G71" s="866"/>
    </row>
    <row r="72" spans="1:8" x14ac:dyDescent="0.2">
      <c r="A72" s="870" t="s">
        <v>482</v>
      </c>
      <c r="B72" s="870" t="s">
        <v>2008</v>
      </c>
      <c r="C72" s="887">
        <f>'Expenditures 15-22'!B280</f>
        <v>3000</v>
      </c>
      <c r="D72" s="877" t="s">
        <v>469</v>
      </c>
      <c r="E72" s="869"/>
      <c r="F72" s="1938">
        <f>'Expenditures 15-22'!K280</f>
        <v>6138</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0</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482389</v>
      </c>
      <c r="G76" s="866"/>
    </row>
    <row r="77" spans="1:8" s="894" customFormat="1" ht="12" customHeight="1" thickTop="1" thickBot="1" x14ac:dyDescent="0.25">
      <c r="A77" s="1801"/>
      <c r="B77" s="1798"/>
      <c r="C77" s="1794"/>
      <c r="D77" s="1799" t="s">
        <v>2012</v>
      </c>
      <c r="E77" s="1796"/>
      <c r="F77" s="1802">
        <f>(F14-F76)</f>
        <v>3919132</v>
      </c>
      <c r="G77" s="870"/>
    </row>
    <row r="78" spans="1:8" s="894" customFormat="1" ht="12" customHeight="1" thickTop="1" x14ac:dyDescent="0.2">
      <c r="A78" s="1803"/>
      <c r="B78" s="1798"/>
      <c r="C78" s="1794"/>
      <c r="D78" s="1799" t="s">
        <v>2059</v>
      </c>
      <c r="E78" s="1796"/>
      <c r="F78" s="899">
        <v>392.59</v>
      </c>
      <c r="G78" s="900"/>
      <c r="H78" s="870"/>
    </row>
    <row r="79" spans="1:8" s="894" customFormat="1" ht="12" customHeight="1" thickBot="1" x14ac:dyDescent="0.25">
      <c r="A79" s="1804"/>
      <c r="B79" s="1798"/>
      <c r="C79" s="1794"/>
      <c r="D79" s="1799" t="s">
        <v>2013</v>
      </c>
      <c r="E79" s="1796" t="s">
        <v>1015</v>
      </c>
      <c r="F79" s="1805">
        <f>IF(F78&gt;0,F77/F78," Complete Line 78")</f>
        <v>9982.7606408721567</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5804</v>
      </c>
      <c r="G94" s="913"/>
    </row>
    <row r="95" spans="1:7" x14ac:dyDescent="0.2">
      <c r="A95" s="909" t="s">
        <v>142</v>
      </c>
      <c r="B95" s="909" t="s">
        <v>177</v>
      </c>
      <c r="C95" s="911">
        <v>1700</v>
      </c>
      <c r="D95" s="919" t="str">
        <f>'Revenues 9-14'!A82</f>
        <v>Total District/School Activity Income</v>
      </c>
      <c r="E95" s="907"/>
      <c r="F95" s="1811">
        <f>SUM('Revenues 9-14'!C82,'Revenues 9-14'!D82)</f>
        <v>11700</v>
      </c>
      <c r="G95" s="913"/>
    </row>
    <row r="96" spans="1:7" x14ac:dyDescent="0.2">
      <c r="A96" s="909" t="s">
        <v>479</v>
      </c>
      <c r="B96" s="909" t="s">
        <v>178</v>
      </c>
      <c r="C96" s="911">
        <f>'Revenues 9-14'!B84</f>
        <v>1811</v>
      </c>
      <c r="D96" s="912" t="str">
        <f>'Revenues 9-14'!A84</f>
        <v>Rentals - Regular Textbooks</v>
      </c>
      <c r="E96" s="907"/>
      <c r="F96" s="1811">
        <f>'Revenues 9-14'!C84</f>
        <v>15672</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178</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101580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47794</v>
      </c>
      <c r="G107" s="913"/>
    </row>
    <row r="108" spans="1:7" x14ac:dyDescent="0.2">
      <c r="A108" s="909" t="s">
        <v>479</v>
      </c>
      <c r="B108" s="909" t="s">
        <v>844</v>
      </c>
      <c r="C108" s="921">
        <f>'Revenues 9-14'!B145</f>
        <v>3360</v>
      </c>
      <c r="D108" s="912" t="str">
        <f>'Revenues 9-14'!A145</f>
        <v>State Free Lunch &amp; Breakfast</v>
      </c>
      <c r="E108" s="907"/>
      <c r="F108" s="1811">
        <f>'Revenues 9-14'!C145</f>
        <v>4609</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7629</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97792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33273</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13533</v>
      </c>
      <c r="G128" s="931"/>
    </row>
    <row r="129" spans="1:7" x14ac:dyDescent="0.2">
      <c r="A129" s="928" t="s">
        <v>685</v>
      </c>
      <c r="B129" s="928" t="s">
        <v>803</v>
      </c>
      <c r="C129" s="933">
        <v>4200</v>
      </c>
      <c r="D129" s="930" t="str">
        <f>'Revenues 9-14'!A201</f>
        <v>Total Food Service</v>
      </c>
      <c r="E129" s="907"/>
      <c r="F129" s="1811">
        <f>SUM('Revenues 9-14'!C201,'Revenues 9-14'!G201)</f>
        <v>313981</v>
      </c>
      <c r="G129" s="931"/>
    </row>
    <row r="130" spans="1:7" x14ac:dyDescent="0.2">
      <c r="A130" s="928" t="s">
        <v>689</v>
      </c>
      <c r="B130" s="928" t="s">
        <v>804</v>
      </c>
      <c r="C130" s="933">
        <v>4300</v>
      </c>
      <c r="D130" s="934" t="str">
        <f>'Revenues 9-14'!A211</f>
        <v>Total Title I</v>
      </c>
      <c r="E130" s="907"/>
      <c r="F130" s="1811">
        <f>SUM('Revenues 9-14'!C211,'Revenues 9-14'!D211,'Revenues 9-14'!F211,'Revenues 9-14'!G211)</f>
        <v>52592</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3582</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15736</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6280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10881</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32240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8763</v>
      </c>
      <c r="G174" s="928"/>
    </row>
    <row r="175" spans="1:7" x14ac:dyDescent="0.2">
      <c r="A175" s="1943" t="s">
        <v>5</v>
      </c>
      <c r="B175" s="1944" t="s">
        <v>2058</v>
      </c>
      <c r="C175" s="1945">
        <v>3100</v>
      </c>
      <c r="D175" s="1946" t="s">
        <v>2061</v>
      </c>
      <c r="E175" s="907"/>
      <c r="F175" s="1930"/>
      <c r="G175" s="928"/>
    </row>
    <row r="176" spans="1:7" x14ac:dyDescent="0.2">
      <c r="A176" s="1943" t="s">
        <v>685</v>
      </c>
      <c r="B176" s="1944" t="s">
        <v>2058</v>
      </c>
      <c r="C176" s="1945">
        <v>3300</v>
      </c>
      <c r="D176" s="1946" t="s">
        <v>2062</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783619</v>
      </c>
    </row>
    <row r="179" spans="1:7" ht="12" customHeight="1" x14ac:dyDescent="0.2">
      <c r="A179" s="1792"/>
      <c r="B179" s="1806"/>
      <c r="C179" s="1807"/>
      <c r="D179" s="1808" t="s">
        <v>2015</v>
      </c>
      <c r="E179" s="1809"/>
      <c r="F179" s="1811">
        <f>'PCTC-OEPP 27-28'!F77-F178</f>
        <v>3135513</v>
      </c>
    </row>
    <row r="180" spans="1:7" ht="12" customHeight="1" x14ac:dyDescent="0.2">
      <c r="A180" s="1792"/>
      <c r="B180" s="1806"/>
      <c r="C180" s="1807"/>
      <c r="D180" s="1808" t="s">
        <v>1924</v>
      </c>
      <c r="E180" s="1809"/>
      <c r="F180" s="1811">
        <f>'Cap Outlay Deprec 26'!I18</f>
        <v>95074</v>
      </c>
    </row>
    <row r="181" spans="1:7" ht="12" customHeight="1" x14ac:dyDescent="0.2">
      <c r="A181" s="1792"/>
      <c r="B181" s="1806"/>
      <c r="C181" s="1807"/>
      <c r="D181" s="1808" t="s">
        <v>2016</v>
      </c>
      <c r="E181" s="1809"/>
      <c r="F181" s="1811">
        <f>F179+F180</f>
        <v>3230587</v>
      </c>
    </row>
    <row r="182" spans="1:7" ht="12" customHeight="1" x14ac:dyDescent="0.2">
      <c r="A182" s="1792"/>
      <c r="B182" s="1812"/>
      <c r="C182" s="1807"/>
      <c r="D182" s="1808" t="str">
        <f>D78</f>
        <v>9 Month ADA from District Average Daily Attendance/Prior General State Aid Inquiry 2017-2018</v>
      </c>
      <c r="E182" s="1809"/>
      <c r="F182" s="1813">
        <f>'PCTC-OEPP 27-28'!F78</f>
        <v>392.59</v>
      </c>
      <c r="G182" s="931"/>
    </row>
    <row r="183" spans="1:7" ht="12" customHeight="1" thickBot="1" x14ac:dyDescent="0.25">
      <c r="A183" s="1792"/>
      <c r="B183" s="1812"/>
      <c r="C183" s="1807"/>
      <c r="D183" s="1808" t="s">
        <v>2017</v>
      </c>
      <c r="E183" s="1809" t="s">
        <v>1626</v>
      </c>
      <c r="F183" s="1814">
        <f>F181/F182</f>
        <v>8228.908021090705</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zoomScaleSheetLayoutView="100" workbookViewId="0">
      <pane ySplit="16" topLeftCell="A17" activePane="bottomLeft" state="frozen"/>
      <selection pane="bottomLeft" activeCell="B17" sqref="B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1941</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3" t="s">
        <v>2099</v>
      </c>
      <c r="B17" s="1954" t="s">
        <v>2100</v>
      </c>
      <c r="C17" s="1955" t="s">
        <v>2101</v>
      </c>
      <c r="D17" s="1867">
        <v>995</v>
      </c>
      <c r="E17" s="1562">
        <f t="shared" ref="E17:E141" si="1">IF(D17&lt;=25000,D17,IF(D17&gt;25000,25000,0))</f>
        <v>995</v>
      </c>
      <c r="F17" s="1815">
        <f t="shared" si="0"/>
        <v>995</v>
      </c>
      <c r="G17" s="1816">
        <f>IF(F17=0,0,D17-F17)</f>
        <v>0</v>
      </c>
      <c r="H17" s="1669"/>
    </row>
    <row r="18" spans="1:8" x14ac:dyDescent="0.25">
      <c r="A18" s="1953" t="s">
        <v>2099</v>
      </c>
      <c r="B18" s="1954" t="s">
        <v>2100</v>
      </c>
      <c r="C18" s="1955" t="s">
        <v>2102</v>
      </c>
      <c r="D18" s="1867">
        <v>2117</v>
      </c>
      <c r="E18" s="1562">
        <f t="shared" ref="E18:E140" si="2">IF(D18&lt;=25000,D18,IF(D18&gt;25000,25000,0))</f>
        <v>2117</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2117</v>
      </c>
      <c r="G18" s="1816">
        <f t="shared" ref="G18:G140" si="4">IF(F18=0,0,D18-F18)</f>
        <v>0</v>
      </c>
    </row>
    <row r="19" spans="1:8" x14ac:dyDescent="0.25">
      <c r="A19" s="1953" t="s">
        <v>2099</v>
      </c>
      <c r="B19" s="1954" t="s">
        <v>2100</v>
      </c>
      <c r="C19" s="1955" t="s">
        <v>2103</v>
      </c>
      <c r="D19" s="1867">
        <v>480</v>
      </c>
      <c r="E19" s="1562">
        <f t="shared" si="2"/>
        <v>480</v>
      </c>
      <c r="F19" s="1815">
        <f t="shared" si="3"/>
        <v>480</v>
      </c>
      <c r="G19" s="1816">
        <f t="shared" si="4"/>
        <v>0</v>
      </c>
    </row>
    <row r="20" spans="1:8" x14ac:dyDescent="0.25">
      <c r="A20" s="1953" t="s">
        <v>2099</v>
      </c>
      <c r="B20" s="1954" t="s">
        <v>2100</v>
      </c>
      <c r="C20" s="1955" t="s">
        <v>2104</v>
      </c>
      <c r="D20" s="1867">
        <v>1290</v>
      </c>
      <c r="E20" s="1562">
        <f t="shared" si="2"/>
        <v>1290</v>
      </c>
      <c r="F20" s="1815">
        <f t="shared" si="3"/>
        <v>1290</v>
      </c>
      <c r="G20" s="1816">
        <f t="shared" si="4"/>
        <v>0</v>
      </c>
    </row>
    <row r="21" spans="1:8" x14ac:dyDescent="0.25">
      <c r="A21" s="1953" t="s">
        <v>2099</v>
      </c>
      <c r="B21" s="1954" t="s">
        <v>2100</v>
      </c>
      <c r="C21" s="1955" t="s">
        <v>2105</v>
      </c>
      <c r="D21" s="1867">
        <v>2854</v>
      </c>
      <c r="E21" s="1562">
        <f t="shared" si="2"/>
        <v>2854</v>
      </c>
      <c r="F21" s="1815">
        <f t="shared" si="3"/>
        <v>2854</v>
      </c>
      <c r="G21" s="1816">
        <f t="shared" si="4"/>
        <v>0</v>
      </c>
    </row>
    <row r="22" spans="1:8" x14ac:dyDescent="0.25">
      <c r="A22" s="1953" t="s">
        <v>2099</v>
      </c>
      <c r="B22" s="1954" t="s">
        <v>2100</v>
      </c>
      <c r="C22" s="1955" t="s">
        <v>2106</v>
      </c>
      <c r="D22" s="1867">
        <v>7090</v>
      </c>
      <c r="E22" s="1562">
        <f t="shared" si="2"/>
        <v>7090</v>
      </c>
      <c r="F22" s="1815">
        <f t="shared" si="3"/>
        <v>7090</v>
      </c>
      <c r="G22" s="1816">
        <f t="shared" si="4"/>
        <v>0</v>
      </c>
    </row>
    <row r="23" spans="1:8" x14ac:dyDescent="0.25">
      <c r="A23" s="1953" t="s">
        <v>2099</v>
      </c>
      <c r="B23" s="1954" t="s">
        <v>2100</v>
      </c>
      <c r="C23" s="1955" t="s">
        <v>2107</v>
      </c>
      <c r="D23" s="1867">
        <v>3276</v>
      </c>
      <c r="E23" s="1562">
        <f t="shared" si="2"/>
        <v>3276</v>
      </c>
      <c r="F23" s="1815">
        <f t="shared" si="3"/>
        <v>3276</v>
      </c>
      <c r="G23" s="1816">
        <f t="shared" si="4"/>
        <v>0</v>
      </c>
    </row>
    <row r="24" spans="1:8" x14ac:dyDescent="0.25">
      <c r="A24" s="1953"/>
      <c r="B24" s="1954"/>
      <c r="C24" s="1678"/>
      <c r="D24" s="1867"/>
      <c r="E24" s="1562">
        <f t="shared" si="2"/>
        <v>0</v>
      </c>
      <c r="F24" s="1815">
        <f t="shared" si="3"/>
        <v>0</v>
      </c>
      <c r="G24" s="1816">
        <f t="shared" si="4"/>
        <v>0</v>
      </c>
    </row>
    <row r="25" spans="1:8" x14ac:dyDescent="0.25">
      <c r="A25" s="1953"/>
      <c r="B25" s="1954"/>
      <c r="C25" s="1678"/>
      <c r="D25" s="1867"/>
      <c r="E25" s="1562">
        <f t="shared" si="2"/>
        <v>0</v>
      </c>
      <c r="F25" s="1815">
        <f t="shared" si="3"/>
        <v>0</v>
      </c>
      <c r="G25" s="1816">
        <f t="shared" si="4"/>
        <v>0</v>
      </c>
    </row>
    <row r="26" spans="1:8" x14ac:dyDescent="0.25">
      <c r="A26" s="1953"/>
      <c r="B26" s="1954"/>
      <c r="C26" s="1676"/>
      <c r="D26" s="1867"/>
      <c r="E26" s="1562">
        <f t="shared" si="2"/>
        <v>0</v>
      </c>
      <c r="F26" s="1815">
        <f t="shared" si="3"/>
        <v>0</v>
      </c>
      <c r="G26" s="1816">
        <f t="shared" si="4"/>
        <v>0</v>
      </c>
    </row>
    <row r="27" spans="1:8" x14ac:dyDescent="0.25">
      <c r="A27" s="1675"/>
      <c r="B27" s="1868"/>
      <c r="C27" s="1676"/>
      <c r="D27" s="1867"/>
      <c r="E27" s="1562">
        <f t="shared" si="2"/>
        <v>0</v>
      </c>
      <c r="F27" s="1815">
        <f t="shared" si="3"/>
        <v>0</v>
      </c>
      <c r="G27" s="1816">
        <f t="shared" si="4"/>
        <v>0</v>
      </c>
    </row>
    <row r="28" spans="1:8" x14ac:dyDescent="0.25">
      <c r="A28" s="1675"/>
      <c r="B28" s="1868"/>
      <c r="C28" s="1676"/>
      <c r="D28" s="1867"/>
      <c r="E28" s="1562">
        <f t="shared" si="2"/>
        <v>0</v>
      </c>
      <c r="F28" s="1815">
        <f t="shared" si="3"/>
        <v>0</v>
      </c>
      <c r="G28" s="1816">
        <f t="shared" si="4"/>
        <v>0</v>
      </c>
    </row>
    <row r="29" spans="1:8" x14ac:dyDescent="0.25">
      <c r="A29" s="1675"/>
      <c r="B29" s="1868"/>
      <c r="C29" s="1676"/>
      <c r="D29" s="1867"/>
      <c r="E29" s="1562">
        <f t="shared" si="2"/>
        <v>0</v>
      </c>
      <c r="F29" s="1815">
        <f t="shared" si="3"/>
        <v>0</v>
      </c>
      <c r="G29" s="1816">
        <f t="shared" si="4"/>
        <v>0</v>
      </c>
    </row>
    <row r="30" spans="1:8" x14ac:dyDescent="0.25">
      <c r="A30" s="1675"/>
      <c r="B30" s="1868"/>
      <c r="C30" s="1676"/>
      <c r="D30" s="1867"/>
      <c r="E30" s="1562">
        <f t="shared" si="2"/>
        <v>0</v>
      </c>
      <c r="F30" s="1815">
        <f t="shared" si="3"/>
        <v>0</v>
      </c>
      <c r="G30" s="1816">
        <f t="shared" si="4"/>
        <v>0</v>
      </c>
    </row>
    <row r="31" spans="1:8" x14ac:dyDescent="0.25">
      <c r="A31" s="1675"/>
      <c r="B31" s="1868"/>
      <c r="C31" s="1676"/>
      <c r="D31" s="1867"/>
      <c r="E31" s="1562">
        <f t="shared" si="2"/>
        <v>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hidden="1" x14ac:dyDescent="0.25">
      <c r="A38" s="1675"/>
      <c r="B38" s="1689"/>
      <c r="C38" s="1676"/>
      <c r="D38" s="1867"/>
      <c r="E38" s="1562">
        <f t="shared" si="2"/>
        <v>0</v>
      </c>
      <c r="F38" s="1815">
        <f t="shared" si="3"/>
        <v>0</v>
      </c>
      <c r="G38" s="1816">
        <f t="shared" si="4"/>
        <v>0</v>
      </c>
    </row>
    <row r="39" spans="1:7" hidden="1" x14ac:dyDescent="0.25">
      <c r="A39" s="1675"/>
      <c r="B39" s="1689"/>
      <c r="C39" s="1676"/>
      <c r="D39" s="1867"/>
      <c r="E39" s="1562">
        <f t="shared" si="2"/>
        <v>0</v>
      </c>
      <c r="F39" s="1815">
        <f t="shared" si="3"/>
        <v>0</v>
      </c>
      <c r="G39" s="1816">
        <f t="shared" si="4"/>
        <v>0</v>
      </c>
    </row>
    <row r="40" spans="1:7" hidden="1" x14ac:dyDescent="0.25">
      <c r="A40" s="1675"/>
      <c r="B40" s="1689"/>
      <c r="C40" s="1676"/>
      <c r="D40" s="1867"/>
      <c r="E40" s="1562">
        <f t="shared" si="2"/>
        <v>0</v>
      </c>
      <c r="F40" s="1815">
        <f t="shared" si="3"/>
        <v>0</v>
      </c>
      <c r="G40" s="1816">
        <f t="shared" si="4"/>
        <v>0</v>
      </c>
    </row>
    <row r="41" spans="1:7" hidden="1" x14ac:dyDescent="0.25">
      <c r="A41" s="1675"/>
      <c r="B41" s="1689"/>
      <c r="C41" s="1676"/>
      <c r="D41" s="1867"/>
      <c r="E41" s="1562">
        <f t="shared" si="2"/>
        <v>0</v>
      </c>
      <c r="F41" s="1815">
        <f t="shared" si="3"/>
        <v>0</v>
      </c>
      <c r="G41" s="1816">
        <f t="shared" si="4"/>
        <v>0</v>
      </c>
    </row>
    <row r="42" spans="1:7" hidden="1" x14ac:dyDescent="0.25">
      <c r="A42" s="1675"/>
      <c r="B42" s="1689"/>
      <c r="C42" s="1676"/>
      <c r="D42" s="1867"/>
      <c r="E42" s="1562">
        <f t="shared" si="2"/>
        <v>0</v>
      </c>
      <c r="F42" s="1815">
        <f t="shared" si="3"/>
        <v>0</v>
      </c>
      <c r="G42" s="1816">
        <f t="shared" si="4"/>
        <v>0</v>
      </c>
    </row>
    <row r="43" spans="1:7" hidden="1" x14ac:dyDescent="0.25">
      <c r="A43" s="1675"/>
      <c r="B43" s="1689"/>
      <c r="C43" s="1676"/>
      <c r="D43" s="1867"/>
      <c r="E43" s="1562">
        <f t="shared" si="2"/>
        <v>0</v>
      </c>
      <c r="F43" s="1815">
        <f t="shared" si="3"/>
        <v>0</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hidden="1" x14ac:dyDescent="0.25">
      <c r="A133" s="1675"/>
      <c r="B133" s="1689"/>
      <c r="C133" s="1676"/>
      <c r="D133" s="1867"/>
      <c r="E133" s="1562">
        <f t="shared" si="23"/>
        <v>0</v>
      </c>
      <c r="F133" s="1815">
        <f t="shared" si="24"/>
        <v>0</v>
      </c>
      <c r="G133" s="1816">
        <f t="shared" si="25"/>
        <v>0</v>
      </c>
    </row>
    <row r="134" spans="1:7" hidden="1" x14ac:dyDescent="0.25">
      <c r="A134" s="1675"/>
      <c r="B134" s="1689"/>
      <c r="C134" s="1676"/>
      <c r="D134" s="1867"/>
      <c r="E134" s="1562">
        <f t="shared" si="23"/>
        <v>0</v>
      </c>
      <c r="F134" s="1815">
        <f t="shared" si="24"/>
        <v>0</v>
      </c>
      <c r="G134" s="1816">
        <f t="shared" si="25"/>
        <v>0</v>
      </c>
    </row>
    <row r="135" spans="1:7" hidden="1"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hidden="1" x14ac:dyDescent="0.25">
      <c r="A136" s="1675"/>
      <c r="B136" s="1689"/>
      <c r="C136" s="1676"/>
      <c r="D136" s="1867"/>
      <c r="E136" s="1562">
        <f t="shared" si="26"/>
        <v>0</v>
      </c>
      <c r="F136" s="1815">
        <f t="shared" si="27"/>
        <v>0</v>
      </c>
      <c r="G136" s="1816">
        <f t="shared" si="28"/>
        <v>0</v>
      </c>
    </row>
    <row r="137" spans="1:7" hidden="1" x14ac:dyDescent="0.25">
      <c r="A137" s="1675"/>
      <c r="B137" s="1689"/>
      <c r="C137" s="1676"/>
      <c r="D137" s="1867"/>
      <c r="E137" s="1562">
        <f t="shared" si="26"/>
        <v>0</v>
      </c>
      <c r="F137" s="1815">
        <f t="shared" si="27"/>
        <v>0</v>
      </c>
      <c r="G137" s="1816">
        <f t="shared" si="28"/>
        <v>0</v>
      </c>
    </row>
    <row r="138" spans="1:7" hidden="1" x14ac:dyDescent="0.25">
      <c r="A138" s="1675"/>
      <c r="B138" s="1689"/>
      <c r="C138" s="1676"/>
      <c r="D138" s="1867"/>
      <c r="E138" s="1562">
        <f t="shared" si="26"/>
        <v>0</v>
      </c>
      <c r="F138" s="1815">
        <f t="shared" si="27"/>
        <v>0</v>
      </c>
      <c r="G138" s="1816">
        <f t="shared" si="28"/>
        <v>0</v>
      </c>
    </row>
    <row r="139" spans="1:7" hidden="1"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18102</v>
      </c>
      <c r="E141" s="1563">
        <f t="shared" si="1"/>
        <v>18102</v>
      </c>
      <c r="F141" s="1817">
        <f>SUM(F17:F140)</f>
        <v>18102</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view="pageBreakPreview" colorId="8" zoomScale="60" zoomScaleNormal="110" workbookViewId="0">
      <selection activeCell="F28" sqref="F2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4" t="s">
        <v>1945</v>
      </c>
      <c r="B11" s="2305"/>
      <c r="C11" s="2305"/>
      <c r="D11" s="2306"/>
      <c r="E11" s="978">
        <v>19012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2635748</v>
      </c>
      <c r="F19" s="1822"/>
      <c r="G19" s="1824">
        <f>'Expenditures 15-22'!K33-SUM('Expenditures 15-22'!G33,'Expenditures 15-22'!I33)+'Expenditures 15-22'!D229</f>
        <v>2635748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121702</v>
      </c>
      <c r="F21" s="1825"/>
      <c r="G21" s="1828">
        <f>'Expenditures 15-22'!K42-SUM('Expenditures 15-22'!G42,'Expenditures 15-22'!I42)+'Expenditures 15-22'!K120-SUM('Expenditures 15-22'!G120,'Expenditures 15-22'!I120)+'Expenditures 15-22'!K180-SUM('Expenditures 15-22'!G180,'Expenditures 15-22'!I180)+'Expenditures 15-22'!D238</f>
        <v>121702</v>
      </c>
      <c r="H21" s="988"/>
      <c r="I21" s="162"/>
    </row>
    <row r="22" spans="1:9" s="669" customFormat="1" ht="12" customHeight="1" x14ac:dyDescent="0.2">
      <c r="A22" s="995" t="s">
        <v>585</v>
      </c>
      <c r="B22" s="996"/>
      <c r="C22" s="994">
        <v>2200</v>
      </c>
      <c r="D22" s="1825"/>
      <c r="E22" s="1827">
        <f>'Expenditures 15-22'!K47-SUM('Expenditures 15-22'!G47,'Expenditures 15-22'!I47)+'Expenditures 15-22'!D243</f>
        <v>104768</v>
      </c>
      <c r="F22" s="1825"/>
      <c r="G22" s="1828">
        <f>'Expenditures 15-22'!K47-SUM('Expenditures 15-22'!G47,'Expenditures 15-22'!I47)+'Expenditures 15-22'!D243</f>
        <v>104768</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309773</v>
      </c>
      <c r="F23" s="1825"/>
      <c r="G23" s="1827">
        <f>'Expenditures 15-22'!K53-SUM('Expenditures 15-22'!G53,'Expenditures 15-22'!I53)+'Expenditures 15-22'!D257+'Expenditures 15-22'!K330-SUM('Expenditures 15-22'!G330,'Expenditures 15-22'!I330)</f>
        <v>309773</v>
      </c>
      <c r="H23" s="988"/>
      <c r="I23" s="162"/>
    </row>
    <row r="24" spans="1:9" s="669" customFormat="1" ht="12" customHeight="1" x14ac:dyDescent="0.2">
      <c r="A24" s="995" t="s">
        <v>587</v>
      </c>
      <c r="B24" s="996"/>
      <c r="C24" s="994">
        <v>2400</v>
      </c>
      <c r="D24" s="1825"/>
      <c r="E24" s="1827">
        <f>'Expenditures 15-22'!K57-SUM('Expenditures 15-22'!G57,'Expenditures 15-22'!I57)+'Expenditures 15-22'!D261</f>
        <v>160403</v>
      </c>
      <c r="F24" s="1825"/>
      <c r="G24" s="1828">
        <f>'Expenditures 15-22'!K57-SUM('Expenditures 15-22'!G57,'Expenditures 15-22'!I57)+'Expenditures 15-22'!D261</f>
        <v>160403</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49180</v>
      </c>
      <c r="E27" s="1827">
        <f>E8</f>
        <v>0</v>
      </c>
      <c r="F27" s="1827">
        <f>'Expenditures 15-22'!K60-SUM('Expenditures 15-22'!G60,'Expenditures 15-22'!I60)+'Expenditures 15-22'!D264-E8</f>
        <v>49180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304011</v>
      </c>
      <c r="F28" s="1829">
        <f>'Expenditures 15-22'!K61-SUM('Expenditures 15-22'!G61,'Expenditures 15-22'!I61)+'Expenditures 15-22'!K124-SUM('Expenditures 15-22'!G124,'Expenditures 15-22'!I124)+'Expenditures 15-22'!D266-E9</f>
        <v>304011</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187645</v>
      </c>
      <c r="F29" s="1825"/>
      <c r="G29" s="1828">
        <f>'Expenditures 15-22'!K62-SUM('Expenditures 15-22'!G62,'Expenditures 15-22'!I62)+'Expenditures 15-22'!K125-SUM('Expenditures 15-22'!G125,'Expenditures 15-22'!I125)+'Expenditures 15-22'!K182-SUM('Expenditures 15-22'!G182,'Expenditures 15-22'!I182)+'Expenditures 15-22'!D267</f>
        <v>187645</v>
      </c>
      <c r="H29" s="986"/>
    </row>
    <row r="30" spans="1:9" ht="12" customHeight="1" x14ac:dyDescent="0.2">
      <c r="A30" s="995" t="s">
        <v>102</v>
      </c>
      <c r="B30" s="998"/>
      <c r="C30" s="994">
        <v>2560</v>
      </c>
      <c r="D30" s="1825"/>
      <c r="E30" s="1827">
        <f>'Expenditures 15-22'!K63-SUM('Expenditures 15-22'!G63,'Expenditures 15-22'!I63)+'Expenditures 15-22'!D268-E10</f>
        <v>175455</v>
      </c>
      <c r="F30" s="1825"/>
      <c r="G30" s="1827">
        <f>'Expenditures 15-22'!K63-SUM('Expenditures 15-22'!G63,'Expenditures 15-22'!I63)+'Expenditures 15-22'!D268-E10</f>
        <v>175455</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50151</v>
      </c>
      <c r="F39" s="1825"/>
      <c r="G39" s="1827">
        <f>'Expenditures 15-22'!K75-SUM('Expenditures 15-22'!G75,'Expenditures 15-22'!I75)+'Expenditures 15-22'!K130-SUM('Expenditures 15-22'!G130,'Expenditures 15-22'!I130)+'Expenditures 15-22'!K185-SUM('Expenditures 15-22'!G185,'Expenditures 15-22'!I185)+'Expenditures 15-22'!D280</f>
        <v>50151</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49180</v>
      </c>
      <c r="E41" s="1829">
        <f>SUM(E19:E40)</f>
        <v>4049656</v>
      </c>
      <c r="F41" s="1829">
        <f>SUM(F19:F39)</f>
        <v>353191</v>
      </c>
      <c r="G41" s="1829">
        <f>SUM(G19:G40)</f>
        <v>3745645</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49180</v>
      </c>
      <c r="F43" s="1830" t="s">
        <v>495</v>
      </c>
      <c r="G43" s="1831">
        <f>F41</f>
        <v>353191</v>
      </c>
    </row>
    <row r="44" spans="1:7" ht="12" customHeight="1" x14ac:dyDescent="0.2">
      <c r="A44" s="988"/>
      <c r="B44" s="162"/>
      <c r="C44" s="1002"/>
      <c r="D44" s="1830" t="s">
        <v>494</v>
      </c>
      <c r="E44" s="1831">
        <f>E41</f>
        <v>4049656</v>
      </c>
      <c r="F44" s="1830" t="s">
        <v>494</v>
      </c>
      <c r="G44" s="1831">
        <f>G41</f>
        <v>3745645</v>
      </c>
    </row>
    <row r="45" spans="1:7" ht="12" customHeight="1" x14ac:dyDescent="0.2">
      <c r="A45" s="988"/>
      <c r="B45" s="162"/>
      <c r="C45" s="162"/>
      <c r="D45" s="1832" t="s">
        <v>1063</v>
      </c>
      <c r="E45" s="1833">
        <f>(E43/E44)</f>
        <v>1.2144241387416611E-2</v>
      </c>
      <c r="F45" s="1832" t="s">
        <v>1063</v>
      </c>
      <c r="G45" s="1833">
        <f>(G43/G44)</f>
        <v>9.4293773168573097E-2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A47" sqref="A47"/>
      <selection pane="bottomLeft" activeCell="F33" sqref="F33"/>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1" t="s">
        <v>1446</v>
      </c>
      <c r="B1" s="2321"/>
      <c r="C1" s="2321"/>
      <c r="D1" s="2321"/>
      <c r="E1" s="2321"/>
      <c r="F1" s="2321"/>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2" t="s">
        <v>1627</v>
      </c>
      <c r="B5" s="2323"/>
      <c r="C5" s="2324"/>
      <c r="D5" s="2324"/>
      <c r="E5" s="2324"/>
      <c r="F5" s="2324"/>
    </row>
    <row r="6" spans="1:10" ht="12" customHeight="1" x14ac:dyDescent="0.25">
      <c r="A6" s="1874"/>
      <c r="B6" s="1875"/>
      <c r="C6" s="2325" t="str">
        <f>COVER!A17</f>
        <v>DePue CUSD 103</v>
      </c>
      <c r="D6" s="2325"/>
      <c r="E6" s="2325"/>
      <c r="F6" s="1876"/>
    </row>
    <row r="7" spans="1:10" ht="11.25" customHeight="1" thickBot="1" x14ac:dyDescent="0.3">
      <c r="A7" s="1874"/>
      <c r="B7" s="1875"/>
      <c r="C7" s="2326">
        <f>COVER!A13</f>
        <v>28006103022</v>
      </c>
      <c r="D7" s="2326"/>
      <c r="E7" s="2326"/>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t="s">
        <v>2077</v>
      </c>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2077</v>
      </c>
      <c r="D26" s="1889" t="s">
        <v>2077</v>
      </c>
      <c r="E26" s="1892"/>
      <c r="F26" s="1891" t="s">
        <v>2098</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t="s">
        <v>2077</v>
      </c>
      <c r="D32" s="1889" t="s">
        <v>2077</v>
      </c>
      <c r="E32" s="1892"/>
      <c r="F32" s="1891" t="s">
        <v>2111</v>
      </c>
      <c r="H32" s="1902">
        <f t="shared" si="0"/>
        <v>5</v>
      </c>
      <c r="I32" s="1902">
        <f t="shared" si="1"/>
        <v>5</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10</v>
      </c>
      <c r="I34" s="1902">
        <f>SUM(I11:I32)</f>
        <v>10</v>
      </c>
      <c r="J34" s="1902">
        <f>SUM(J11:J32)</f>
        <v>0</v>
      </c>
      <c r="K34" s="1902">
        <f>SUM(H34:J34)</f>
        <v>20</v>
      </c>
    </row>
    <row r="35" spans="1:11" ht="12" customHeight="1" x14ac:dyDescent="0.2">
      <c r="A35" s="1895" t="s">
        <v>1459</v>
      </c>
      <c r="B35" s="1896"/>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97"/>
      <c r="B39" s="1897"/>
      <c r="C39" s="1897"/>
      <c r="D39" s="1897"/>
      <c r="E39" s="1897"/>
      <c r="F39" s="1897"/>
    </row>
    <row r="40" spans="1:11" s="1894" customFormat="1" ht="12" customHeight="1" x14ac:dyDescent="0.25">
      <c r="A40" s="1898" t="s">
        <v>1458</v>
      </c>
      <c r="B40" s="1899"/>
      <c r="C40" s="2316"/>
      <c r="D40" s="2316"/>
      <c r="E40" s="2316"/>
      <c r="F40" s="2317"/>
      <c r="H40" s="1903"/>
      <c r="I40" s="1903"/>
      <c r="J40" s="1903"/>
      <c r="K40" s="1903"/>
    </row>
    <row r="41" spans="1:11" s="1894" customFormat="1" ht="12" customHeight="1" x14ac:dyDescent="0.25">
      <c r="A41" s="2318"/>
      <c r="B41" s="2319"/>
      <c r="C41" s="2319"/>
      <c r="D41" s="2319"/>
      <c r="E41" s="2319"/>
      <c r="F41" s="2320"/>
      <c r="H41" s="1903"/>
      <c r="I41" s="1903"/>
      <c r="J41" s="1903"/>
      <c r="K41" s="1903"/>
    </row>
    <row r="42" spans="1:11" s="1894" customFormat="1" ht="12" customHeight="1" x14ac:dyDescent="0.25">
      <c r="A42" s="2318"/>
      <c r="B42" s="2319"/>
      <c r="C42" s="2319"/>
      <c r="D42" s="2319"/>
      <c r="E42" s="2319"/>
      <c r="F42" s="2320"/>
      <c r="H42" s="1903"/>
      <c r="I42" s="1903"/>
      <c r="J42" s="1903"/>
      <c r="K42" s="1903"/>
    </row>
    <row r="43" spans="1:11" s="1894" customFormat="1" ht="15" x14ac:dyDescent="0.25">
      <c r="A43" s="2307"/>
      <c r="B43" s="2308"/>
      <c r="C43" s="2308"/>
      <c r="D43" s="2308"/>
      <c r="E43" s="2308"/>
      <c r="F43" s="2309"/>
      <c r="H43" s="1903"/>
      <c r="I43" s="1903"/>
      <c r="J43" s="1903"/>
      <c r="K43" s="1903"/>
    </row>
    <row r="44" spans="1:11" s="1894" customFormat="1" ht="12" hidden="1" customHeight="1" x14ac:dyDescent="0.25">
      <c r="A44" s="2307"/>
      <c r="B44" s="2308"/>
      <c r="C44" s="2308"/>
      <c r="D44" s="2308"/>
      <c r="E44" s="2308"/>
      <c r="F44" s="2309"/>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4" t="str">
        <f>COVER!A17</f>
        <v>DePue CUSD 103</v>
      </c>
      <c r="J6" s="2335"/>
      <c r="Q6" s="1686"/>
    </row>
    <row r="7" spans="1:17" x14ac:dyDescent="0.2">
      <c r="A7" s="2336" t="s">
        <v>924</v>
      </c>
      <c r="B7" s="2337"/>
      <c r="C7" s="2337"/>
      <c r="D7" s="2337"/>
      <c r="E7" s="2338"/>
      <c r="F7" s="1018"/>
      <c r="G7" s="1010"/>
      <c r="H7" s="1017" t="s">
        <v>390</v>
      </c>
      <c r="I7" s="2339">
        <f>COVER!A13</f>
        <v>28006103022</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153401</v>
      </c>
      <c r="F12" s="1040"/>
      <c r="G12" s="1834">
        <f t="shared" ref="G12:G18" si="0">SUM(E12:F12)</f>
        <v>153401</v>
      </c>
      <c r="H12" s="1041">
        <v>131824</v>
      </c>
      <c r="I12" s="1040"/>
      <c r="J12" s="1834">
        <f t="shared" ref="J12:J18" si="1">SUM(H12:I12)</f>
        <v>131824</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153401</v>
      </c>
      <c r="F19" s="1836">
        <f t="shared" si="2"/>
        <v>0</v>
      </c>
      <c r="G19" s="1836">
        <f t="shared" si="2"/>
        <v>153401</v>
      </c>
      <c r="H19" s="1836">
        <f t="shared" si="2"/>
        <v>131824</v>
      </c>
      <c r="I19" s="1836">
        <f t="shared" si="2"/>
        <v>0</v>
      </c>
      <c r="J19" s="1836">
        <f t="shared" si="2"/>
        <v>131824</v>
      </c>
    </row>
    <row r="20" spans="1:10" ht="13.5" thickTop="1" x14ac:dyDescent="0.2">
      <c r="A20" s="1036">
        <v>9</v>
      </c>
      <c r="B20" s="2346" t="s">
        <v>1703</v>
      </c>
      <c r="C20" s="2346"/>
      <c r="D20" s="2347"/>
      <c r="E20" s="1047"/>
      <c r="F20" s="1047"/>
      <c r="G20" s="1047"/>
      <c r="H20" s="1047"/>
      <c r="I20" s="1047"/>
      <c r="J20" s="1837">
        <f>IF(AND(G19&gt;0,J19&gt;0),(((J19-G19)/G19)),"Enter Budget Data")</f>
        <v>-0.14065749245441686</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1944</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8" sqref="B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2108</v>
      </c>
    </row>
    <row r="6" spans="1:2" x14ac:dyDescent="0.2">
      <c r="A6" s="1069">
        <v>2</v>
      </c>
      <c r="B6" s="329" t="s">
        <v>2109</v>
      </c>
    </row>
    <row r="7" spans="1:2" x14ac:dyDescent="0.2">
      <c r="A7" s="1069">
        <v>3</v>
      </c>
      <c r="B7" s="329" t="s">
        <v>2110</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DePue CUSD 103</v>
      </c>
    </row>
    <row r="65" spans="2:2" x14ac:dyDescent="0.2">
      <c r="B65" s="1071">
        <f>COVER!A13</f>
        <v>28006103022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8" t="s">
        <v>1125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715</v>
      </c>
      <c r="B40" s="2065"/>
      <c r="C40" s="2065"/>
      <c r="D40" s="2065"/>
      <c r="E40" s="2065"/>
    </row>
    <row r="41" spans="1:5" x14ac:dyDescent="0.2">
      <c r="A41" s="2066" t="s">
        <v>1706</v>
      </c>
      <c r="B41" s="2066"/>
      <c r="C41" s="2066"/>
      <c r="D41" s="2066"/>
      <c r="E41" s="2066"/>
    </row>
    <row r="42" spans="1:5" ht="12.75" customHeight="1" x14ac:dyDescent="0.2">
      <c r="A42" s="2067" t="s">
        <v>1080</v>
      </c>
      <c r="B42" s="2067"/>
      <c r="C42" s="2067"/>
      <c r="D42" s="2067"/>
      <c r="E42" s="2067"/>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G28" sqref="G2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G22" sqref="G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2056</v>
      </c>
      <c r="B4" s="2374"/>
      <c r="C4" s="2374"/>
      <c r="D4" s="2374"/>
      <c r="E4" s="2374"/>
      <c r="F4" s="2375"/>
      <c r="G4" s="1075"/>
      <c r="H4" s="1075"/>
    </row>
    <row r="5" spans="1:8" ht="14.25" customHeight="1" x14ac:dyDescent="0.2">
      <c r="A5" s="2376" t="s">
        <v>2057</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3678329</v>
      </c>
      <c r="C8" s="1838">
        <f>'Acct Summary 7-8'!D8</f>
        <v>342889</v>
      </c>
      <c r="D8" s="1838">
        <f>'Acct Summary 7-8'!F8</f>
        <v>192404</v>
      </c>
      <c r="E8" s="1838">
        <f>'Acct Summary 7-8'!I8</f>
        <v>3608</v>
      </c>
      <c r="F8" s="1838">
        <f>SUM(B8:E8)</f>
        <v>4217230</v>
      </c>
    </row>
    <row r="9" spans="1:8" s="1080" customFormat="1" ht="14.25" customHeight="1" thickBot="1" x14ac:dyDescent="0.25">
      <c r="A9" s="1079" t="s">
        <v>1436</v>
      </c>
      <c r="B9" s="1839">
        <f>'Acct Summary 7-8'!C17</f>
        <v>3613652</v>
      </c>
      <c r="C9" s="1839">
        <f>'Acct Summary 7-8'!D17</f>
        <v>288783</v>
      </c>
      <c r="D9" s="1839">
        <f>'Acct Summary 7-8'!F17</f>
        <v>183152</v>
      </c>
      <c r="E9" s="1838"/>
      <c r="F9" s="1838">
        <f>SUM(B9:E9)</f>
        <v>4085587</v>
      </c>
    </row>
    <row r="10" spans="1:8" s="1080" customFormat="1" ht="14.25" thickTop="1" thickBot="1" x14ac:dyDescent="0.25">
      <c r="A10" s="1081" t="s">
        <v>1437</v>
      </c>
      <c r="B10" s="1840">
        <f>(B8-B9)</f>
        <v>64677</v>
      </c>
      <c r="C10" s="1840">
        <f>(C8-C9)</f>
        <v>54106</v>
      </c>
      <c r="D10" s="1840">
        <f>(D8-D9)</f>
        <v>9252</v>
      </c>
      <c r="E10" s="1839">
        <f>(E8-E9)</f>
        <v>3608</v>
      </c>
      <c r="F10" s="1841">
        <f>SUM(F8-F9)</f>
        <v>131643</v>
      </c>
    </row>
    <row r="11" spans="1:8" s="1080" customFormat="1" ht="14.25" thickTop="1" thickBot="1" x14ac:dyDescent="0.25">
      <c r="A11" s="1082" t="s">
        <v>1785</v>
      </c>
      <c r="B11" s="1842">
        <f>'Acct Summary 7-8'!C81</f>
        <v>654680</v>
      </c>
      <c r="C11" s="1842">
        <f>'Acct Summary 7-8'!D81</f>
        <v>47134</v>
      </c>
      <c r="D11" s="1842">
        <f>'Acct Summary 7-8'!F81</f>
        <v>14751</v>
      </c>
      <c r="E11" s="1842">
        <f>'Acct Summary 7-8'!I81</f>
        <v>3608</v>
      </c>
      <c r="F11" s="1843">
        <f>SUM(B11:E11)</f>
        <v>720173</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K71" sqref="K71"/>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28006103022</v>
      </c>
    </row>
    <row r="3" spans="1:2" x14ac:dyDescent="0.2">
      <c r="A3" t="s">
        <v>1013</v>
      </c>
      <c r="B3" s="138" t="str">
        <f>COVER!A15</f>
        <v>Bureau</v>
      </c>
    </row>
    <row r="4" spans="1:2" x14ac:dyDescent="0.2">
      <c r="A4" t="s">
        <v>1064</v>
      </c>
      <c r="B4" s="138" t="str">
        <f>COVER!A17</f>
        <v>DePue CUSD 103</v>
      </c>
    </row>
    <row r="5" spans="1:2" x14ac:dyDescent="0.2">
      <c r="A5" t="s">
        <v>728</v>
      </c>
      <c r="B5" s="138" t="str">
        <f>COVER!A38</f>
        <v>Chris Dougherty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66.004501000000005</v>
      </c>
    </row>
    <row r="16" spans="1:2" x14ac:dyDescent="0.2">
      <c r="A16" t="s">
        <v>442</v>
      </c>
      <c r="B16" s="138" t="str">
        <f>COVER!T13</f>
        <v>Hopkins &amp; Associates, CPAs</v>
      </c>
    </row>
    <row r="17" spans="1:2" x14ac:dyDescent="0.2">
      <c r="A17" t="s">
        <v>939</v>
      </c>
      <c r="B17" s="138" t="str">
        <f>COVER!T15</f>
        <v>Kim Bird</v>
      </c>
    </row>
    <row r="18" spans="1:2" x14ac:dyDescent="0.2">
      <c r="A18" t="s">
        <v>1212</v>
      </c>
      <c r="B18" s="138" t="str">
        <f>COVER!T17</f>
        <v>314 S. McCoy St.</v>
      </c>
    </row>
    <row r="19" spans="1:2" x14ac:dyDescent="0.2">
      <c r="A19" t="s">
        <v>941</v>
      </c>
      <c r="B19" s="138" t="str">
        <f>COVER!T25</f>
        <v>kim@hopkinsoffice.com</v>
      </c>
    </row>
    <row r="20" spans="1:2" x14ac:dyDescent="0.2">
      <c r="A20" t="s">
        <v>942</v>
      </c>
      <c r="B20" s="138" t="str">
        <f>COVER!T19</f>
        <v>Granville</v>
      </c>
    </row>
    <row r="21" spans="1:2" x14ac:dyDescent="0.2">
      <c r="A21" t="s">
        <v>500</v>
      </c>
      <c r="B21" s="138" t="str">
        <f>COVER!X19</f>
        <v>IL</v>
      </c>
    </row>
    <row r="22" spans="1:2" x14ac:dyDescent="0.2">
      <c r="A22" t="s">
        <v>943</v>
      </c>
      <c r="B22" s="138">
        <f>COVER!Z19</f>
        <v>61326</v>
      </c>
    </row>
    <row r="23" spans="1:2" x14ac:dyDescent="0.2">
      <c r="A23" t="s">
        <v>1214</v>
      </c>
      <c r="B23" s="138" t="str">
        <f>COVER!T21</f>
        <v>815-339-6630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654680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356860</v>
      </c>
      <c r="D92" s="2" t="str">
        <f t="shared" si="0"/>
        <v>Error?</v>
      </c>
    </row>
    <row r="93" spans="1:4" x14ac:dyDescent="0.2">
      <c r="A93" s="5">
        <v>32</v>
      </c>
      <c r="B93" s="138">
        <f>'Assets-Liab 5-6'!C41</f>
        <v>654680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47134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47134</v>
      </c>
      <c r="D123" s="2" t="str">
        <f t="shared" si="0"/>
        <v>Error?</v>
      </c>
    </row>
    <row r="124" spans="1:4" x14ac:dyDescent="0.2">
      <c r="A124" s="5">
        <v>63</v>
      </c>
      <c r="B124" s="138">
        <f>'Assets-Liab 5-6'!D41</f>
        <v>47134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441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441</v>
      </c>
      <c r="D140" s="2" t="str">
        <f t="shared" si="1"/>
        <v>Error?</v>
      </c>
    </row>
    <row r="141" spans="1:4" x14ac:dyDescent="0.2">
      <c r="A141" s="5">
        <v>80</v>
      </c>
      <c r="B141" s="138">
        <f>'Assets-Liab 5-6'!E41</f>
        <v>441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14751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14751</v>
      </c>
      <c r="D170" s="2" t="str">
        <f t="shared" si="1"/>
        <v>Error?</v>
      </c>
    </row>
    <row r="171" spans="1:4" x14ac:dyDescent="0.2">
      <c r="A171" s="5">
        <v>110</v>
      </c>
      <c r="B171" s="138">
        <f>'Assets-Liab 5-6'!F41</f>
        <v>14751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192765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126106</v>
      </c>
      <c r="D189" s="2" t="str">
        <f t="shared" si="1"/>
        <v>Error?</v>
      </c>
    </row>
    <row r="190" spans="1:4" x14ac:dyDescent="0.2">
      <c r="A190" s="5">
        <v>129</v>
      </c>
      <c r="B190" s="138">
        <f>'Assets-Liab 5-6'!G41</f>
        <v>192765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99312</v>
      </c>
      <c r="D273" s="2" t="str">
        <f t="shared" si="3"/>
        <v>Error?</v>
      </c>
    </row>
    <row r="274" spans="1:4" x14ac:dyDescent="0.2">
      <c r="A274" s="5">
        <v>213</v>
      </c>
      <c r="B274" s="138">
        <f>'Assets-Liab 5-6'!M17</f>
        <v>2246964</v>
      </c>
      <c r="D274" s="2" t="str">
        <f t="shared" si="3"/>
        <v>Error?</v>
      </c>
    </row>
    <row r="275" spans="1:4" x14ac:dyDescent="0.2">
      <c r="A275" s="5">
        <v>214</v>
      </c>
      <c r="B275" s="138">
        <f>'Assets-Liab 5-6'!M18</f>
        <v>176024</v>
      </c>
      <c r="D275" s="2" t="str">
        <f t="shared" si="3"/>
        <v>Error?</v>
      </c>
    </row>
    <row r="276" spans="1:4" x14ac:dyDescent="0.2">
      <c r="A276" s="5">
        <v>215</v>
      </c>
      <c r="B276" s="138">
        <f>'Assets-Liab 5-6'!M19</f>
        <v>1796432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4318732</v>
      </c>
      <c r="C279" s="2" t="s">
        <v>594</v>
      </c>
      <c r="D279" s="2" t="str">
        <f t="shared" si="3"/>
        <v>Error?</v>
      </c>
    </row>
    <row r="280" spans="1:4" x14ac:dyDescent="0.2">
      <c r="A280" s="5">
        <v>219</v>
      </c>
      <c r="B280" s="138">
        <f>'Assets-Liab 5-6'!M40</f>
        <v>4318732</v>
      </c>
      <c r="D280" s="2" t="str">
        <f t="shared" si="3"/>
        <v>Error?</v>
      </c>
    </row>
    <row r="281" spans="1:4" x14ac:dyDescent="0.2">
      <c r="A281" s="5">
        <v>220</v>
      </c>
      <c r="B281" s="138">
        <f>'Assets-Liab 5-6'!M41</f>
        <v>4318732</v>
      </c>
      <c r="C281" s="2" t="s">
        <v>594</v>
      </c>
      <c r="D281" s="2" t="str">
        <f t="shared" si="3"/>
        <v>Error?</v>
      </c>
    </row>
    <row r="282" spans="1:4" x14ac:dyDescent="0.2">
      <c r="A282" s="5">
        <v>221</v>
      </c>
      <c r="B282" s="138">
        <f>'Assets-Liab 5-6'!N21</f>
        <v>441</v>
      </c>
      <c r="D282" s="2" t="str">
        <f t="shared" si="3"/>
        <v>Error?</v>
      </c>
    </row>
    <row r="283" spans="1:4" x14ac:dyDescent="0.2">
      <c r="A283" s="5">
        <v>222</v>
      </c>
      <c r="B283" s="138">
        <f>'Assets-Liab 5-6'!N22</f>
        <v>241199</v>
      </c>
      <c r="D283" s="2" t="str">
        <f t="shared" si="3"/>
        <v>Error?</v>
      </c>
    </row>
    <row r="284" spans="1:4" x14ac:dyDescent="0.2">
      <c r="A284" s="5">
        <v>223</v>
      </c>
      <c r="B284" s="138">
        <f>'Assets-Liab 5-6'!N23</f>
        <v>241640</v>
      </c>
      <c r="C284" s="2" t="s">
        <v>594</v>
      </c>
      <c r="D284" s="2" t="str">
        <f t="shared" si="3"/>
        <v>Error?</v>
      </c>
    </row>
    <row r="285" spans="1:4" x14ac:dyDescent="0.2">
      <c r="A285" s="5">
        <v>224</v>
      </c>
      <c r="B285" s="138">
        <f>'Assets-Liab 5-6'!N36</f>
        <v>241640</v>
      </c>
      <c r="D285" s="2" t="str">
        <f t="shared" si="3"/>
        <v>Error?</v>
      </c>
    </row>
    <row r="286" spans="1:4" x14ac:dyDescent="0.2">
      <c r="A286" s="10">
        <v>225</v>
      </c>
      <c r="D286" s="2" t="str">
        <f t="shared" si="3"/>
        <v>OK</v>
      </c>
    </row>
    <row r="287" spans="1:4" x14ac:dyDescent="0.2">
      <c r="A287" s="5">
        <v>226</v>
      </c>
      <c r="B287" s="138">
        <f>'Assets-Liab 5-6'!N37</f>
        <v>241640</v>
      </c>
      <c r="C287" s="2" t="s">
        <v>594</v>
      </c>
      <c r="D287" s="2" t="str">
        <f t="shared" si="3"/>
        <v>Error?</v>
      </c>
    </row>
    <row r="288" spans="1:4" x14ac:dyDescent="0.2">
      <c r="A288" s="5">
        <v>227</v>
      </c>
      <c r="B288" s="138">
        <f>'Assets-Liab 5-6'!N41</f>
        <v>241640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1456905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61223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54699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2156281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38899</v>
      </c>
      <c r="D722" s="2" t="str">
        <f t="shared" si="10"/>
        <v>Error?</v>
      </c>
    </row>
    <row r="723" spans="1:4" x14ac:dyDescent="0.2">
      <c r="A723" s="5">
        <v>662</v>
      </c>
      <c r="B723" s="138">
        <f>'Expenditures 15-22'!C38</f>
        <v>17097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55996</v>
      </c>
      <c r="C727" s="2" t="s">
        <v>594</v>
      </c>
      <c r="D727" s="2" t="str">
        <f t="shared" si="10"/>
        <v>Error?</v>
      </c>
    </row>
    <row r="728" spans="1:4" x14ac:dyDescent="0.2">
      <c r="A728" s="5">
        <v>667</v>
      </c>
      <c r="B728" s="138">
        <f>'Expenditures 15-22'!C44</f>
        <v>19225</v>
      </c>
      <c r="D728" s="2" t="str">
        <f t="shared" si="10"/>
        <v>Error?</v>
      </c>
    </row>
    <row r="729" spans="1:4" x14ac:dyDescent="0.2">
      <c r="A729" s="5">
        <v>668</v>
      </c>
      <c r="B729" s="138">
        <f>'Expenditures 15-22'!C45</f>
        <v>46438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65663</v>
      </c>
      <c r="C731" s="2" t="s">
        <v>594</v>
      </c>
      <c r="D731" s="2" t="str">
        <f t="shared" si="10"/>
        <v>Error?</v>
      </c>
    </row>
    <row r="732" spans="1:4" x14ac:dyDescent="0.2">
      <c r="A732" s="5">
        <v>671</v>
      </c>
      <c r="B732" s="138">
        <f>'Expenditures 15-22'!C49</f>
        <v>938</v>
      </c>
      <c r="D732" s="2" t="str">
        <f t="shared" si="10"/>
        <v>Error?</v>
      </c>
    </row>
    <row r="733" spans="1:4" x14ac:dyDescent="0.2">
      <c r="A733" s="5">
        <v>672</v>
      </c>
      <c r="B733" s="138">
        <f>'Expenditures 15-22'!C50</f>
        <v>139724</v>
      </c>
      <c r="D733" s="2" t="str">
        <f t="shared" si="10"/>
        <v>Error?</v>
      </c>
    </row>
    <row r="734" spans="1:4" x14ac:dyDescent="0.2">
      <c r="A734" s="5">
        <v>673</v>
      </c>
      <c r="B734" s="138">
        <f>'Expenditures 15-22'!C53</f>
        <v>140662</v>
      </c>
      <c r="C734" s="2" t="s">
        <v>594</v>
      </c>
      <c r="D734" s="2" t="str">
        <f t="shared" si="10"/>
        <v>Error?</v>
      </c>
    </row>
    <row r="735" spans="1:4" x14ac:dyDescent="0.2">
      <c r="A735" s="5">
        <v>674</v>
      </c>
      <c r="B735" s="138">
        <f>'Expenditures 15-22'!C55</f>
        <v>137428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137428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34823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35330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70153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469902</v>
      </c>
      <c r="C755" s="2" t="s">
        <v>594</v>
      </c>
      <c r="D755" s="2" t="str">
        <f t="shared" si="10"/>
        <v>Error?</v>
      </c>
    </row>
    <row r="756" spans="1:4" x14ac:dyDescent="0.2">
      <c r="A756" s="5">
        <v>695</v>
      </c>
      <c r="B756" s="138">
        <f>'Expenditures 15-22'!C75</f>
        <v>38258</v>
      </c>
      <c r="D756" s="2" t="str">
        <f t="shared" si="10"/>
        <v>Error?</v>
      </c>
    </row>
    <row r="757" spans="1:4" x14ac:dyDescent="0.2">
      <c r="A757" s="5">
        <v>696</v>
      </c>
      <c r="B757" s="138">
        <f>'Expenditures 15-22'!C114</f>
        <v>2664441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212212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11136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791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267901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6880</v>
      </c>
      <c r="D780" s="2" t="str">
        <f t="shared" si="11"/>
        <v>Error?</v>
      </c>
    </row>
    <row r="781" spans="1:4" x14ac:dyDescent="0.2">
      <c r="A781" s="5">
        <v>720</v>
      </c>
      <c r="B781" s="138">
        <f>'Expenditures 15-22'!D38</f>
        <v>3205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10085</v>
      </c>
      <c r="C785" s="2" t="s">
        <v>594</v>
      </c>
      <c r="D785" s="2" t="str">
        <f t="shared" si="11"/>
        <v>Error?</v>
      </c>
    </row>
    <row r="786" spans="1:4" x14ac:dyDescent="0.2">
      <c r="A786" s="5">
        <v>725</v>
      </c>
      <c r="B786" s="138">
        <f>'Expenditures 15-22'!D44</f>
        <v>825</v>
      </c>
      <c r="D786" s="2" t="str">
        <f t="shared" si="11"/>
        <v>Error?</v>
      </c>
    </row>
    <row r="787" spans="1:4" x14ac:dyDescent="0.2">
      <c r="A787" s="5">
        <v>726</v>
      </c>
      <c r="B787" s="138">
        <f>'Expenditures 15-22'!D45</f>
        <v>8483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9308</v>
      </c>
      <c r="C789" s="2" t="s">
        <v>594</v>
      </c>
      <c r="D789" s="2" t="str">
        <f t="shared" si="11"/>
        <v>Error?</v>
      </c>
    </row>
    <row r="790" spans="1:4" x14ac:dyDescent="0.2">
      <c r="A790" s="5">
        <v>729</v>
      </c>
      <c r="B790" s="138">
        <f>'Expenditures 15-22'!D49</f>
        <v>157</v>
      </c>
      <c r="D790" s="2" t="str">
        <f t="shared" si="11"/>
        <v>Error?</v>
      </c>
    </row>
    <row r="791" spans="1:4" x14ac:dyDescent="0.2">
      <c r="A791" s="5">
        <v>730</v>
      </c>
      <c r="B791" s="138">
        <f>'Expenditures 15-22'!D50</f>
        <v>7940</v>
      </c>
      <c r="D791" s="2" t="str">
        <f t="shared" si="11"/>
        <v>Error?</v>
      </c>
    </row>
    <row r="792" spans="1:4" x14ac:dyDescent="0.2">
      <c r="A792" s="5">
        <v>731</v>
      </c>
      <c r="B792" s="138">
        <f>'Expenditures 15-22'!D53</f>
        <v>8097</v>
      </c>
      <c r="C792" s="2" t="s">
        <v>594</v>
      </c>
      <c r="D792" s="2" t="str">
        <f t="shared" si="11"/>
        <v>Error?</v>
      </c>
    </row>
    <row r="793" spans="1:4" x14ac:dyDescent="0.2">
      <c r="A793" s="5">
        <v>732</v>
      </c>
      <c r="B793" s="138">
        <f>'Expenditures 15-22'!D55</f>
        <v>9725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9725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6636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6636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43851</v>
      </c>
      <c r="C813" s="2" t="s">
        <v>594</v>
      </c>
      <c r="D813" s="2" t="str">
        <f t="shared" si="11"/>
        <v>Error?</v>
      </c>
    </row>
    <row r="814" spans="1:4" x14ac:dyDescent="0.2">
      <c r="A814" s="5">
        <v>753</v>
      </c>
      <c r="B814" s="138">
        <f>'Expenditures 15-22'!D75</f>
        <v>202</v>
      </c>
      <c r="D814" s="2" t="str">
        <f t="shared" si="11"/>
        <v>Error?</v>
      </c>
    </row>
    <row r="815" spans="1:4" x14ac:dyDescent="0.2">
      <c r="A815" s="5">
        <v>754</v>
      </c>
      <c r="B815" s="138">
        <f>'Expenditures 15-22'!D114</f>
        <v>311954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6931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8030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44468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50872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50872</v>
      </c>
      <c r="C843" s="2" t="s">
        <v>594</v>
      </c>
      <c r="D843" s="2" t="str">
        <f t="shared" si="12"/>
        <v>Error?</v>
      </c>
    </row>
    <row r="844" spans="1:4" x14ac:dyDescent="0.2">
      <c r="A844" s="5">
        <v>783</v>
      </c>
      <c r="B844" s="138">
        <f>'Expenditures 15-22'!E44</f>
        <v>12939</v>
      </c>
      <c r="D844" s="2" t="str">
        <f t="shared" si="12"/>
        <v>Error?</v>
      </c>
    </row>
    <row r="845" spans="1:4" x14ac:dyDescent="0.2">
      <c r="A845" s="5">
        <v>784</v>
      </c>
      <c r="B845" s="138">
        <f>'Expenditures 15-22'!E45</f>
        <v>3122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16061</v>
      </c>
      <c r="C847" s="2" t="s">
        <v>594</v>
      </c>
      <c r="D847" s="2" t="str">
        <f t="shared" si="12"/>
        <v>Error?</v>
      </c>
    </row>
    <row r="848" spans="1:4" x14ac:dyDescent="0.2">
      <c r="A848" s="5">
        <v>787</v>
      </c>
      <c r="B848" s="138">
        <f>'Expenditures 15-22'!E49</f>
        <v>19328</v>
      </c>
      <c r="D848" s="2" t="str">
        <f t="shared" si="12"/>
        <v>Error?</v>
      </c>
    </row>
    <row r="849" spans="1:4" x14ac:dyDescent="0.2">
      <c r="A849" s="5">
        <v>788</v>
      </c>
      <c r="B849" s="138">
        <f>'Expenditures 15-22'!E50</f>
        <v>1185</v>
      </c>
      <c r="D849" s="2" t="str">
        <f t="shared" si="12"/>
        <v>Error?</v>
      </c>
    </row>
    <row r="850" spans="1:4" x14ac:dyDescent="0.2">
      <c r="A850" s="5">
        <v>789</v>
      </c>
      <c r="B850" s="138">
        <f>'Expenditures 15-22'!E53</f>
        <v>20513</v>
      </c>
      <c r="C850" s="2" t="s">
        <v>594</v>
      </c>
      <c r="D850" s="2" t="str">
        <f t="shared" si="12"/>
        <v>Error?</v>
      </c>
    </row>
    <row r="851" spans="1:4" x14ac:dyDescent="0.2">
      <c r="A851" s="5">
        <v>790</v>
      </c>
      <c r="B851" s="138">
        <f>'Expenditures 15-22'!E55</f>
        <v>1560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1560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1860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1887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90893</v>
      </c>
      <c r="C871" s="2" t="s">
        <v>594</v>
      </c>
      <c r="D871" s="2" t="str">
        <f t="shared" si="12"/>
        <v>Error?</v>
      </c>
    </row>
    <row r="872" spans="1:4" x14ac:dyDescent="0.2">
      <c r="A872" s="5">
        <v>811</v>
      </c>
      <c r="B872" s="138">
        <f>'Expenditures 15-22'!E75</f>
        <v>390</v>
      </c>
      <c r="D872" s="2" t="str">
        <f t="shared" si="12"/>
        <v>Error?</v>
      </c>
    </row>
    <row r="873" spans="1:4" x14ac:dyDescent="0.2">
      <c r="A873" s="5">
        <v>812</v>
      </c>
      <c r="B873" s="138">
        <f>'Expenditures 15-22'!E114</f>
        <v>185508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31161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93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12830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88694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20</v>
      </c>
      <c r="D896" s="2" t="str">
        <f t="shared" si="13"/>
        <v>Error?</v>
      </c>
    </row>
    <row r="897" spans="1:4" x14ac:dyDescent="0.2">
      <c r="A897" s="5">
        <v>836</v>
      </c>
      <c r="B897" s="138">
        <f>'Expenditures 15-22'!F38</f>
        <v>410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1039</v>
      </c>
      <c r="D900" s="2" t="str">
        <f t="shared" si="13"/>
        <v>Error?</v>
      </c>
    </row>
    <row r="901" spans="1:4" x14ac:dyDescent="0.2">
      <c r="A901" s="5">
        <v>840</v>
      </c>
      <c r="B901" s="138">
        <f>'Expenditures 15-22'!F42</f>
        <v>1469</v>
      </c>
      <c r="C901" s="2" t="s">
        <v>594</v>
      </c>
      <c r="D901" s="2" t="str">
        <f t="shared" si="13"/>
        <v>Error?</v>
      </c>
    </row>
    <row r="902" spans="1:4" x14ac:dyDescent="0.2">
      <c r="A902" s="5">
        <v>841</v>
      </c>
      <c r="B902" s="138">
        <f>'Expenditures 15-22'!F44</f>
        <v>3550</v>
      </c>
      <c r="D902" s="2" t="str">
        <f t="shared" si="13"/>
        <v>Error?</v>
      </c>
    </row>
    <row r="903" spans="1:4" x14ac:dyDescent="0.2">
      <c r="A903" s="5">
        <v>842</v>
      </c>
      <c r="B903" s="138">
        <f>'Expenditures 15-22'!F45</f>
        <v>1928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5478</v>
      </c>
      <c r="C905" s="2" t="s">
        <v>594</v>
      </c>
      <c r="D905" s="2" t="str">
        <f t="shared" si="13"/>
        <v>Error?</v>
      </c>
    </row>
    <row r="906" spans="1:4" x14ac:dyDescent="0.2">
      <c r="A906" s="5">
        <v>845</v>
      </c>
      <c r="B906" s="138">
        <f>'Expenditures 15-22'!F49</f>
        <v>87</v>
      </c>
      <c r="D906" s="2" t="str">
        <f t="shared" si="13"/>
        <v>Error?</v>
      </c>
    </row>
    <row r="907" spans="1:4" x14ac:dyDescent="0.2">
      <c r="A907" s="5">
        <v>846</v>
      </c>
      <c r="B907" s="138">
        <f>'Expenditures 15-22'!F50</f>
        <v>952</v>
      </c>
      <c r="D907" s="2" t="str">
        <f t="shared" si="13"/>
        <v>Error?</v>
      </c>
    </row>
    <row r="908" spans="1:4" x14ac:dyDescent="0.2">
      <c r="A908" s="5">
        <v>847</v>
      </c>
      <c r="B908" s="138">
        <f>'Expenditures 15-22'!F53</f>
        <v>1039</v>
      </c>
      <c r="C908" s="2" t="s">
        <v>594</v>
      </c>
      <c r="D908" s="2" t="str">
        <f t="shared" si="13"/>
        <v>Error?</v>
      </c>
    </row>
    <row r="909" spans="1:4" x14ac:dyDescent="0.2">
      <c r="A909" s="5">
        <v>848</v>
      </c>
      <c r="B909" s="138">
        <f>'Expenditures 15-22'!F55</f>
        <v>353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353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162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134160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134322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142661</v>
      </c>
      <c r="C929" s="2" t="s">
        <v>594</v>
      </c>
      <c r="D929" s="2" t="str">
        <f t="shared" si="13"/>
        <v>Error?</v>
      </c>
    </row>
    <row r="930" spans="1:4" x14ac:dyDescent="0.2">
      <c r="A930" s="5">
        <v>869</v>
      </c>
      <c r="B930" s="138">
        <f>'Expenditures 15-22'!F75</f>
        <v>2938</v>
      </c>
      <c r="D930" s="2" t="str">
        <f t="shared" si="13"/>
        <v>Error?</v>
      </c>
    </row>
    <row r="931" spans="1:4" x14ac:dyDescent="0.2">
      <c r="A931" s="5">
        <v>870</v>
      </c>
      <c r="B931" s="138">
        <f>'Expenditures 15-22'!F114</f>
        <v>234293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7812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3397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15114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394</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394</v>
      </c>
      <c r="C1021" s="2" t="s">
        <v>594</v>
      </c>
      <c r="D1021" s="2" t="str">
        <f t="shared" si="14"/>
        <v>Error?</v>
      </c>
    </row>
    <row r="1022" spans="1:4" x14ac:dyDescent="0.2">
      <c r="A1022" s="5">
        <v>961</v>
      </c>
      <c r="B1022" s="138">
        <f>'Expenditures 15-22'!H49</f>
        <v>7763</v>
      </c>
      <c r="D1022" s="2" t="str">
        <f t="shared" si="14"/>
        <v>Error?</v>
      </c>
    </row>
    <row r="1023" spans="1:4" x14ac:dyDescent="0.2">
      <c r="A1023" s="5">
        <v>962</v>
      </c>
      <c r="B1023" s="138">
        <f>'Expenditures 15-22'!H50</f>
        <v>3600</v>
      </c>
      <c r="D1023" s="2" t="str">
        <f t="shared" ref="D1023:D1086" si="15">IF(ISBLANK(B1023),"OK",IF(A1023-B1023=0,"OK","Error?"))</f>
        <v>Error?</v>
      </c>
    </row>
    <row r="1024" spans="1:4" x14ac:dyDescent="0.2">
      <c r="A1024" s="5">
        <v>963</v>
      </c>
      <c r="B1024" s="138">
        <f>'Expenditures 15-22'!H53</f>
        <v>11363</v>
      </c>
      <c r="C1024" s="2" t="s">
        <v>594</v>
      </c>
      <c r="D1024" s="2" t="str">
        <f t="shared" si="15"/>
        <v>Error?</v>
      </c>
    </row>
    <row r="1025" spans="1:4" x14ac:dyDescent="0.2">
      <c r="A1025" s="5">
        <v>964</v>
      </c>
      <c r="B1025" s="138">
        <f>'Expenditures 15-22'!H55</f>
        <v>3377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3377</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419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419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15553</v>
      </c>
      <c r="C1045" s="2" t="s">
        <v>594</v>
      </c>
      <c r="D1045" s="2" t="str">
        <f t="shared" si="15"/>
        <v>Error?</v>
      </c>
    </row>
    <row r="1046" spans="1:4" x14ac:dyDescent="0.2">
      <c r="A1046" s="5">
        <v>985</v>
      </c>
      <c r="B1046" s="138">
        <f>'Expenditures 15-22'!H75</f>
        <v>2225</v>
      </c>
      <c r="D1046" s="2" t="str">
        <f t="shared" si="15"/>
        <v>Error?</v>
      </c>
    </row>
    <row r="1047" spans="1:4" x14ac:dyDescent="0.2">
      <c r="A1047" s="5">
        <v>986</v>
      </c>
      <c r="B1047" s="138">
        <f>'Expenditures 15-22'!H102</f>
        <v>184564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217456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1715021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72471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79747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2572458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45799</v>
      </c>
      <c r="C1110" s="2" t="s">
        <v>594</v>
      </c>
      <c r="D1110" s="2" t="str">
        <f t="shared" si="16"/>
        <v>Error?</v>
      </c>
    </row>
    <row r="1111" spans="1:4" x14ac:dyDescent="0.2">
      <c r="A1111" s="5">
        <v>1050</v>
      </c>
      <c r="B1111" s="138">
        <f>'Expenditures 15-22'!K38</f>
        <v>20712</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50872</v>
      </c>
      <c r="C1113" s="2" t="s">
        <v>594</v>
      </c>
      <c r="D1113" s="2" t="str">
        <f t="shared" si="16"/>
        <v>Error?</v>
      </c>
    </row>
    <row r="1114" spans="1:4" x14ac:dyDescent="0.2">
      <c r="A1114" s="5">
        <v>1053</v>
      </c>
      <c r="B1114" s="138">
        <f>'Expenditures 15-22'!K41</f>
        <v>1039</v>
      </c>
      <c r="C1114" s="2" t="s">
        <v>594</v>
      </c>
      <c r="D1114" s="2" t="str">
        <f t="shared" si="16"/>
        <v>Error?</v>
      </c>
    </row>
    <row r="1115" spans="1:4" x14ac:dyDescent="0.2">
      <c r="A1115" s="5">
        <v>1054</v>
      </c>
      <c r="B1115" s="138">
        <f>'Expenditures 15-22'!K42</f>
        <v>118422</v>
      </c>
      <c r="C1115" s="2" t="s">
        <v>594</v>
      </c>
      <c r="D1115" s="2" t="str">
        <f t="shared" si="16"/>
        <v>Error?</v>
      </c>
    </row>
    <row r="1116" spans="1:4" x14ac:dyDescent="0.2">
      <c r="A1116" s="5">
        <v>1055</v>
      </c>
      <c r="B1116" s="138">
        <f>'Expenditures 15-22'!K44</f>
        <v>36539</v>
      </c>
      <c r="C1116" s="2" t="s">
        <v>594</v>
      </c>
      <c r="D1116" s="2" t="str">
        <f t="shared" si="16"/>
        <v>Error?</v>
      </c>
    </row>
    <row r="1117" spans="1:4" x14ac:dyDescent="0.2">
      <c r="A1117" s="5">
        <v>1056</v>
      </c>
      <c r="B1117" s="138">
        <f>'Expenditures 15-22'!K45</f>
        <v>60365</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96904</v>
      </c>
      <c r="C1119" s="2" t="s">
        <v>594</v>
      </c>
      <c r="D1119" s="2" t="str">
        <f t="shared" si="16"/>
        <v>Error?</v>
      </c>
    </row>
    <row r="1120" spans="1:4" x14ac:dyDescent="0.2">
      <c r="A1120" s="5">
        <v>1059</v>
      </c>
      <c r="B1120" s="138">
        <f>'Expenditures 15-22'!K49</f>
        <v>28273</v>
      </c>
      <c r="C1120" s="2" t="s">
        <v>594</v>
      </c>
      <c r="D1120" s="2" t="str">
        <f t="shared" si="16"/>
        <v>Error?</v>
      </c>
    </row>
    <row r="1121" spans="1:4" x14ac:dyDescent="0.2">
      <c r="A1121" s="5">
        <v>1060</v>
      </c>
      <c r="B1121" s="138">
        <f>'Expenditures 15-22'!K50</f>
        <v>153401</v>
      </c>
      <c r="C1121" s="2" t="s">
        <v>594</v>
      </c>
      <c r="D1121" s="2" t="str">
        <f t="shared" si="16"/>
        <v>Error?</v>
      </c>
    </row>
    <row r="1122" spans="1:4" x14ac:dyDescent="0.2">
      <c r="A1122" s="5">
        <v>1061</v>
      </c>
      <c r="B1122" s="138">
        <f>'Expenditures 15-22'!K53</f>
        <v>181674</v>
      </c>
      <c r="C1122" s="2" t="s">
        <v>594</v>
      </c>
      <c r="D1122" s="2" t="str">
        <f t="shared" si="16"/>
        <v>Error?</v>
      </c>
    </row>
    <row r="1123" spans="1:4" x14ac:dyDescent="0.2">
      <c r="A1123" s="5">
        <v>1062</v>
      </c>
      <c r="B1123" s="138">
        <f>'Expenditures 15-22'!K55</f>
        <v>152443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152443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43481</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169936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213417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762860</v>
      </c>
      <c r="C1143" s="2" t="s">
        <v>594</v>
      </c>
      <c r="D1143" s="2" t="str">
        <f t="shared" si="16"/>
        <v>Error?</v>
      </c>
    </row>
    <row r="1144" spans="1:4" x14ac:dyDescent="0.2">
      <c r="A1144" s="5">
        <v>1083</v>
      </c>
      <c r="B1144" s="138">
        <f>'Expenditures 15-22'!K75</f>
        <v>44013</v>
      </c>
      <c r="C1144" s="2" t="s">
        <v>594</v>
      </c>
      <c r="D1144" s="2" t="str">
        <f t="shared" si="16"/>
        <v>Error?</v>
      </c>
    </row>
    <row r="1145" spans="1:4" x14ac:dyDescent="0.2">
      <c r="A1145" s="5">
        <v>1084</v>
      </c>
      <c r="B1145" s="138">
        <f>'Expenditures 15-22'!K102</f>
        <v>234321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3613652</v>
      </c>
      <c r="C1152" s="2" t="s">
        <v>594</v>
      </c>
      <c r="D1152" s="2" t="str">
        <f t="shared" si="17"/>
        <v>Error?</v>
      </c>
    </row>
    <row r="1153" spans="1:4" x14ac:dyDescent="0.2">
      <c r="A1153" s="5">
        <v>1092</v>
      </c>
      <c r="B1153" s="138">
        <f>'Expenditures 15-22'!K115</f>
        <v>64677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96877</v>
      </c>
      <c r="D1221" s="2" t="str">
        <f t="shared" si="18"/>
        <v>Error?</v>
      </c>
    </row>
    <row r="1222" spans="1:4" x14ac:dyDescent="0.2">
      <c r="A1222" s="10">
        <v>1161</v>
      </c>
      <c r="D1222" s="2" t="str">
        <f t="shared" si="18"/>
        <v>OK</v>
      </c>
    </row>
    <row r="1223" spans="1:4" x14ac:dyDescent="0.2">
      <c r="A1223" s="5">
        <v>1162</v>
      </c>
      <c r="B1223" s="138">
        <f>'Expenditures 15-22'!C127</f>
        <v>96877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96877</v>
      </c>
      <c r="C1225" s="2" t="s">
        <v>594</v>
      </c>
      <c r="D1225" s="2" t="str">
        <f t="shared" si="18"/>
        <v>Error?</v>
      </c>
    </row>
    <row r="1226" spans="1:4" x14ac:dyDescent="0.2">
      <c r="A1226" s="5">
        <v>1165</v>
      </c>
      <c r="B1226" s="138">
        <f>'Expenditures 15-22'!C151</f>
        <v>96877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18348</v>
      </c>
      <c r="D1229" s="2" t="str">
        <f t="shared" si="18"/>
        <v>Error?</v>
      </c>
    </row>
    <row r="1230" spans="1:4" x14ac:dyDescent="0.2">
      <c r="A1230" s="10">
        <v>1169</v>
      </c>
      <c r="D1230" s="2" t="str">
        <f t="shared" si="18"/>
        <v>OK</v>
      </c>
    </row>
    <row r="1231" spans="1:4" x14ac:dyDescent="0.2">
      <c r="A1231" s="5">
        <v>1170</v>
      </c>
      <c r="B1231" s="138">
        <f>'Expenditures 15-22'!D127</f>
        <v>18348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18348</v>
      </c>
      <c r="C1233" s="2" t="s">
        <v>594</v>
      </c>
      <c r="D1233" s="2" t="str">
        <f t="shared" si="18"/>
        <v>Error?</v>
      </c>
    </row>
    <row r="1234" spans="1:4" x14ac:dyDescent="0.2">
      <c r="A1234" s="5">
        <v>1173</v>
      </c>
      <c r="B1234" s="138">
        <f>'Expenditures 15-22'!D151</f>
        <v>18348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82554</v>
      </c>
      <c r="D1237" s="2" t="str">
        <f t="shared" si="18"/>
        <v>Error?</v>
      </c>
    </row>
    <row r="1238" spans="1:4" x14ac:dyDescent="0.2">
      <c r="A1238" s="10">
        <v>1177</v>
      </c>
      <c r="D1238" s="2" t="str">
        <f t="shared" si="18"/>
        <v>OK</v>
      </c>
    </row>
    <row r="1239" spans="1:4" x14ac:dyDescent="0.2">
      <c r="A1239" s="5">
        <v>1178</v>
      </c>
      <c r="B1239" s="138">
        <f>'Expenditures 15-22'!E127</f>
        <v>82554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82554</v>
      </c>
      <c r="C1241" s="2" t="s">
        <v>594</v>
      </c>
      <c r="D1241" s="2" t="str">
        <f t="shared" si="18"/>
        <v>Error?</v>
      </c>
    </row>
    <row r="1242" spans="1:4" x14ac:dyDescent="0.2">
      <c r="A1242" s="5">
        <v>1181</v>
      </c>
      <c r="B1242" s="138">
        <f>'Expenditures 15-22'!E151</f>
        <v>82554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91004</v>
      </c>
      <c r="D1245" s="2" t="str">
        <f t="shared" si="18"/>
        <v>Error?</v>
      </c>
    </row>
    <row r="1246" spans="1:4" x14ac:dyDescent="0.2">
      <c r="A1246" s="10">
        <v>1185</v>
      </c>
      <c r="D1246" s="2" t="str">
        <f t="shared" si="18"/>
        <v>OK</v>
      </c>
    </row>
    <row r="1247" spans="1:4" x14ac:dyDescent="0.2">
      <c r="A1247" s="5">
        <v>1186</v>
      </c>
      <c r="B1247" s="138">
        <f>'Expenditures 15-22'!F127</f>
        <v>91004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91004</v>
      </c>
      <c r="C1249" s="2" t="s">
        <v>594</v>
      </c>
      <c r="D1249" s="2" t="str">
        <f t="shared" si="18"/>
        <v>Error?</v>
      </c>
    </row>
    <row r="1250" spans="1:4" x14ac:dyDescent="0.2">
      <c r="A1250" s="5">
        <v>1189</v>
      </c>
      <c r="B1250" s="138">
        <f>'Expenditures 15-22'!F151</f>
        <v>91004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288783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288783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288783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288783</v>
      </c>
      <c r="C1288" s="2" t="s">
        <v>594</v>
      </c>
      <c r="D1288" s="2" t="str">
        <f t="shared" si="19"/>
        <v>Error?</v>
      </c>
    </row>
    <row r="1289" spans="1:4" x14ac:dyDescent="0.2">
      <c r="A1289" s="5">
        <v>1228</v>
      </c>
      <c r="B1289" s="138">
        <f>'Expenditures 15-22'!K152</f>
        <v>54106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15108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52356</v>
      </c>
      <c r="D1315" s="2" t="str">
        <f t="shared" si="19"/>
        <v>Error?</v>
      </c>
    </row>
    <row r="1316" spans="1:4" x14ac:dyDescent="0.2">
      <c r="A1316" s="5">
        <v>1255</v>
      </c>
      <c r="B1316" s="138">
        <f>'Expenditures 15-22'!H171</f>
        <v>900</v>
      </c>
      <c r="D1316" s="2" t="str">
        <f t="shared" si="19"/>
        <v>Error?</v>
      </c>
    </row>
    <row r="1317" spans="1:4" x14ac:dyDescent="0.2">
      <c r="A1317" s="5">
        <v>1256</v>
      </c>
      <c r="B1317" s="138">
        <f>'Expenditures 15-22'!H172</f>
        <v>68364</v>
      </c>
      <c r="C1317" s="2" t="s">
        <v>594</v>
      </c>
      <c r="D1317" s="2" t="str">
        <f t="shared" si="19"/>
        <v>Error?</v>
      </c>
    </row>
    <row r="1318" spans="1:4" x14ac:dyDescent="0.2">
      <c r="A1318" s="5">
        <v>1257</v>
      </c>
      <c r="B1318" s="138">
        <f>'Expenditures 15-22'!H174</f>
        <v>68364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15108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52356</v>
      </c>
      <c r="C1329" s="2" t="s">
        <v>594</v>
      </c>
      <c r="D1329" s="2" t="str">
        <f t="shared" si="19"/>
        <v>Error?</v>
      </c>
    </row>
    <row r="1330" spans="1:4" x14ac:dyDescent="0.2">
      <c r="A1330" s="5">
        <v>1269</v>
      </c>
      <c r="B1330" s="138">
        <f>'Expenditures 15-22'!K171</f>
        <v>900</v>
      </c>
      <c r="C1330" s="2" t="s">
        <v>594</v>
      </c>
      <c r="D1330" s="2" t="str">
        <f t="shared" si="19"/>
        <v>Error?</v>
      </c>
    </row>
    <row r="1331" spans="1:4" x14ac:dyDescent="0.2">
      <c r="A1331" s="5">
        <v>1270</v>
      </c>
      <c r="B1331" s="138">
        <f>'Expenditures 15-22'!K172</f>
        <v>68364</v>
      </c>
      <c r="C1331" s="2" t="s">
        <v>594</v>
      </c>
      <c r="D1331" s="2" t="str">
        <f t="shared" si="19"/>
        <v>Error?</v>
      </c>
    </row>
    <row r="1332" spans="1:4" x14ac:dyDescent="0.2">
      <c r="A1332" s="5">
        <v>1271</v>
      </c>
      <c r="B1332" s="138">
        <f>'Expenditures 15-22'!K174</f>
        <v>68364</v>
      </c>
      <c r="C1332" s="2" t="s">
        <v>594</v>
      </c>
      <c r="D1332" s="2" t="str">
        <f t="shared" si="19"/>
        <v>Error?</v>
      </c>
    </row>
    <row r="1333" spans="1:4" x14ac:dyDescent="0.2">
      <c r="A1333" s="5">
        <v>1272</v>
      </c>
      <c r="B1333" s="138">
        <f>'Expenditures 15-22'!K175</f>
        <v>-29325</v>
      </c>
      <c r="C1333" s="2" t="s">
        <v>594</v>
      </c>
      <c r="D1333" s="2" t="str">
        <f t="shared" si="19"/>
        <v>Error?</v>
      </c>
    </row>
    <row r="1334" spans="1:4" x14ac:dyDescent="0.2">
      <c r="A1334" s="10">
        <v>1273</v>
      </c>
      <c r="D1334" s="2" t="str">
        <f t="shared" si="19"/>
        <v>OK</v>
      </c>
    </row>
    <row r="1335" spans="1:4" x14ac:dyDescent="0.2">
      <c r="A1335" s="5">
        <v>1274</v>
      </c>
      <c r="B1335" s="138">
        <f>'Expenditures 15-22'!C182</f>
        <v>28060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28060</v>
      </c>
      <c r="C1339" s="2" t="s">
        <v>594</v>
      </c>
      <c r="D1339" s="2" t="str">
        <f t="shared" si="19"/>
        <v>Error?</v>
      </c>
    </row>
    <row r="1340" spans="1:4" x14ac:dyDescent="0.2">
      <c r="A1340" s="5">
        <v>1279</v>
      </c>
      <c r="B1340" s="138">
        <f>'Expenditures 15-22'!C210</f>
        <v>28060</v>
      </c>
      <c r="C1340" s="2" t="s">
        <v>594</v>
      </c>
      <c r="D1340" s="2" t="str">
        <f t="shared" si="19"/>
        <v>Error?</v>
      </c>
    </row>
    <row r="1341" spans="1:4" x14ac:dyDescent="0.2">
      <c r="A1341" s="5">
        <v>1280</v>
      </c>
      <c r="B1341" s="138">
        <f>'Expenditures 15-22'!D182</f>
        <v>1622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1622</v>
      </c>
      <c r="C1345" s="2" t="s">
        <v>594</v>
      </c>
      <c r="D1345" s="2" t="str">
        <f t="shared" si="20"/>
        <v>Error?</v>
      </c>
    </row>
    <row r="1346" spans="1:4" x14ac:dyDescent="0.2">
      <c r="A1346" s="5">
        <v>1285</v>
      </c>
      <c r="B1346" s="138">
        <f>'Expenditures 15-22'!D210</f>
        <v>1622</v>
      </c>
      <c r="C1346" s="2" t="s">
        <v>594</v>
      </c>
      <c r="D1346" s="2" t="str">
        <f t="shared" si="20"/>
        <v>Error?</v>
      </c>
    </row>
    <row r="1347" spans="1:4" x14ac:dyDescent="0.2">
      <c r="A1347" s="5">
        <v>1286</v>
      </c>
      <c r="B1347" s="138">
        <f>'Expenditures 15-22'!E182</f>
        <v>147295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147295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147295</v>
      </c>
      <c r="C1353" s="2" t="s">
        <v>594</v>
      </c>
      <c r="D1353" s="2" t="str">
        <f t="shared" si="20"/>
        <v>Error?</v>
      </c>
    </row>
    <row r="1354" spans="1:4" x14ac:dyDescent="0.2">
      <c r="A1354" s="5">
        <v>1293</v>
      </c>
      <c r="B1354" s="138">
        <f>'Expenditures 15-22'!F182</f>
        <v>6009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6009</v>
      </c>
      <c r="C1358" s="2" t="s">
        <v>594</v>
      </c>
      <c r="D1358" s="2" t="str">
        <f t="shared" si="20"/>
        <v>Error?</v>
      </c>
    </row>
    <row r="1359" spans="1:4" x14ac:dyDescent="0.2">
      <c r="A1359" s="5">
        <v>1298</v>
      </c>
      <c r="B1359" s="138">
        <f>'Expenditures 15-22'!F210</f>
        <v>6009</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166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166</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166</v>
      </c>
      <c r="C1376" s="2" t="s">
        <v>594</v>
      </c>
      <c r="D1376" s="2" t="str">
        <f t="shared" si="20"/>
        <v>Error?</v>
      </c>
    </row>
    <row r="1377" spans="1:4" x14ac:dyDescent="0.2">
      <c r="A1377" s="5">
        <v>1316</v>
      </c>
      <c r="B1377" s="138">
        <f>'Expenditures 15-22'!K182</f>
        <v>183152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183152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183152</v>
      </c>
      <c r="C1388" s="2" t="s">
        <v>594</v>
      </c>
      <c r="D1388" s="2" t="str">
        <f t="shared" si="20"/>
        <v>Error?</v>
      </c>
    </row>
    <row r="1389" spans="1:4" x14ac:dyDescent="0.2">
      <c r="A1389" s="5">
        <v>1328</v>
      </c>
      <c r="B1389" s="138">
        <f>'Expenditures 15-22'!K211</f>
        <v>9252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783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2941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63290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500</v>
      </c>
      <c r="D1412" s="2" t="str">
        <f t="shared" si="21"/>
        <v>Error?</v>
      </c>
    </row>
    <row r="1413" spans="1:4" x14ac:dyDescent="0.2">
      <c r="A1413" s="5">
        <v>1352</v>
      </c>
      <c r="B1413" s="138">
        <f>'Expenditures 15-22'!D234</f>
        <v>2780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3280</v>
      </c>
      <c r="C1417" s="2" t="s">
        <v>594</v>
      </c>
      <c r="D1417" s="2" t="str">
        <f t="shared" si="21"/>
        <v>Error?</v>
      </c>
    </row>
    <row r="1418" spans="1:4" x14ac:dyDescent="0.2">
      <c r="A1418" s="5">
        <v>1357</v>
      </c>
      <c r="B1418" s="138">
        <f>'Expenditures 15-22'!D240</f>
        <v>281</v>
      </c>
      <c r="D1418" s="2" t="str">
        <f t="shared" si="21"/>
        <v>Error?</v>
      </c>
    </row>
    <row r="1419" spans="1:4" x14ac:dyDescent="0.2">
      <c r="A1419" s="5">
        <v>1358</v>
      </c>
      <c r="B1419" s="138">
        <f>'Expenditures 15-22'!D241</f>
        <v>7583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7864</v>
      </c>
      <c r="C1421" s="2" t="s">
        <v>594</v>
      </c>
      <c r="D1421" s="2" t="str">
        <f t="shared" si="21"/>
        <v>Error?</v>
      </c>
    </row>
    <row r="1422" spans="1:4" x14ac:dyDescent="0.2">
      <c r="A1422" s="5">
        <v>1361</v>
      </c>
      <c r="B1422" s="138">
        <f>'Expenditures 15-22'!D245</f>
        <v>154</v>
      </c>
      <c r="D1422" s="2" t="str">
        <f t="shared" si="21"/>
        <v>Error?</v>
      </c>
    </row>
    <row r="1423" spans="1:4" x14ac:dyDescent="0.2">
      <c r="A1423" s="5">
        <v>1362</v>
      </c>
      <c r="B1423" s="138">
        <f>'Expenditures 15-22'!D246</f>
        <v>6566</v>
      </c>
      <c r="D1423" s="2" t="str">
        <f t="shared" si="21"/>
        <v>Error?</v>
      </c>
    </row>
    <row r="1424" spans="1:4" x14ac:dyDescent="0.2">
      <c r="A1424" s="5">
        <v>1363</v>
      </c>
      <c r="B1424" s="138">
        <f>'Expenditures 15-22'!D257</f>
        <v>12753</v>
      </c>
      <c r="C1424" s="2" t="s">
        <v>594</v>
      </c>
      <c r="D1424" s="2" t="str">
        <f t="shared" si="21"/>
        <v>Error?</v>
      </c>
    </row>
    <row r="1425" spans="1:4" x14ac:dyDescent="0.2">
      <c r="A1425" s="5">
        <v>1364</v>
      </c>
      <c r="B1425" s="138">
        <f>'Expenditures 15-22'!D259</f>
        <v>7960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7960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5699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15228</v>
      </c>
      <c r="D1431" s="2" t="str">
        <f t="shared" si="21"/>
        <v>Error?</v>
      </c>
    </row>
    <row r="1432" spans="1:4" x14ac:dyDescent="0.2">
      <c r="A1432" s="5">
        <v>1371</v>
      </c>
      <c r="B1432" s="138">
        <f>'Expenditures 15-22'!D267</f>
        <v>4493</v>
      </c>
      <c r="D1432" s="2" t="str">
        <f t="shared" si="21"/>
        <v>Error?</v>
      </c>
    </row>
    <row r="1433" spans="1:4" x14ac:dyDescent="0.2">
      <c r="A1433" s="5">
        <v>1372</v>
      </c>
      <c r="B1433" s="138">
        <f>'Expenditures 15-22'!D268</f>
        <v>5519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30939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62796</v>
      </c>
      <c r="C1446" s="2" t="s">
        <v>594</v>
      </c>
      <c r="D1446" s="2" t="str">
        <f t="shared" si="21"/>
        <v>Error?</v>
      </c>
    </row>
    <row r="1447" spans="1:4" x14ac:dyDescent="0.2">
      <c r="A1447" s="5">
        <v>1386</v>
      </c>
      <c r="B1447" s="138">
        <f>'Expenditures 15-22'!D280</f>
        <v>6138</v>
      </c>
      <c r="D1447" s="2" t="str">
        <f t="shared" si="21"/>
        <v>Error?</v>
      </c>
    </row>
    <row r="1448" spans="1:4" x14ac:dyDescent="0.2">
      <c r="A1448" s="5">
        <v>1387</v>
      </c>
      <c r="B1448" s="138">
        <f>'Expenditures 15-22'!D295</f>
        <v>132224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783</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2941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63290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500</v>
      </c>
      <c r="C1476" s="2" t="s">
        <v>594</v>
      </c>
      <c r="D1476" s="2" t="str">
        <f t="shared" si="22"/>
        <v>Error?</v>
      </c>
    </row>
    <row r="1477" spans="1:4" x14ac:dyDescent="0.2">
      <c r="A1477" s="5">
        <v>1416</v>
      </c>
      <c r="B1477" s="138">
        <f>'Expenditures 15-22'!K234</f>
        <v>2780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3280</v>
      </c>
      <c r="C1481" s="2" t="s">
        <v>594</v>
      </c>
      <c r="D1481" s="2" t="str">
        <f t="shared" si="22"/>
        <v>Error?</v>
      </c>
    </row>
    <row r="1482" spans="1:4" x14ac:dyDescent="0.2">
      <c r="A1482" s="5">
        <v>1421</v>
      </c>
      <c r="B1482" s="138">
        <f>'Expenditures 15-22'!K240</f>
        <v>281</v>
      </c>
      <c r="C1482" s="2" t="s">
        <v>594</v>
      </c>
      <c r="D1482" s="2" t="str">
        <f t="shared" si="22"/>
        <v>Error?</v>
      </c>
    </row>
    <row r="1483" spans="1:4" x14ac:dyDescent="0.2">
      <c r="A1483" s="5">
        <v>1422</v>
      </c>
      <c r="B1483" s="138">
        <f>'Expenditures 15-22'!K241</f>
        <v>7583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7864</v>
      </c>
      <c r="C1485" s="2" t="s">
        <v>594</v>
      </c>
      <c r="D1485" s="2" t="str">
        <f t="shared" si="22"/>
        <v>Error?</v>
      </c>
    </row>
    <row r="1486" spans="1:4" x14ac:dyDescent="0.2">
      <c r="A1486" s="5">
        <v>1425</v>
      </c>
      <c r="B1486" s="138">
        <f>'Expenditures 15-22'!K245</f>
        <v>154</v>
      </c>
      <c r="C1486" s="2" t="s">
        <v>594</v>
      </c>
      <c r="D1486" s="2" t="str">
        <f t="shared" si="22"/>
        <v>Error?</v>
      </c>
    </row>
    <row r="1487" spans="1:4" x14ac:dyDescent="0.2">
      <c r="A1487" s="5">
        <v>1426</v>
      </c>
      <c r="B1487" s="138">
        <f>'Expenditures 15-22'!K246</f>
        <v>6566</v>
      </c>
      <c r="C1487" s="2" t="s">
        <v>594</v>
      </c>
      <c r="D1487" s="2" t="str">
        <f t="shared" si="22"/>
        <v>Error?</v>
      </c>
    </row>
    <row r="1488" spans="1:4" x14ac:dyDescent="0.2">
      <c r="A1488" s="5">
        <v>1427</v>
      </c>
      <c r="B1488" s="138">
        <f>'Expenditures 15-22'!K257</f>
        <v>12753</v>
      </c>
      <c r="C1488" s="2" t="s">
        <v>594</v>
      </c>
      <c r="D1488" s="2" t="str">
        <f t="shared" si="22"/>
        <v>Error?</v>
      </c>
    </row>
    <row r="1489" spans="1:4" x14ac:dyDescent="0.2">
      <c r="A1489" s="5">
        <v>1428</v>
      </c>
      <c r="B1489" s="138">
        <f>'Expenditures 15-22'!K259</f>
        <v>7960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7960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5699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15228</v>
      </c>
      <c r="C1495" s="2" t="s">
        <v>594</v>
      </c>
      <c r="D1495" s="2" t="str">
        <f t="shared" si="22"/>
        <v>Error?</v>
      </c>
    </row>
    <row r="1496" spans="1:4" x14ac:dyDescent="0.2">
      <c r="A1496" s="5">
        <v>1435</v>
      </c>
      <c r="B1496" s="138">
        <f>'Expenditures 15-22'!K267</f>
        <v>4493</v>
      </c>
      <c r="C1496" s="2" t="s">
        <v>594</v>
      </c>
      <c r="D1496" s="2" t="str">
        <f t="shared" si="22"/>
        <v>Error?</v>
      </c>
    </row>
    <row r="1497" spans="1:4" x14ac:dyDescent="0.2">
      <c r="A1497" s="5">
        <v>1436</v>
      </c>
      <c r="B1497" s="138">
        <f>'Expenditures 15-22'!K268</f>
        <v>5519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30939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62796</v>
      </c>
      <c r="C1510" s="2" t="s">
        <v>594</v>
      </c>
      <c r="D1510" s="2" t="str">
        <f t="shared" si="22"/>
        <v>Error?</v>
      </c>
    </row>
    <row r="1511" spans="1:4" x14ac:dyDescent="0.2">
      <c r="A1511" s="5">
        <v>1450</v>
      </c>
      <c r="B1511" s="138">
        <f>'Expenditures 15-22'!K280</f>
        <v>6138</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132224</v>
      </c>
      <c r="C1517" s="2" t="s">
        <v>594</v>
      </c>
      <c r="D1517" s="2" t="str">
        <f t="shared" si="22"/>
        <v>Error?</v>
      </c>
    </row>
    <row r="1518" spans="1:4" x14ac:dyDescent="0.2">
      <c r="A1518" s="5">
        <v>1457</v>
      </c>
      <c r="B1518" s="138">
        <f>'Expenditures 15-22'!K296</f>
        <v>23760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590003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654680</v>
      </c>
      <c r="C1630" s="2" t="s">
        <v>594</v>
      </c>
      <c r="D1630" s="2" t="str">
        <f t="shared" si="24"/>
        <v>Error?</v>
      </c>
    </row>
    <row r="1631" spans="1:4" x14ac:dyDescent="0.2">
      <c r="A1631" s="5">
        <v>1570</v>
      </c>
      <c r="B1631" s="138">
        <f>'Acct Summary 7-8'!D79</f>
        <v>20637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47134</v>
      </c>
      <c r="C1644" s="2" t="s">
        <v>594</v>
      </c>
      <c r="D1644" s="2" t="str">
        <f t="shared" si="24"/>
        <v>Error?</v>
      </c>
    </row>
    <row r="1645" spans="1:4" x14ac:dyDescent="0.2">
      <c r="A1645" s="5">
        <v>1584</v>
      </c>
      <c r="B1645" s="138">
        <f>'Acct Summary 7-8'!E79</f>
        <v>2157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441</v>
      </c>
      <c r="C1658" s="2" t="s">
        <v>594</v>
      </c>
      <c r="D1658" s="2" t="str">
        <f t="shared" si="24"/>
        <v>Error?</v>
      </c>
    </row>
    <row r="1659" spans="1:4" x14ac:dyDescent="0.2">
      <c r="A1659" s="5">
        <v>1598</v>
      </c>
      <c r="B1659" s="138">
        <f>'Acct Summary 7-8'!F79</f>
        <v>5499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14751</v>
      </c>
      <c r="C1672" s="2" t="s">
        <v>594</v>
      </c>
      <c r="D1672" s="2" t="str">
        <f t="shared" si="25"/>
        <v>Error?</v>
      </c>
    </row>
    <row r="1673" spans="1:4" x14ac:dyDescent="0.2">
      <c r="A1673" s="5">
        <v>1612</v>
      </c>
      <c r="B1673" s="138">
        <f>'Acct Summary 7-8'!G79</f>
        <v>169005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192765</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172980</v>
      </c>
      <c r="C1744" s="2" t="s">
        <v>594</v>
      </c>
      <c r="D1744" s="2" t="str">
        <f t="shared" si="26"/>
        <v>Error?</v>
      </c>
    </row>
    <row r="1745" spans="1:5" x14ac:dyDescent="0.2">
      <c r="A1745" s="5">
        <v>1684</v>
      </c>
      <c r="B1745" s="138">
        <f>'Tax Sched 23'!B5</f>
        <v>34236</v>
      </c>
      <c r="C1745" s="2" t="s">
        <v>594</v>
      </c>
      <c r="D1745" s="2" t="str">
        <f t="shared" si="26"/>
        <v>Error?</v>
      </c>
    </row>
    <row r="1746" spans="1:5" x14ac:dyDescent="0.2">
      <c r="A1746" s="5">
        <v>1685</v>
      </c>
      <c r="B1746" s="138">
        <f>'Tax Sched 23'!B6</f>
        <v>37986</v>
      </c>
      <c r="C1746" s="2" t="s">
        <v>594</v>
      </c>
      <c r="D1746" s="2" t="str">
        <f t="shared" si="26"/>
        <v>Error?</v>
      </c>
    </row>
    <row r="1747" spans="1:5" x14ac:dyDescent="0.2">
      <c r="A1747" s="5">
        <v>1686</v>
      </c>
      <c r="B1747" s="138">
        <f>'Tax Sched 23'!B7</f>
        <v>14415</v>
      </c>
      <c r="C1747" s="2" t="s">
        <v>594</v>
      </c>
      <c r="D1747" s="2" t="str">
        <f t="shared" si="26"/>
        <v>Error?</v>
      </c>
    </row>
    <row r="1748" spans="1:5" x14ac:dyDescent="0.2">
      <c r="A1748" s="5">
        <v>1687</v>
      </c>
      <c r="B1748" s="138">
        <f>'Tax Sched 23'!B8</f>
        <v>75809</v>
      </c>
      <c r="C1748" s="2" t="s">
        <v>594</v>
      </c>
      <c r="D1748" s="2" t="str">
        <f t="shared" si="26"/>
        <v>Error?</v>
      </c>
    </row>
    <row r="1749" spans="1:5" x14ac:dyDescent="0.2">
      <c r="A1749" s="5">
        <v>1688</v>
      </c>
      <c r="B1749" s="138">
        <f>'Tax Sched 23'!B10</f>
        <v>3603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53603</v>
      </c>
      <c r="C1752" s="2" t="s">
        <v>594</v>
      </c>
      <c r="D1752" s="2" t="str">
        <f t="shared" si="26"/>
        <v>Error?</v>
      </c>
    </row>
    <row r="1753" spans="1:5" x14ac:dyDescent="0.2">
      <c r="A1753" s="5">
        <v>1692</v>
      </c>
      <c r="B1753" s="138">
        <f>'Tax Sched 23'!B12</f>
        <v>3603</v>
      </c>
      <c r="C1753" s="2" t="s">
        <v>594</v>
      </c>
      <c r="D1753" s="2" t="str">
        <f t="shared" si="26"/>
        <v>Error?</v>
      </c>
    </row>
    <row r="1754" spans="1:5" x14ac:dyDescent="0.2">
      <c r="A1754" s="5">
        <v>1693</v>
      </c>
      <c r="B1754" s="138">
        <f>'Tax Sched 23'!B14</f>
        <v>2883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505331</v>
      </c>
      <c r="C1759" s="2" t="s">
        <v>594</v>
      </c>
      <c r="D1759" s="2" t="str">
        <f t="shared" si="26"/>
        <v>Error?</v>
      </c>
    </row>
    <row r="1760" spans="1:5" x14ac:dyDescent="0.2">
      <c r="A1760" s="5">
        <v>1699</v>
      </c>
      <c r="B1760" s="138">
        <f>'Tax Sched 23'!D4</f>
        <v>172980</v>
      </c>
      <c r="C1760" s="2" t="s">
        <v>594</v>
      </c>
      <c r="D1760" s="2" t="str">
        <f t="shared" si="26"/>
        <v>Error?</v>
      </c>
    </row>
    <row r="1761" spans="1:5" x14ac:dyDescent="0.2">
      <c r="A1761" s="5">
        <v>1700</v>
      </c>
      <c r="B1761" s="138">
        <f>'Tax Sched 23'!D5</f>
        <v>34236</v>
      </c>
      <c r="C1761" s="2" t="s">
        <v>594</v>
      </c>
      <c r="D1761" s="2" t="str">
        <f t="shared" si="26"/>
        <v>Error?</v>
      </c>
    </row>
    <row r="1762" spans="1:5" s="8" customFormat="1" x14ac:dyDescent="0.2">
      <c r="A1762" s="5">
        <v>1701</v>
      </c>
      <c r="B1762" s="138">
        <f>'Tax Sched 23'!D6</f>
        <v>37986</v>
      </c>
      <c r="C1762" s="2" t="s">
        <v>594</v>
      </c>
      <c r="D1762" s="2" t="str">
        <f t="shared" si="26"/>
        <v>Error?</v>
      </c>
      <c r="E1762" s="9"/>
    </row>
    <row r="1763" spans="1:5" x14ac:dyDescent="0.2">
      <c r="A1763" s="5">
        <v>1702</v>
      </c>
      <c r="B1763" s="138">
        <f>'Tax Sched 23'!D7</f>
        <v>14415</v>
      </c>
      <c r="C1763" s="2" t="s">
        <v>594</v>
      </c>
      <c r="D1763" s="2" t="str">
        <f t="shared" si="26"/>
        <v>Error?</v>
      </c>
    </row>
    <row r="1764" spans="1:5" x14ac:dyDescent="0.2">
      <c r="A1764" s="5">
        <v>1703</v>
      </c>
      <c r="B1764" s="138">
        <f>'Tax Sched 23'!D8</f>
        <v>75809</v>
      </c>
      <c r="C1764" s="2" t="s">
        <v>594</v>
      </c>
      <c r="D1764" s="2" t="str">
        <f t="shared" si="26"/>
        <v>Error?</v>
      </c>
    </row>
    <row r="1765" spans="1:5" x14ac:dyDescent="0.2">
      <c r="A1765" s="5">
        <v>1704</v>
      </c>
      <c r="B1765" s="138">
        <f>'Tax Sched 23'!D10</f>
        <v>3603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53603</v>
      </c>
      <c r="C1768" s="2" t="s">
        <v>594</v>
      </c>
      <c r="D1768" s="2" t="str">
        <f t="shared" si="26"/>
        <v>Error?</v>
      </c>
    </row>
    <row r="1769" spans="1:5" x14ac:dyDescent="0.2">
      <c r="A1769" s="5">
        <v>1708</v>
      </c>
      <c r="B1769" s="138">
        <f>'Tax Sched 23'!D12</f>
        <v>3603</v>
      </c>
      <c r="C1769" s="2" t="s">
        <v>594</v>
      </c>
      <c r="D1769" s="2" t="str">
        <f t="shared" si="26"/>
        <v>Error?</v>
      </c>
    </row>
    <row r="1770" spans="1:5" x14ac:dyDescent="0.2">
      <c r="A1770" s="5">
        <v>1709</v>
      </c>
      <c r="B1770" s="138">
        <f>'Tax Sched 23'!D14</f>
        <v>2883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505331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192009</v>
      </c>
      <c r="C1792" s="2" t="s">
        <v>594</v>
      </c>
      <c r="D1792" s="2" t="str">
        <f t="shared" si="27"/>
        <v>Error?</v>
      </c>
    </row>
    <row r="1793" spans="1:4" x14ac:dyDescent="0.2">
      <c r="A1793" s="5">
        <v>1732</v>
      </c>
      <c r="B1793" s="138">
        <f>'Tax Sched 23'!F5</f>
        <v>38002</v>
      </c>
      <c r="C1793" s="2" t="s">
        <v>594</v>
      </c>
      <c r="D1793" s="2" t="str">
        <f t="shared" si="27"/>
        <v>Error?</v>
      </c>
    </row>
    <row r="1794" spans="1:4" x14ac:dyDescent="0.2">
      <c r="A1794" s="5">
        <v>1733</v>
      </c>
      <c r="B1794" s="138">
        <f>'Tax Sched 23'!F6</f>
        <v>66734</v>
      </c>
      <c r="C1794" s="2" t="s">
        <v>594</v>
      </c>
      <c r="D1794" s="2" t="str">
        <f t="shared" si="27"/>
        <v>Error?</v>
      </c>
    </row>
    <row r="1795" spans="1:4" x14ac:dyDescent="0.2">
      <c r="A1795" s="5">
        <v>1734</v>
      </c>
      <c r="B1795" s="138">
        <f>'Tax Sched 23'!F7</f>
        <v>15939</v>
      </c>
      <c r="C1795" s="2" t="s">
        <v>594</v>
      </c>
      <c r="D1795" s="2" t="str">
        <f t="shared" si="27"/>
        <v>Error?</v>
      </c>
    </row>
    <row r="1796" spans="1:4" x14ac:dyDescent="0.2">
      <c r="A1796" s="5">
        <v>1735</v>
      </c>
      <c r="B1796" s="138">
        <f>'Tax Sched 23'!F8</f>
        <v>64001</v>
      </c>
      <c r="C1796" s="2" t="s">
        <v>594</v>
      </c>
      <c r="D1796" s="2" t="str">
        <f t="shared" si="27"/>
        <v>Error?</v>
      </c>
    </row>
    <row r="1797" spans="1:4" x14ac:dyDescent="0.2">
      <c r="A1797" s="5">
        <v>1736</v>
      </c>
      <c r="B1797" s="138">
        <f>'Tax Sched 23'!F10</f>
        <v>3986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118001</v>
      </c>
      <c r="C1800" s="2" t="s">
        <v>594</v>
      </c>
      <c r="D1800" s="2" t="str">
        <f t="shared" si="27"/>
        <v>Error?</v>
      </c>
    </row>
    <row r="1801" spans="1:4" x14ac:dyDescent="0.2">
      <c r="A1801" s="5">
        <v>1740</v>
      </c>
      <c r="B1801" s="138">
        <f>'Tax Sched 23'!F12</f>
        <v>3986</v>
      </c>
      <c r="C1801" s="2" t="s">
        <v>594</v>
      </c>
      <c r="D1801" s="2" t="str">
        <f t="shared" si="27"/>
        <v>Error?</v>
      </c>
    </row>
    <row r="1802" spans="1:4" x14ac:dyDescent="0.2">
      <c r="A1802" s="5">
        <v>1741</v>
      </c>
      <c r="B1802" s="138">
        <f>'Tax Sched 23'!F14</f>
        <v>3188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573833</v>
      </c>
      <c r="C1807" s="2" t="s">
        <v>594</v>
      </c>
      <c r="D1807" s="2" t="str">
        <f t="shared" si="27"/>
        <v>Error?</v>
      </c>
    </row>
    <row r="1808" spans="1:4" x14ac:dyDescent="0.2">
      <c r="A1808" s="5">
        <v>1747</v>
      </c>
      <c r="B1808" s="138">
        <f>'Tax Sched 23'!E4</f>
        <v>192009</v>
      </c>
      <c r="D1808" s="2" t="str">
        <f t="shared" si="27"/>
        <v>Error?</v>
      </c>
    </row>
    <row r="1809" spans="1:4" x14ac:dyDescent="0.2">
      <c r="A1809" s="5">
        <v>1748</v>
      </c>
      <c r="B1809" s="138">
        <f>'Tax Sched 23'!E5</f>
        <v>38002</v>
      </c>
      <c r="D1809" s="2" t="str">
        <f t="shared" si="27"/>
        <v>Error?</v>
      </c>
    </row>
    <row r="1810" spans="1:4" x14ac:dyDescent="0.2">
      <c r="A1810" s="5">
        <v>1749</v>
      </c>
      <c r="B1810" s="138">
        <f>'Tax Sched 23'!E6</f>
        <v>66734</v>
      </c>
      <c r="D1810" s="2" t="str">
        <f t="shared" si="27"/>
        <v>Error?</v>
      </c>
    </row>
    <row r="1811" spans="1:4" x14ac:dyDescent="0.2">
      <c r="A1811" s="5">
        <v>1750</v>
      </c>
      <c r="B1811" s="138">
        <f>'Tax Sched 23'!E7</f>
        <v>15939</v>
      </c>
      <c r="D1811" s="2" t="str">
        <f t="shared" si="27"/>
        <v>Error?</v>
      </c>
    </row>
    <row r="1812" spans="1:4" x14ac:dyDescent="0.2">
      <c r="A1812" s="5">
        <v>1751</v>
      </c>
      <c r="B1812" s="138">
        <f>'Tax Sched 23'!E8</f>
        <v>64001</v>
      </c>
      <c r="D1812" s="2" t="str">
        <f t="shared" si="27"/>
        <v>Error?</v>
      </c>
    </row>
    <row r="1813" spans="1:4" x14ac:dyDescent="0.2">
      <c r="A1813" s="5">
        <v>1752</v>
      </c>
      <c r="B1813" s="138">
        <f>'Tax Sched 23'!E10</f>
        <v>3986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118001</v>
      </c>
      <c r="D1816" s="2" t="str">
        <f t="shared" si="27"/>
        <v>Error?</v>
      </c>
    </row>
    <row r="1817" spans="1:4" x14ac:dyDescent="0.2">
      <c r="A1817" s="5">
        <v>1756</v>
      </c>
      <c r="B1817" s="138">
        <f>'Tax Sched 23'!E12</f>
        <v>3986</v>
      </c>
      <c r="D1817" s="2" t="str">
        <f t="shared" si="27"/>
        <v>Error?</v>
      </c>
    </row>
    <row r="1818" spans="1:4" x14ac:dyDescent="0.2">
      <c r="A1818" s="5">
        <v>1757</v>
      </c>
      <c r="B1818" s="138">
        <f>'Tax Sched 23'!E14</f>
        <v>3188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573833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293996</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2883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2883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2883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99312</v>
      </c>
      <c r="D2008" s="2" t="str">
        <f t="shared" si="30"/>
        <v>Error?</v>
      </c>
    </row>
    <row r="2009" spans="1:4" x14ac:dyDescent="0.2">
      <c r="A2009" s="5">
        <v>1948</v>
      </c>
      <c r="B2009" s="138">
        <f>'Cap Outlay Deprec 26'!C8</f>
        <v>2246964</v>
      </c>
      <c r="D2009" s="2" t="str">
        <f t="shared" si="30"/>
        <v>Error?</v>
      </c>
    </row>
    <row r="2010" spans="1:4" x14ac:dyDescent="0.2">
      <c r="A2010" s="5">
        <v>1949</v>
      </c>
      <c r="B2010" s="138">
        <f>'Cap Outlay Deprec 26'!C10</f>
        <v>176024</v>
      </c>
      <c r="D2010" s="2" t="str">
        <f t="shared" si="30"/>
        <v>Error?</v>
      </c>
    </row>
    <row r="2011" spans="1:4" x14ac:dyDescent="0.2">
      <c r="A2011" s="5">
        <v>1950</v>
      </c>
      <c r="B2011" s="138">
        <f>'Cap Outlay Deprec 26'!C12</f>
        <v>1628238</v>
      </c>
      <c r="D2011" s="2" t="str">
        <f t="shared" si="30"/>
        <v>Error?</v>
      </c>
    </row>
    <row r="2012" spans="1:4" x14ac:dyDescent="0.2">
      <c r="A2012" s="5">
        <v>1951</v>
      </c>
      <c r="B2012" s="138">
        <f>'Cap Outlay Deprec 26'!C13</f>
        <v>88361</v>
      </c>
      <c r="D2012" s="2" t="str">
        <f t="shared" si="30"/>
        <v>Error?</v>
      </c>
    </row>
    <row r="2013" spans="1:4" x14ac:dyDescent="0.2">
      <c r="A2013" s="5">
        <v>1952</v>
      </c>
      <c r="B2013" s="138">
        <f>'Cap Outlay Deprec 26'!C16</f>
        <v>4318732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99312</v>
      </c>
      <c r="C2026" s="2" t="s">
        <v>594</v>
      </c>
      <c r="D2026" s="2" t="str">
        <f t="shared" si="30"/>
        <v>Error?</v>
      </c>
    </row>
    <row r="2027" spans="1:4" x14ac:dyDescent="0.2">
      <c r="A2027" s="5">
        <v>1966</v>
      </c>
      <c r="B2027" s="138">
        <f>'Cap Outlay Deprec 26'!F8</f>
        <v>2246964</v>
      </c>
      <c r="C2027" s="2" t="s">
        <v>594</v>
      </c>
      <c r="D2027" s="2" t="str">
        <f t="shared" si="30"/>
        <v>Error?</v>
      </c>
    </row>
    <row r="2028" spans="1:4" x14ac:dyDescent="0.2">
      <c r="A2028" s="5">
        <v>1967</v>
      </c>
      <c r="B2028" s="138">
        <f>'Cap Outlay Deprec 26'!F10</f>
        <v>176024</v>
      </c>
      <c r="C2028" s="2" t="s">
        <v>594</v>
      </c>
      <c r="D2028" s="2" t="str">
        <f t="shared" si="30"/>
        <v>Error?</v>
      </c>
    </row>
    <row r="2029" spans="1:4" x14ac:dyDescent="0.2">
      <c r="A2029" s="5">
        <v>1968</v>
      </c>
      <c r="B2029" s="138">
        <f>'Cap Outlay Deprec 26'!F12</f>
        <v>1628238</v>
      </c>
      <c r="C2029" s="2" t="s">
        <v>594</v>
      </c>
      <c r="D2029" s="2" t="str">
        <f t="shared" si="30"/>
        <v>Error?</v>
      </c>
    </row>
    <row r="2030" spans="1:4" x14ac:dyDescent="0.2">
      <c r="A2030" s="5">
        <v>1969</v>
      </c>
      <c r="B2030" s="138">
        <f>'Cap Outlay Deprec 26'!F13</f>
        <v>88361</v>
      </c>
      <c r="C2030" s="2" t="s">
        <v>594</v>
      </c>
      <c r="D2030" s="2" t="str">
        <f t="shared" si="30"/>
        <v>Error?</v>
      </c>
    </row>
    <row r="2031" spans="1:4" x14ac:dyDescent="0.2">
      <c r="A2031" s="5">
        <v>1970</v>
      </c>
      <c r="B2031" s="138">
        <f>'Cap Outlay Deprec 26'!F16</f>
        <v>4318732</v>
      </c>
      <c r="C2031" s="2" t="s">
        <v>594</v>
      </c>
      <c r="D2031" s="2" t="str">
        <f t="shared" si="30"/>
        <v>Error?</v>
      </c>
    </row>
    <row r="2032" spans="1:4" x14ac:dyDescent="0.2">
      <c r="A2032" s="10">
        <v>1971</v>
      </c>
      <c r="D2032" s="2" t="str">
        <f t="shared" si="30"/>
        <v>OK</v>
      </c>
    </row>
    <row r="2033" spans="1:4" x14ac:dyDescent="0.2">
      <c r="A2033" s="5">
        <v>1972</v>
      </c>
      <c r="B2033" s="138">
        <f>'Cap Outlay Deprec 26'!H8</f>
        <v>1305149</v>
      </c>
      <c r="D2033" s="2" t="str">
        <f t="shared" si="30"/>
        <v>Error?</v>
      </c>
    </row>
    <row r="2034" spans="1:4" x14ac:dyDescent="0.2">
      <c r="A2034" s="5">
        <v>1973</v>
      </c>
      <c r="B2034" s="138">
        <f>'Cap Outlay Deprec 26'!H10</f>
        <v>96176</v>
      </c>
      <c r="D2034" s="2" t="str">
        <f t="shared" si="30"/>
        <v>Error?</v>
      </c>
    </row>
    <row r="2035" spans="1:4" x14ac:dyDescent="0.2">
      <c r="A2035" s="5">
        <v>1974</v>
      </c>
      <c r="B2035" s="138">
        <f>'Cap Outlay Deprec 26'!H12</f>
        <v>1606581</v>
      </c>
      <c r="D2035" s="2" t="str">
        <f t="shared" si="30"/>
        <v>Error?</v>
      </c>
    </row>
    <row r="2036" spans="1:4" x14ac:dyDescent="0.2">
      <c r="A2036" s="5">
        <v>1975</v>
      </c>
      <c r="B2036" s="138">
        <f>'Cap Outlay Deprec 26'!H13</f>
        <v>73300</v>
      </c>
      <c r="D2036" s="2" t="str">
        <f t="shared" si="30"/>
        <v>Error?</v>
      </c>
    </row>
    <row r="2037" spans="1:4" x14ac:dyDescent="0.2">
      <c r="A2037" s="5">
        <v>1976</v>
      </c>
      <c r="B2037" s="138">
        <f>'Cap Outlay Deprec 26'!H16</f>
        <v>3142638</v>
      </c>
      <c r="C2037" s="2" t="s">
        <v>594</v>
      </c>
      <c r="D2037" s="2" t="str">
        <f t="shared" si="30"/>
        <v>Error?</v>
      </c>
    </row>
    <row r="2038" spans="1:4" x14ac:dyDescent="0.2">
      <c r="A2038" s="10">
        <v>1977</v>
      </c>
      <c r="D2038" s="2" t="str">
        <f t="shared" si="30"/>
        <v>OK</v>
      </c>
    </row>
    <row r="2039" spans="1:4" x14ac:dyDescent="0.2">
      <c r="A2039" s="5">
        <v>1978</v>
      </c>
      <c r="B2039" s="138">
        <f>'Cap Outlay Deprec 26'!I8</f>
        <v>66093</v>
      </c>
      <c r="D2039" s="2" t="str">
        <f t="shared" si="30"/>
        <v>Error?</v>
      </c>
    </row>
    <row r="2040" spans="1:4" x14ac:dyDescent="0.2">
      <c r="A2040" s="5">
        <v>1979</v>
      </c>
      <c r="B2040" s="138">
        <f>'Cap Outlay Deprec 26'!I10</f>
        <v>5864</v>
      </c>
      <c r="D2040" s="2" t="str">
        <f t="shared" si="30"/>
        <v>Error?</v>
      </c>
    </row>
    <row r="2041" spans="1:4" x14ac:dyDescent="0.2">
      <c r="A2041" s="5">
        <v>1980</v>
      </c>
      <c r="B2041" s="138">
        <f>'Cap Outlay Deprec 26'!I12</f>
        <v>10714</v>
      </c>
      <c r="D2041" s="2" t="str">
        <f t="shared" si="30"/>
        <v>Error?</v>
      </c>
    </row>
    <row r="2042" spans="1:4" x14ac:dyDescent="0.2">
      <c r="A2042" s="5">
        <v>1981</v>
      </c>
      <c r="B2042" s="138">
        <f>'Cap Outlay Deprec 26'!I13</f>
        <v>9489</v>
      </c>
      <c r="D2042" s="2" t="str">
        <f t="shared" si="30"/>
        <v>Error?</v>
      </c>
    </row>
    <row r="2043" spans="1:4" x14ac:dyDescent="0.2">
      <c r="A2043" s="5">
        <v>1982</v>
      </c>
      <c r="B2043" s="138">
        <f>'Cap Outlay Deprec 26'!I16</f>
        <v>95074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1371242</v>
      </c>
      <c r="C2051" s="2" t="s">
        <v>594</v>
      </c>
      <c r="D2051" s="2" t="str">
        <f t="shared" si="31"/>
        <v>Error?</v>
      </c>
    </row>
    <row r="2052" spans="1:4" x14ac:dyDescent="0.2">
      <c r="A2052" s="5">
        <v>1991</v>
      </c>
      <c r="B2052" s="138">
        <f>'Cap Outlay Deprec 26'!K10</f>
        <v>102040</v>
      </c>
      <c r="C2052" s="2" t="s">
        <v>594</v>
      </c>
      <c r="D2052" s="2" t="str">
        <f t="shared" si="31"/>
        <v>Error?</v>
      </c>
    </row>
    <row r="2053" spans="1:4" x14ac:dyDescent="0.2">
      <c r="A2053" s="5">
        <v>1992</v>
      </c>
      <c r="B2053" s="138">
        <f>'Cap Outlay Deprec 26'!K12</f>
        <v>1617295</v>
      </c>
      <c r="C2053" s="2" t="s">
        <v>594</v>
      </c>
      <c r="D2053" s="2" t="str">
        <f t="shared" si="31"/>
        <v>Error?</v>
      </c>
    </row>
    <row r="2054" spans="1:4" x14ac:dyDescent="0.2">
      <c r="A2054" s="5">
        <v>1993</v>
      </c>
      <c r="B2054" s="138">
        <f>'Cap Outlay Deprec 26'!K13</f>
        <v>82789</v>
      </c>
      <c r="C2054" s="2" t="s">
        <v>594</v>
      </c>
      <c r="D2054" s="2" t="str">
        <f t="shared" si="31"/>
        <v>Error?</v>
      </c>
    </row>
    <row r="2055" spans="1:4" x14ac:dyDescent="0.2">
      <c r="A2055" s="5">
        <v>1994</v>
      </c>
      <c r="B2055" s="138">
        <f>'Cap Outlay Deprec 26'!K16</f>
        <v>3237712</v>
      </c>
      <c r="C2055" s="2" t="s">
        <v>594</v>
      </c>
      <c r="D2055" s="2" t="str">
        <f t="shared" si="31"/>
        <v>Error?</v>
      </c>
    </row>
    <row r="2056" spans="1:4" x14ac:dyDescent="0.2">
      <c r="A2056" s="5">
        <v>1995</v>
      </c>
      <c r="B2056" s="138">
        <f>'Cap Outlay Deprec 26'!L5</f>
        <v>99312</v>
      </c>
      <c r="C2056" s="2" t="s">
        <v>594</v>
      </c>
      <c r="D2056" s="2" t="str">
        <f t="shared" si="31"/>
        <v>Error?</v>
      </c>
    </row>
    <row r="2057" spans="1:4" x14ac:dyDescent="0.2">
      <c r="A2057" s="5">
        <v>1996</v>
      </c>
      <c r="B2057" s="138">
        <f>'Cap Outlay Deprec 26'!L8</f>
        <v>875722</v>
      </c>
      <c r="C2057" s="2" t="s">
        <v>594</v>
      </c>
      <c r="D2057" s="2" t="str">
        <f t="shared" si="31"/>
        <v>Error?</v>
      </c>
    </row>
    <row r="2058" spans="1:4" x14ac:dyDescent="0.2">
      <c r="A2058" s="5">
        <v>1997</v>
      </c>
      <c r="B2058" s="138">
        <f>'Cap Outlay Deprec 26'!L10</f>
        <v>73984</v>
      </c>
      <c r="C2058" s="2" t="s">
        <v>594</v>
      </c>
      <c r="D2058" s="2" t="str">
        <f t="shared" si="31"/>
        <v>Error?</v>
      </c>
    </row>
    <row r="2059" spans="1:4" x14ac:dyDescent="0.2">
      <c r="A2059" s="5">
        <v>1998</v>
      </c>
      <c r="B2059" s="138">
        <f>'Cap Outlay Deprec 26'!L12</f>
        <v>10943</v>
      </c>
      <c r="C2059" s="2" t="s">
        <v>594</v>
      </c>
      <c r="D2059" s="2" t="str">
        <f t="shared" si="31"/>
        <v>Error?</v>
      </c>
    </row>
    <row r="2060" spans="1:4" x14ac:dyDescent="0.2">
      <c r="A2060" s="5">
        <v>1999</v>
      </c>
      <c r="B2060" s="138">
        <f>'Cap Outlay Deprec 26'!L13</f>
        <v>5572</v>
      </c>
      <c r="C2060" s="2" t="s">
        <v>594</v>
      </c>
      <c r="D2060" s="2" t="str">
        <f t="shared" si="31"/>
        <v>Error?</v>
      </c>
    </row>
    <row r="2061" spans="1:4" x14ac:dyDescent="0.2">
      <c r="A2061" s="5">
        <v>2000</v>
      </c>
      <c r="B2061" s="138">
        <f>'Cap Outlay Deprec 26'!L16</f>
        <v>1081020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749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50506</v>
      </c>
      <c r="C2088" s="2" t="s">
        <v>594</v>
      </c>
      <c r="D2088" s="2" t="str">
        <f t="shared" si="31"/>
        <v>Error?</v>
      </c>
    </row>
    <row r="2089" spans="1:4" x14ac:dyDescent="0.2">
      <c r="A2089" s="5">
        <v>2028</v>
      </c>
      <c r="B2089" s="138">
        <f>'Expenditures 15-22'!K92</f>
        <v>183815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297820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66659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312713</v>
      </c>
      <c r="C2551" s="2" t="s">
        <v>594</v>
      </c>
      <c r="D2551" s="2" t="str">
        <f t="shared" si="38"/>
        <v>Error?</v>
      </c>
    </row>
    <row r="2552" spans="1:4" x14ac:dyDescent="0.2">
      <c r="A2552" s="10">
        <v>2491</v>
      </c>
      <c r="D2552" s="2" t="str">
        <f t="shared" si="38"/>
        <v>OK</v>
      </c>
    </row>
    <row r="2553" spans="1:4" x14ac:dyDescent="0.2">
      <c r="A2553" s="5">
        <v>2492</v>
      </c>
      <c r="B2553" s="138">
        <f>'Acct Summary 7-8'!C6</f>
        <v>2908028</v>
      </c>
      <c r="C2553" s="2" t="s">
        <v>594</v>
      </c>
      <c r="D2553" s="2" t="str">
        <f t="shared" si="38"/>
        <v>Error?</v>
      </c>
    </row>
    <row r="2554" spans="1:4" x14ac:dyDescent="0.2">
      <c r="A2554" s="5">
        <v>2493</v>
      </c>
      <c r="B2554" s="138">
        <f>'Acct Summary 7-8'!C7</f>
        <v>457588</v>
      </c>
      <c r="C2554" s="2" t="s">
        <v>594</v>
      </c>
      <c r="D2554" s="2" t="str">
        <f t="shared" si="38"/>
        <v>Error?</v>
      </c>
    </row>
    <row r="2555" spans="1:4" x14ac:dyDescent="0.2">
      <c r="A2555" s="5">
        <v>2494</v>
      </c>
      <c r="B2555" s="138">
        <f>'Acct Summary 7-8'!C8</f>
        <v>3678329</v>
      </c>
      <c r="C2555" s="2" t="s">
        <v>594</v>
      </c>
      <c r="D2555" s="2" t="str">
        <f t="shared" si="38"/>
        <v>Error?</v>
      </c>
    </row>
    <row r="2556" spans="1:4" x14ac:dyDescent="0.2">
      <c r="A2556" s="5">
        <v>2495</v>
      </c>
      <c r="B2556" s="138">
        <f>'Acct Summary 7-8'!C12</f>
        <v>2572458</v>
      </c>
      <c r="C2556" s="2" t="s">
        <v>594</v>
      </c>
      <c r="D2556" s="2" t="str">
        <f t="shared" si="38"/>
        <v>Error?</v>
      </c>
    </row>
    <row r="2557" spans="1:4" x14ac:dyDescent="0.2">
      <c r="A2557" s="5">
        <v>2496</v>
      </c>
      <c r="B2557" s="138">
        <f>'Acct Summary 7-8'!C13</f>
        <v>762860</v>
      </c>
      <c r="C2557" s="2" t="s">
        <v>594</v>
      </c>
      <c r="D2557" s="2" t="str">
        <f t="shared" si="38"/>
        <v>Error?</v>
      </c>
    </row>
    <row r="2558" spans="1:4" x14ac:dyDescent="0.2">
      <c r="A2558" s="5">
        <v>2497</v>
      </c>
      <c r="B2558" s="138">
        <f>'Acct Summary 7-8'!C14</f>
        <v>44013</v>
      </c>
      <c r="C2558" s="2" t="s">
        <v>594</v>
      </c>
      <c r="D2558" s="2" t="str">
        <f t="shared" si="38"/>
        <v>Error?</v>
      </c>
    </row>
    <row r="2559" spans="1:4" x14ac:dyDescent="0.2">
      <c r="A2559" s="5">
        <v>2498</v>
      </c>
      <c r="B2559" s="138">
        <f>'Acct Summary 7-8'!C15</f>
        <v>234321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3613652</v>
      </c>
      <c r="C2561" s="2" t="s">
        <v>594</v>
      </c>
      <c r="D2561" s="2" t="str">
        <f t="shared" si="39"/>
        <v>Error?</v>
      </c>
    </row>
    <row r="2562" spans="1:4" x14ac:dyDescent="0.2">
      <c r="A2562" s="5">
        <v>2501</v>
      </c>
      <c r="B2562" s="138">
        <f>'Acct Summary 7-8'!C20</f>
        <v>64677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37889</v>
      </c>
      <c r="C2564" s="2" t="s">
        <v>594</v>
      </c>
      <c r="D2564" s="2" t="str">
        <f t="shared" si="39"/>
        <v>Error?</v>
      </c>
    </row>
    <row r="2565" spans="1:4" x14ac:dyDescent="0.2">
      <c r="A2565" s="10">
        <v>2504</v>
      </c>
      <c r="D2565" s="2" t="str">
        <f t="shared" si="39"/>
        <v>OK</v>
      </c>
    </row>
    <row r="2566" spans="1:4" x14ac:dyDescent="0.2">
      <c r="A2566" s="5">
        <v>2505</v>
      </c>
      <c r="B2566" s="138">
        <f>'Acct Summary 7-8'!D6</f>
        <v>305000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342889</v>
      </c>
      <c r="C2568" s="2" t="s">
        <v>594</v>
      </c>
      <c r="D2568" s="2" t="str">
        <f t="shared" si="39"/>
        <v>Error?</v>
      </c>
    </row>
    <row r="2569" spans="1:4" x14ac:dyDescent="0.2">
      <c r="A2569" s="5">
        <v>2508</v>
      </c>
      <c r="B2569" s="138">
        <f>'Acct Summary 7-8'!D13</f>
        <v>288783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288783</v>
      </c>
      <c r="C2573" s="2" t="s">
        <v>594</v>
      </c>
      <c r="D2573" s="2" t="str">
        <f t="shared" si="39"/>
        <v>Error?</v>
      </c>
    </row>
    <row r="2574" spans="1:4" x14ac:dyDescent="0.2">
      <c r="A2574" s="5">
        <v>2513</v>
      </c>
      <c r="B2574" s="138">
        <f>'Acct Summary 7-8'!D20</f>
        <v>54106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14612</v>
      </c>
      <c r="C2591" s="2" t="s">
        <v>594</v>
      </c>
      <c r="D2591" s="2" t="str">
        <f t="shared" si="39"/>
        <v>Error?</v>
      </c>
    </row>
    <row r="2592" spans="1:4" x14ac:dyDescent="0.2">
      <c r="A2592" s="10">
        <v>2531</v>
      </c>
      <c r="D2592" s="2" t="str">
        <f t="shared" si="39"/>
        <v>OK</v>
      </c>
    </row>
    <row r="2593" spans="1:4" x14ac:dyDescent="0.2">
      <c r="A2593" s="5">
        <v>2532</v>
      </c>
      <c r="B2593" s="138">
        <f>'Acct Summary 7-8'!F6</f>
        <v>177792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192404</v>
      </c>
      <c r="C2595" s="2" t="s">
        <v>594</v>
      </c>
      <c r="D2595" s="2" t="str">
        <f t="shared" si="39"/>
        <v>Error?</v>
      </c>
    </row>
    <row r="2596" spans="1:4" x14ac:dyDescent="0.2">
      <c r="A2596" s="5">
        <v>2535</v>
      </c>
      <c r="B2596" s="138">
        <f>'Acct Summary 7-8'!F13</f>
        <v>183152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183152</v>
      </c>
      <c r="C2600" s="2" t="s">
        <v>594</v>
      </c>
      <c r="D2600" s="2" t="str">
        <f t="shared" si="39"/>
        <v>Error?</v>
      </c>
    </row>
    <row r="2601" spans="1:4" x14ac:dyDescent="0.2">
      <c r="A2601" s="5">
        <v>2540</v>
      </c>
      <c r="B2601" s="138">
        <f>'Acct Summary 7-8'!F20</f>
        <v>9252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155984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155984</v>
      </c>
      <c r="C2606" s="2" t="s">
        <v>594</v>
      </c>
      <c r="D2606" s="2" t="str">
        <f t="shared" si="39"/>
        <v>Error?</v>
      </c>
    </row>
    <row r="2607" spans="1:4" x14ac:dyDescent="0.2">
      <c r="A2607" s="5">
        <v>2546</v>
      </c>
      <c r="B2607" s="138">
        <f>'Acct Summary 7-8'!G12</f>
        <v>63290</v>
      </c>
      <c r="C2607" s="2" t="s">
        <v>594</v>
      </c>
      <c r="D2607" s="2" t="str">
        <f t="shared" si="39"/>
        <v>Error?</v>
      </c>
    </row>
    <row r="2608" spans="1:4" x14ac:dyDescent="0.2">
      <c r="A2608" s="5">
        <v>2547</v>
      </c>
      <c r="B2608" s="138">
        <f>'Acct Summary 7-8'!G13</f>
        <v>62796</v>
      </c>
      <c r="C2608" s="2" t="s">
        <v>594</v>
      </c>
      <c r="D2608" s="2" t="str">
        <f t="shared" si="39"/>
        <v>Error?</v>
      </c>
    </row>
    <row r="2609" spans="1:4" x14ac:dyDescent="0.2">
      <c r="A2609" s="5">
        <v>2548</v>
      </c>
      <c r="B2609" s="138">
        <f>'Acct Summary 7-8'!G14</f>
        <v>6138</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132224</v>
      </c>
      <c r="C2612" s="2" t="s">
        <v>594</v>
      </c>
      <c r="D2612" s="2" t="str">
        <f t="shared" si="39"/>
        <v>Error?</v>
      </c>
    </row>
    <row r="2613" spans="1:4" x14ac:dyDescent="0.2">
      <c r="A2613" s="5">
        <v>2552</v>
      </c>
      <c r="B2613" s="138">
        <f>'Acct Summary 7-8'!G20</f>
        <v>23760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38039</v>
      </c>
      <c r="C2630" s="2" t="s">
        <v>594</v>
      </c>
      <c r="D2630" s="2" t="str">
        <f t="shared" si="40"/>
        <v>Error?</v>
      </c>
    </row>
    <row r="2631" spans="1:4" x14ac:dyDescent="0.2">
      <c r="A2631" s="5">
        <v>2570</v>
      </c>
      <c r="B2631" s="138">
        <f>'Acct Summary 7-8'!E6</f>
        <v>1000</v>
      </c>
      <c r="C2631" s="2" t="s">
        <v>594</v>
      </c>
      <c r="D2631" s="2" t="str">
        <f t="shared" si="40"/>
        <v>Error?</v>
      </c>
    </row>
    <row r="2632" spans="1:4" x14ac:dyDescent="0.2">
      <c r="A2632" s="5">
        <v>2571</v>
      </c>
      <c r="B2632" s="138">
        <f>'Acct Summary 7-8'!E8</f>
        <v>39039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68364</v>
      </c>
      <c r="C2634" s="2" t="s">
        <v>594</v>
      </c>
      <c r="D2634" s="2" t="str">
        <f t="shared" si="40"/>
        <v>Error?</v>
      </c>
    </row>
    <row r="2635" spans="1:4" x14ac:dyDescent="0.2">
      <c r="A2635" s="5">
        <v>2574</v>
      </c>
      <c r="B2635" s="138">
        <f>'Acct Summary 7-8'!E17</f>
        <v>68364</v>
      </c>
      <c r="C2635" s="2" t="s">
        <v>594</v>
      </c>
      <c r="D2635" s="2" t="str">
        <f t="shared" si="40"/>
        <v>Error?</v>
      </c>
    </row>
    <row r="2636" spans="1:4" x14ac:dyDescent="0.2">
      <c r="A2636" s="5">
        <v>2575</v>
      </c>
      <c r="B2636" s="138">
        <f>'Acct Summary 7-8'!E20</f>
        <v>-29325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49757</v>
      </c>
      <c r="C2789" s="2" t="s">
        <v>594</v>
      </c>
      <c r="D2789" s="2" t="str">
        <f t="shared" si="42"/>
        <v>Error?</v>
      </c>
    </row>
    <row r="2790" spans="1:4" x14ac:dyDescent="0.2">
      <c r="A2790" s="5">
        <v>2729</v>
      </c>
      <c r="B2790" s="138">
        <f>'Expenditures 15-22'!E102</f>
        <v>49757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3608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44165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3608</v>
      </c>
      <c r="D2912" s="2" t="str">
        <f t="shared" si="44"/>
        <v>Error?</v>
      </c>
    </row>
    <row r="2913" spans="1:4" x14ac:dyDescent="0.2">
      <c r="A2913" s="5">
        <v>2852</v>
      </c>
      <c r="B2913" s="138">
        <f>'Assets-Liab 5-6'!I41</f>
        <v>3608</v>
      </c>
      <c r="C2913" s="2" t="s">
        <v>594</v>
      </c>
      <c r="D2913" s="2" t="str">
        <f t="shared" si="44"/>
        <v>Error?</v>
      </c>
    </row>
    <row r="2914" spans="1:4" x14ac:dyDescent="0.2">
      <c r="A2914" s="5">
        <v>2853</v>
      </c>
      <c r="B2914" s="138">
        <f>'Assets-Liab 5-6'!L33</f>
        <v>44165</v>
      </c>
      <c r="D2914" s="2" t="str">
        <f t="shared" si="44"/>
        <v>Error?</v>
      </c>
    </row>
    <row r="2915" spans="1:4" x14ac:dyDescent="0.2">
      <c r="A2915" s="10">
        <v>2854</v>
      </c>
      <c r="D2915" s="2" t="str">
        <f t="shared" si="44"/>
        <v>OK</v>
      </c>
    </row>
    <row r="2916" spans="1:4" x14ac:dyDescent="0.2">
      <c r="A2916" s="5">
        <v>2855</v>
      </c>
      <c r="B2916" s="138">
        <f>'Assets-Liab 5-6'!L34</f>
        <v>44165</v>
      </c>
      <c r="C2916" s="2" t="s">
        <v>594</v>
      </c>
      <c r="D2916" s="2" t="str">
        <f t="shared" si="44"/>
        <v>Error?</v>
      </c>
    </row>
    <row r="2917" spans="1:4" x14ac:dyDescent="0.2">
      <c r="A2917" s="5">
        <v>2856</v>
      </c>
      <c r="B2917" s="138">
        <f>'Assets-Liab 5-6'!L41</f>
        <v>44165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49757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749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50506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115957</v>
      </c>
      <c r="D3055" s="2" t="str">
        <f t="shared" si="46"/>
        <v>Error?</v>
      </c>
    </row>
    <row r="3056" spans="1:4" x14ac:dyDescent="0.2">
      <c r="A3056" s="5">
        <v>2995</v>
      </c>
      <c r="B3056" s="138">
        <f>'Expenditures 15-22'!D10</f>
        <v>4837</v>
      </c>
      <c r="D3056" s="2" t="str">
        <f t="shared" si="46"/>
        <v>Error?</v>
      </c>
    </row>
    <row r="3057" spans="1:4" x14ac:dyDescent="0.2">
      <c r="A3057" s="5">
        <v>2996</v>
      </c>
      <c r="B3057" s="138">
        <f>'Expenditures 15-22'!E10</f>
        <v>27975</v>
      </c>
      <c r="D3057" s="2" t="str">
        <f t="shared" si="46"/>
        <v>Error?</v>
      </c>
    </row>
    <row r="3058" spans="1:4" x14ac:dyDescent="0.2">
      <c r="A3058" s="5">
        <v>2997</v>
      </c>
      <c r="B3058" s="138">
        <f>'Expenditures 15-22'!F10</f>
        <v>42951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191720</v>
      </c>
      <c r="C3062" s="2" t="s">
        <v>594</v>
      </c>
      <c r="D3062" s="2" t="str">
        <f t="shared" si="46"/>
        <v>Error?</v>
      </c>
    </row>
    <row r="3063" spans="1:4" x14ac:dyDescent="0.2">
      <c r="A3063" s="10">
        <v>3002</v>
      </c>
      <c r="D3063" s="2" t="str">
        <f t="shared" si="46"/>
        <v>OK</v>
      </c>
    </row>
    <row r="3064" spans="1:4" x14ac:dyDescent="0.2">
      <c r="A3064" s="5">
        <v>3003</v>
      </c>
      <c r="B3064" s="138">
        <f>'Expenditures 15-22'!D219</f>
        <v>16024</v>
      </c>
      <c r="D3064" s="2" t="str">
        <f t="shared" si="46"/>
        <v>Error?</v>
      </c>
    </row>
    <row r="3065" spans="1:4" x14ac:dyDescent="0.2">
      <c r="A3065" s="5">
        <v>3004</v>
      </c>
      <c r="B3065" s="138">
        <f>'Expenditures 15-22'!K219</f>
        <v>16024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3608</v>
      </c>
      <c r="C3225" s="2" t="s">
        <v>594</v>
      </c>
      <c r="D3225" s="2" t="str">
        <f t="shared" si="49"/>
        <v>Error?</v>
      </c>
    </row>
    <row r="3226" spans="1:4" x14ac:dyDescent="0.2">
      <c r="A3226" s="5">
        <v>3165</v>
      </c>
      <c r="B3226" s="138">
        <f>'Acct Summary 7-8'!I8</f>
        <v>3608</v>
      </c>
      <c r="C3226" s="2" t="s">
        <v>594</v>
      </c>
      <c r="D3226" s="2" t="str">
        <f t="shared" si="49"/>
        <v>Error?</v>
      </c>
    </row>
    <row r="3227" spans="1:4" x14ac:dyDescent="0.2">
      <c r="A3227" s="5">
        <v>3166</v>
      </c>
      <c r="B3227" s="138">
        <f>'Acct Summary 7-8'!I20</f>
        <v>3608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64677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27609</v>
      </c>
      <c r="C3237" s="2" t="s">
        <v>594</v>
      </c>
      <c r="D3237" s="2" t="str">
        <f t="shared" si="49"/>
        <v>Error?</v>
      </c>
    </row>
    <row r="3238" spans="1:4" x14ac:dyDescent="0.2">
      <c r="A3238" s="5">
        <v>3177</v>
      </c>
      <c r="B3238" s="138">
        <f>'Acct Summary 7-8'!D77</f>
        <v>-27609</v>
      </c>
      <c r="C3238" s="2" t="s">
        <v>594</v>
      </c>
      <c r="D3238" s="2" t="str">
        <f t="shared" si="49"/>
        <v>Error?</v>
      </c>
    </row>
    <row r="3239" spans="1:4" x14ac:dyDescent="0.2">
      <c r="A3239" s="5">
        <v>3178</v>
      </c>
      <c r="B3239" s="138">
        <f>'Acct Summary 7-8'!D78</f>
        <v>26497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9252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23760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27609</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27609</v>
      </c>
      <c r="C3277" s="2" t="s">
        <v>594</v>
      </c>
      <c r="D3277" s="2" t="str">
        <f t="shared" si="50"/>
        <v>Error?</v>
      </c>
    </row>
    <row r="3278" spans="1:4" x14ac:dyDescent="0.2">
      <c r="A3278" s="5">
        <v>3217</v>
      </c>
      <c r="B3278" s="138">
        <f>'Acct Summary 7-8'!E78</f>
        <v>-1716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3608</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3608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330020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24169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350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336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354875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22880</v>
      </c>
      <c r="D3387" s="2" t="str">
        <f t="shared" si="51"/>
        <v>Error?</v>
      </c>
    </row>
    <row r="3388" spans="1:4" x14ac:dyDescent="0.2">
      <c r="A3388" s="5">
        <v>3327</v>
      </c>
      <c r="B3388" s="138">
        <f>'Expenditures 15-22'!D217</f>
        <v>14932</v>
      </c>
      <c r="D3388" s="2" t="str">
        <f t="shared" si="51"/>
        <v>Error?</v>
      </c>
    </row>
    <row r="3389" spans="1:4" x14ac:dyDescent="0.2">
      <c r="A3389" s="5">
        <v>3328</v>
      </c>
      <c r="B3389" s="138">
        <f>'Expenditures 15-22'!D228</f>
        <v>43</v>
      </c>
      <c r="D3389" s="2" t="str">
        <f t="shared" si="51"/>
        <v>Error?</v>
      </c>
    </row>
    <row r="3390" spans="1:4" x14ac:dyDescent="0.2">
      <c r="A3390" s="5">
        <v>3329</v>
      </c>
      <c r="B3390" s="138">
        <f>'Expenditures 15-22'!K215</f>
        <v>22880</v>
      </c>
      <c r="C3390" s="2" t="s">
        <v>594</v>
      </c>
      <c r="D3390" s="2" t="str">
        <f t="shared" si="51"/>
        <v>Error?</v>
      </c>
    </row>
    <row r="3391" spans="1:4" x14ac:dyDescent="0.2">
      <c r="A3391" s="5">
        <v>3330</v>
      </c>
      <c r="B3391" s="138">
        <f>'Expenditures 15-22'!K217</f>
        <v>14932</v>
      </c>
      <c r="C3391" s="2" t="s">
        <v>594</v>
      </c>
      <c r="D3391" s="2" t="str">
        <f t="shared" ref="D3391:D3454" si="52">IF(ISBLANK(B3391),"OK",IF(A3391-B3391=0,"OK","Error?"))</f>
        <v>Error?</v>
      </c>
    </row>
    <row r="3392" spans="1:4" x14ac:dyDescent="0.2">
      <c r="A3392" s="5">
        <v>3331</v>
      </c>
      <c r="B3392" s="138">
        <f>'Expenditures 15-22'!K228</f>
        <v>43</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654680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47134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441</v>
      </c>
      <c r="D3417" s="2" t="str">
        <f t="shared" si="52"/>
        <v>Error?</v>
      </c>
    </row>
    <row r="3418" spans="1:4" x14ac:dyDescent="0.2">
      <c r="A3418" s="10">
        <v>3357</v>
      </c>
      <c r="D3418" s="2" t="str">
        <f t="shared" si="52"/>
        <v>OK</v>
      </c>
    </row>
    <row r="3419" spans="1:4" x14ac:dyDescent="0.2">
      <c r="A3419" s="5">
        <v>3358</v>
      </c>
      <c r="B3419" s="138">
        <f>'Assets-Liab 5-6'!F4</f>
        <v>14751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192765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3608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44165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75809</v>
      </c>
      <c r="C3446" s="2" t="s">
        <v>594</v>
      </c>
      <c r="D3446" s="2" t="str">
        <f t="shared" si="52"/>
        <v>Error?</v>
      </c>
    </row>
    <row r="3447" spans="1:4" x14ac:dyDescent="0.2">
      <c r="A3447" s="5">
        <v>3386</v>
      </c>
      <c r="B3447" s="138">
        <f>'Tax Sched 23'!D16</f>
        <v>75809</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64001</v>
      </c>
      <c r="C3449" s="2" t="s">
        <v>594</v>
      </c>
      <c r="D3449" s="2" t="str">
        <f t="shared" si="52"/>
        <v>Error?</v>
      </c>
    </row>
    <row r="3450" spans="1:4" x14ac:dyDescent="0.2">
      <c r="A3450" s="5">
        <v>3389</v>
      </c>
      <c r="B3450" s="138">
        <f>'Tax Sched 23'!E16</f>
        <v>64001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1775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1775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1775</v>
      </c>
      <c r="D3567" s="2" t="str">
        <f t="shared" si="54"/>
        <v>Error?</v>
      </c>
    </row>
    <row r="3568" spans="1:4" x14ac:dyDescent="0.2">
      <c r="A3568" s="5">
        <v>3507</v>
      </c>
      <c r="B3568" s="138">
        <f>'Assets-Liab 5-6'!K41</f>
        <v>1775</v>
      </c>
      <c r="C3568" s="2" t="s">
        <v>594</v>
      </c>
      <c r="D3568" s="2" t="str">
        <f t="shared" si="54"/>
        <v>Error?</v>
      </c>
    </row>
    <row r="3569" spans="1:4" x14ac:dyDescent="0.2">
      <c r="A3569" s="5">
        <v>3508</v>
      </c>
      <c r="B3569" s="138">
        <f>'Acct Summary 7-8'!K4</f>
        <v>3608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3608</v>
      </c>
      <c r="C3571" s="2" t="s">
        <v>594</v>
      </c>
      <c r="D3571" s="2" t="str">
        <f t="shared" si="54"/>
        <v>Error?</v>
      </c>
    </row>
    <row r="3572" spans="1:4" x14ac:dyDescent="0.2">
      <c r="A3572" s="5">
        <v>3511</v>
      </c>
      <c r="B3572" s="138">
        <f>'Acct Summary 7-8'!K13</f>
        <v>1833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1833</v>
      </c>
      <c r="C3575" s="2" t="s">
        <v>594</v>
      </c>
      <c r="D3575" s="2" t="str">
        <f t="shared" si="54"/>
        <v>Error?</v>
      </c>
    </row>
    <row r="3576" spans="1:4" x14ac:dyDescent="0.2">
      <c r="A3576" s="5">
        <v>3515</v>
      </c>
      <c r="B3576" s="138">
        <f>'Acct Summary 7-8'!K20</f>
        <v>1775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1775</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1775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1833</v>
      </c>
      <c r="D3632" s="2" t="str">
        <f t="shared" si="55"/>
        <v>Error?</v>
      </c>
    </row>
    <row r="3633" spans="1:4" x14ac:dyDescent="0.2">
      <c r="A3633" s="5">
        <v>3572</v>
      </c>
      <c r="B3633" s="138">
        <f>'Expenditures 15-22'!E350</f>
        <v>1833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1833</v>
      </c>
      <c r="C3635" s="2" t="s">
        <v>594</v>
      </c>
      <c r="D3635" s="2" t="str">
        <f t="shared" si="55"/>
        <v>Error?</v>
      </c>
    </row>
    <row r="3636" spans="1:4" x14ac:dyDescent="0.2">
      <c r="A3636" s="5">
        <v>3575</v>
      </c>
      <c r="B3636" s="138">
        <f>'Expenditures 15-22'!E367</f>
        <v>1833</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1833</v>
      </c>
      <c r="C3669" s="2" t="s">
        <v>594</v>
      </c>
      <c r="D3669" s="2" t="str">
        <f t="shared" si="56"/>
        <v>Error?</v>
      </c>
    </row>
    <row r="3670" spans="1:4" x14ac:dyDescent="0.2">
      <c r="A3670" s="5">
        <v>3609</v>
      </c>
      <c r="B3670" s="138">
        <f>'Expenditures 15-22'!K350</f>
        <v>1833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1833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1833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1775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3603</v>
      </c>
      <c r="C3725" s="2" t="s">
        <v>594</v>
      </c>
      <c r="D3725" s="2" t="str">
        <f t="shared" si="57"/>
        <v>Error?</v>
      </c>
    </row>
    <row r="3726" spans="1:4" x14ac:dyDescent="0.2">
      <c r="A3726" s="5">
        <v>3665</v>
      </c>
      <c r="B3726" s="138">
        <f>'Tax Sched 23'!D13</f>
        <v>3603</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3986</v>
      </c>
      <c r="C3728" s="2" t="s">
        <v>594</v>
      </c>
      <c r="D3728" s="2" t="str">
        <f t="shared" si="57"/>
        <v>Error?</v>
      </c>
    </row>
    <row r="3729" spans="1:4" x14ac:dyDescent="0.2">
      <c r="A3729" s="5">
        <v>3668</v>
      </c>
      <c r="B3729" s="138">
        <f>'Tax Sched 23'!E13</f>
        <v>3986</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26801</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26801</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1548187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5226516</v>
      </c>
      <c r="C4122" s="2" t="s">
        <v>594</v>
      </c>
      <c r="D4122" s="2" t="str">
        <f t="shared" si="63"/>
        <v>Error?</v>
      </c>
    </row>
    <row r="4123" spans="1:4" x14ac:dyDescent="0.2">
      <c r="A4123" s="5">
        <v>4062</v>
      </c>
      <c r="B4123" s="138">
        <f>'Acct Summary 7-8'!D10</f>
        <v>342889</v>
      </c>
      <c r="C4123" s="2" t="s">
        <v>594</v>
      </c>
      <c r="D4123" s="2" t="str">
        <f t="shared" si="63"/>
        <v>Error?</v>
      </c>
    </row>
    <row r="4124" spans="1:4" x14ac:dyDescent="0.2">
      <c r="A4124" s="5">
        <v>4063</v>
      </c>
      <c r="B4124" s="138">
        <f>'Acct Summary 7-8'!E10</f>
        <v>39039</v>
      </c>
      <c r="C4124" s="2" t="s">
        <v>594</v>
      </c>
      <c r="D4124" s="2" t="str">
        <f t="shared" si="63"/>
        <v>Error?</v>
      </c>
    </row>
    <row r="4125" spans="1:4" x14ac:dyDescent="0.2">
      <c r="A4125" s="5">
        <v>4064</v>
      </c>
      <c r="B4125" s="138">
        <f>'Acct Summary 7-8'!F10</f>
        <v>192404</v>
      </c>
      <c r="C4125" s="2" t="s">
        <v>594</v>
      </c>
      <c r="D4125" s="2" t="str">
        <f t="shared" si="63"/>
        <v>Error?</v>
      </c>
    </row>
    <row r="4126" spans="1:4" x14ac:dyDescent="0.2">
      <c r="A4126" s="5">
        <v>4065</v>
      </c>
      <c r="B4126" s="138">
        <f>'Acct Summary 7-8'!G10</f>
        <v>155984</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3608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3608</v>
      </c>
      <c r="C4130" s="2" t="s">
        <v>594</v>
      </c>
      <c r="D4130" s="2" t="str">
        <f t="shared" si="63"/>
        <v>Error?</v>
      </c>
    </row>
    <row r="4131" spans="1:4" x14ac:dyDescent="0.2">
      <c r="A4131" s="5">
        <v>4070</v>
      </c>
      <c r="B4131" s="138">
        <f>'Acct Summary 7-8'!C18</f>
        <v>1548187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5161839</v>
      </c>
      <c r="C4136" s="2" t="s">
        <v>594</v>
      </c>
      <c r="D4136" s="2" t="str">
        <f t="shared" si="63"/>
        <v>Error?</v>
      </c>
    </row>
    <row r="4137" spans="1:4" x14ac:dyDescent="0.2">
      <c r="A4137" s="5">
        <v>4076</v>
      </c>
      <c r="B4137" s="138">
        <f>'Acct Summary 7-8'!D19</f>
        <v>288783</v>
      </c>
      <c r="C4137" s="2" t="s">
        <v>594</v>
      </c>
      <c r="D4137" s="2" t="str">
        <f t="shared" si="63"/>
        <v>Error?</v>
      </c>
    </row>
    <row r="4138" spans="1:4" x14ac:dyDescent="0.2">
      <c r="A4138" s="5">
        <v>4077</v>
      </c>
      <c r="B4138" s="138">
        <f>'Acct Summary 7-8'!E19</f>
        <v>68364</v>
      </c>
      <c r="C4138" s="2" t="s">
        <v>594</v>
      </c>
      <c r="D4138" s="2" t="str">
        <f t="shared" si="63"/>
        <v>Error?</v>
      </c>
    </row>
    <row r="4139" spans="1:4" x14ac:dyDescent="0.2">
      <c r="A4139" s="5">
        <v>4078</v>
      </c>
      <c r="B4139" s="138">
        <f>'Acct Summary 7-8'!F19</f>
        <v>183152</v>
      </c>
      <c r="C4139" s="2" t="s">
        <v>594</v>
      </c>
      <c r="D4139" s="2" t="str">
        <f t="shared" si="63"/>
        <v>Error?</v>
      </c>
    </row>
    <row r="4140" spans="1:4" x14ac:dyDescent="0.2">
      <c r="A4140" s="5">
        <v>4079</v>
      </c>
      <c r="B4140" s="138">
        <f>'Acct Summary 7-8'!G19</f>
        <v>132224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1833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241640</v>
      </c>
      <c r="C4171" s="2" t="s">
        <v>594</v>
      </c>
      <c r="D4171" s="2" t="str">
        <f t="shared" si="64"/>
        <v>Error?</v>
      </c>
    </row>
    <row r="4172" spans="1:4" x14ac:dyDescent="0.2">
      <c r="A4172" s="5">
        <v>4111</v>
      </c>
      <c r="B4172" s="138">
        <f>'Short-Term Long-Term Debt 24'!J49</f>
        <v>241199</v>
      </c>
      <c r="C4172" s="2" t="s">
        <v>594</v>
      </c>
      <c r="D4172" s="2" t="str">
        <f t="shared" si="64"/>
        <v>Error?</v>
      </c>
    </row>
    <row r="4173" spans="1:4" x14ac:dyDescent="0.2">
      <c r="A4173" s="5">
        <v>4112</v>
      </c>
      <c r="B4173" s="138">
        <f>'Short-Term Long-Term Debt 24'!H49</f>
        <v>52356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2400</v>
      </c>
      <c r="C4265" s="2" t="s">
        <v>594</v>
      </c>
      <c r="D4265" s="2" t="str">
        <f t="shared" si="65"/>
        <v>Error?</v>
      </c>
      <c r="E4265" s="128"/>
    </row>
    <row r="4266" spans="1:5" x14ac:dyDescent="0.2">
      <c r="A4266" s="12">
        <v>4205</v>
      </c>
      <c r="B4266" s="138">
        <f>('FP Info 3'!F10)*100000</f>
        <v>475</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3075</v>
      </c>
      <c r="C4268" s="2" t="s">
        <v>594</v>
      </c>
      <c r="D4268" s="2" t="str">
        <f t="shared" si="65"/>
        <v>Error?</v>
      </c>
    </row>
    <row r="4269" spans="1:5" x14ac:dyDescent="0.2">
      <c r="A4269" s="12">
        <v>4208</v>
      </c>
      <c r="B4269" s="138">
        <f>'FP Info 3'!J16</f>
        <v>720173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10881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32240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13533</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13533</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15736</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6280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49.819999999999993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33273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8763</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8000378</v>
      </c>
      <c r="D4995" s="2" t="str">
        <f t="shared" si="77"/>
        <v>Error?</v>
      </c>
    </row>
    <row r="4996" spans="1:4" x14ac:dyDescent="0.2">
      <c r="A4996" s="12">
        <v>4935</v>
      </c>
      <c r="B4996" s="138">
        <f>'FP Info 3'!H31</f>
        <v>1104052.1640000001</v>
      </c>
      <c r="D4996" s="2" t="str">
        <f t="shared" si="77"/>
        <v>Error?</v>
      </c>
    </row>
    <row r="4997" spans="1:4" x14ac:dyDescent="0.2">
      <c r="A4997" s="12">
        <v>4936</v>
      </c>
      <c r="B4997" s="138">
        <f>'FP Info 3'!H37</f>
        <v>241640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172980</v>
      </c>
      <c r="D5061" s="2" t="str">
        <f t="shared" si="78"/>
        <v>Error?</v>
      </c>
    </row>
    <row r="5062" spans="1:4" x14ac:dyDescent="0.2">
      <c r="A5062" s="10">
        <v>5001</v>
      </c>
      <c r="D5062" s="2" t="str">
        <f t="shared" si="78"/>
        <v>OK</v>
      </c>
    </row>
    <row r="5063" spans="1:4" x14ac:dyDescent="0.2">
      <c r="A5063" s="5">
        <v>5002</v>
      </c>
      <c r="B5063" s="138">
        <f>'Revenues 9-14'!C7</f>
        <v>2883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175863</v>
      </c>
      <c r="C5066" s="2" t="s">
        <v>594</v>
      </c>
      <c r="D5066" s="2" t="str">
        <f t="shared" si="78"/>
        <v>Error?</v>
      </c>
    </row>
    <row r="5067" spans="1:4" x14ac:dyDescent="0.2">
      <c r="A5067" s="5">
        <v>5006</v>
      </c>
      <c r="B5067" s="138">
        <f>'Revenues 9-14'!C14</f>
        <v>235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71181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71416</v>
      </c>
      <c r="C5071" s="2" t="s">
        <v>594</v>
      </c>
      <c r="D5071" s="2" t="str">
        <f t="shared" si="78"/>
        <v>Error?</v>
      </c>
    </row>
    <row r="5072" spans="1:4" x14ac:dyDescent="0.2">
      <c r="A5072" s="5">
        <v>5011</v>
      </c>
      <c r="B5072" s="138">
        <f>'Revenues 9-14'!C20</f>
        <v>850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850</v>
      </c>
      <c r="C5087" s="2" t="s">
        <v>594</v>
      </c>
      <c r="D5087" s="2" t="str">
        <f t="shared" si="78"/>
        <v>Error?</v>
      </c>
    </row>
    <row r="5088" spans="1:4" x14ac:dyDescent="0.2">
      <c r="A5088" s="5">
        <v>5027</v>
      </c>
      <c r="B5088" s="138">
        <f>'Revenues 9-14'!C65</f>
        <v>5955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5955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2244</v>
      </c>
      <c r="D5094" s="2" t="str">
        <f t="shared" si="78"/>
        <v>Error?</v>
      </c>
    </row>
    <row r="5095" spans="1:4" x14ac:dyDescent="0.2">
      <c r="A5095" s="5">
        <v>5034</v>
      </c>
      <c r="B5095" s="138">
        <f>'Revenues 9-14'!C74</f>
        <v>3560</v>
      </c>
      <c r="D5095" s="2" t="str">
        <f t="shared" si="78"/>
        <v>Error?</v>
      </c>
    </row>
    <row r="5096" spans="1:4" x14ac:dyDescent="0.2">
      <c r="A5096" s="5">
        <v>5035</v>
      </c>
      <c r="B5096" s="138">
        <f>'Revenues 9-14'!C75</f>
        <v>5804</v>
      </c>
      <c r="C5096" s="2" t="s">
        <v>594</v>
      </c>
      <c r="D5096" s="2" t="str">
        <f t="shared" si="78"/>
        <v>Error?</v>
      </c>
    </row>
    <row r="5097" spans="1:4" x14ac:dyDescent="0.2">
      <c r="A5097" s="5">
        <v>5036</v>
      </c>
      <c r="B5097" s="138">
        <f>'Revenues 9-14'!C77</f>
        <v>8892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2808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11700</v>
      </c>
      <c r="C5102" s="2" t="s">
        <v>594</v>
      </c>
      <c r="D5102" s="2" t="str">
        <f t="shared" si="78"/>
        <v>Error?</v>
      </c>
    </row>
    <row r="5103" spans="1:4" x14ac:dyDescent="0.2">
      <c r="A5103" s="5">
        <v>5042</v>
      </c>
      <c r="B5103" s="138">
        <f>'Revenues 9-14'!C84</f>
        <v>15672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15672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3573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18080</v>
      </c>
      <c r="D5119" s="2" t="str">
        <f t="shared" ref="D5119:D5182" si="79">IF(ISBLANK(B5119),"OK",IF(A5119-B5119=0,"OK","Error?"))</f>
        <v>Error?</v>
      </c>
    </row>
    <row r="5120" spans="1:4" x14ac:dyDescent="0.2">
      <c r="A5120" s="5">
        <v>5059</v>
      </c>
      <c r="B5120" s="138">
        <f>'Revenues 9-14'!C108</f>
        <v>25453</v>
      </c>
      <c r="C5120" s="2" t="s">
        <v>594</v>
      </c>
      <c r="D5120" s="2" t="str">
        <f t="shared" si="79"/>
        <v>Error?</v>
      </c>
    </row>
    <row r="5121" spans="1:4" x14ac:dyDescent="0.2">
      <c r="A5121" s="5">
        <v>5060</v>
      </c>
      <c r="B5121" s="138">
        <f>'Revenues 9-14'!C109</f>
        <v>312713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2498043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2498043</v>
      </c>
      <c r="C5132" s="2" t="s">
        <v>594</v>
      </c>
      <c r="D5132" s="2" t="str">
        <f t="shared" si="79"/>
        <v>Error?</v>
      </c>
    </row>
    <row r="5133" spans="1:4" x14ac:dyDescent="0.2">
      <c r="A5133" s="5">
        <v>5072</v>
      </c>
      <c r="B5133" s="138">
        <f>'Revenues 9-14'!C124</f>
        <v>15697</v>
      </c>
      <c r="D5133" s="2" t="str">
        <f t="shared" si="79"/>
        <v>Error?</v>
      </c>
    </row>
    <row r="5134" spans="1:4" x14ac:dyDescent="0.2">
      <c r="A5134" s="5">
        <v>5073</v>
      </c>
      <c r="B5134" s="138">
        <f>'Revenues 9-14'!C125</f>
        <v>28641</v>
      </c>
      <c r="D5134" s="2" t="str">
        <f t="shared" si="79"/>
        <v>Error?</v>
      </c>
    </row>
    <row r="5135" spans="1:4" x14ac:dyDescent="0.2">
      <c r="A5135" s="5">
        <v>5074</v>
      </c>
      <c r="B5135" s="138">
        <f>'Revenues 9-14'!C126</f>
        <v>50343</v>
      </c>
      <c r="D5135" s="2" t="str">
        <f t="shared" si="79"/>
        <v>Error?</v>
      </c>
    </row>
    <row r="5136" spans="1:4" x14ac:dyDescent="0.2">
      <c r="A5136" s="10">
        <v>5075</v>
      </c>
      <c r="D5136" s="2" t="str">
        <f t="shared" si="79"/>
        <v>OK</v>
      </c>
    </row>
    <row r="5137" spans="1:4" x14ac:dyDescent="0.2">
      <c r="A5137" s="5">
        <v>5076</v>
      </c>
      <c r="B5137" s="138">
        <f>'Revenues 9-14'!C127</f>
        <v>6899</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101580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47794</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47794</v>
      </c>
      <c r="C5165" s="2" t="s">
        <v>594</v>
      </c>
      <c r="D5165" s="2" t="str">
        <f t="shared" si="79"/>
        <v>Error?</v>
      </c>
    </row>
    <row r="5166" spans="1:4" x14ac:dyDescent="0.2">
      <c r="A5166" s="10">
        <v>5105</v>
      </c>
      <c r="D5166" s="2" t="str">
        <f t="shared" si="79"/>
        <v>OK</v>
      </c>
    </row>
    <row r="5167" spans="1:4" x14ac:dyDescent="0.2">
      <c r="A5167" s="5">
        <v>5106</v>
      </c>
      <c r="B5167" s="138">
        <f>'Revenues 9-14'!C145</f>
        <v>4609</v>
      </c>
      <c r="D5167" s="2" t="str">
        <f t="shared" si="79"/>
        <v>Error?</v>
      </c>
    </row>
    <row r="5168" spans="1:4" x14ac:dyDescent="0.2">
      <c r="A5168" s="5">
        <v>5107</v>
      </c>
      <c r="B5168" s="138">
        <f>'Revenues 9-14'!C147</f>
        <v>7629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215100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409985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2908028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197819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116162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313981</v>
      </c>
      <c r="C5246" s="2" t="s">
        <v>594</v>
      </c>
      <c r="D5246" s="2" t="str">
        <f t="shared" si="80"/>
        <v>Error?</v>
      </c>
    </row>
    <row r="5247" spans="1:4" x14ac:dyDescent="0.2">
      <c r="A5247" s="5">
        <v>5186</v>
      </c>
      <c r="B5247" s="138">
        <f>'Revenues 9-14'!C203</f>
        <v>52592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52592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3582</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3582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457588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457588</v>
      </c>
      <c r="C5326" s="2" t="s">
        <v>594</v>
      </c>
      <c r="D5326" s="2" t="str">
        <f t="shared" si="82"/>
        <v>Error?</v>
      </c>
    </row>
    <row r="5327" spans="1:4" x14ac:dyDescent="0.2">
      <c r="A5327" s="5">
        <v>5266</v>
      </c>
      <c r="B5327" s="138">
        <f>'Revenues 9-14'!C275</f>
        <v>3678329</v>
      </c>
      <c r="C5327" s="2" t="s">
        <v>594</v>
      </c>
      <c r="D5327" s="2" t="str">
        <f t="shared" si="82"/>
        <v>Error?</v>
      </c>
    </row>
    <row r="5328" spans="1:4" x14ac:dyDescent="0.2">
      <c r="A5328" s="5">
        <v>5267</v>
      </c>
      <c r="B5328" s="138">
        <f>'Revenues 9-14'!D5</f>
        <v>34236</v>
      </c>
      <c r="D5328" s="2" t="str">
        <f t="shared" si="82"/>
        <v>Error?</v>
      </c>
    </row>
    <row r="5329" spans="1:4" x14ac:dyDescent="0.2">
      <c r="A5329" s="10">
        <v>5268</v>
      </c>
      <c r="D5329" s="2" t="str">
        <f t="shared" si="82"/>
        <v>OK</v>
      </c>
    </row>
    <row r="5330" spans="1:4" x14ac:dyDescent="0.2">
      <c r="A5330" s="5">
        <v>5269</v>
      </c>
      <c r="B5330" s="138">
        <f>'Revenues 9-14'!D6</f>
        <v>3603</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37839</v>
      </c>
      <c r="C5334" s="2" t="s">
        <v>594</v>
      </c>
      <c r="D5334" s="2" t="str">
        <f t="shared" si="82"/>
        <v>Error?</v>
      </c>
    </row>
    <row r="5335" spans="1:4" x14ac:dyDescent="0.2">
      <c r="A5335" s="5">
        <v>5274</v>
      </c>
      <c r="B5335" s="138">
        <f>'Revenues 9-14'!D14</f>
        <v>50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37889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305000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305000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305000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342889</v>
      </c>
      <c r="C5508" s="2" t="s">
        <v>594</v>
      </c>
      <c r="D5508" s="2" t="str">
        <f t="shared" si="85"/>
        <v>Error?</v>
      </c>
    </row>
    <row r="5509" spans="1:4" x14ac:dyDescent="0.2">
      <c r="A5509" s="5">
        <v>5448</v>
      </c>
      <c r="B5509" s="138">
        <f>'Revenues 9-14'!E5</f>
        <v>37986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37986</v>
      </c>
      <c r="C5513" s="2" t="s">
        <v>594</v>
      </c>
      <c r="D5513" s="2" t="str">
        <f t="shared" si="85"/>
        <v>Error?</v>
      </c>
    </row>
    <row r="5514" spans="1:4" x14ac:dyDescent="0.2">
      <c r="A5514" s="5">
        <v>5453</v>
      </c>
      <c r="B5514" s="138">
        <f>'Revenues 9-14'!E14</f>
        <v>53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53</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38039</v>
      </c>
      <c r="C5527" s="2" t="s">
        <v>594</v>
      </c>
      <c r="D5527" s="2" t="str">
        <f t="shared" si="85"/>
        <v>Error?</v>
      </c>
    </row>
    <row r="5528" spans="1:4" x14ac:dyDescent="0.2">
      <c r="A5528" s="5">
        <v>5467</v>
      </c>
      <c r="B5528" s="138">
        <f>'Revenues 9-14'!E117</f>
        <v>1000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1000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1000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39039</v>
      </c>
      <c r="C5552" s="2" t="s">
        <v>594</v>
      </c>
      <c r="D5552" s="2" t="str">
        <f t="shared" si="85"/>
        <v>Error?</v>
      </c>
    </row>
    <row r="5553" spans="1:4" x14ac:dyDescent="0.2">
      <c r="A5553" s="5">
        <v>5492</v>
      </c>
      <c r="B5553" s="138">
        <f>'Revenues 9-14'!F5</f>
        <v>14415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14415</v>
      </c>
      <c r="C5557" s="2" t="s">
        <v>594</v>
      </c>
      <c r="D5557" s="2" t="str">
        <f t="shared" si="85"/>
        <v>Error?</v>
      </c>
    </row>
    <row r="5558" spans="1:4" x14ac:dyDescent="0.2">
      <c r="A5558" s="5">
        <v>5497</v>
      </c>
      <c r="B5558" s="138">
        <f>'Revenues 9-14'!F14</f>
        <v>19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19</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178</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178</v>
      </c>
      <c r="C5587" s="2" t="s">
        <v>594</v>
      </c>
      <c r="D5587" s="2" t="str">
        <f t="shared" si="86"/>
        <v>Error?</v>
      </c>
    </row>
    <row r="5588" spans="1:4" x14ac:dyDescent="0.2">
      <c r="A5588" s="5">
        <v>5527</v>
      </c>
      <c r="B5588" s="138">
        <f>'Revenues 9-14'!F109</f>
        <v>14612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80000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80000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75198</v>
      </c>
      <c r="D5615" s="2" t="str">
        <f t="shared" si="86"/>
        <v>Error?</v>
      </c>
    </row>
    <row r="5616" spans="1:4" x14ac:dyDescent="0.2">
      <c r="A5616" s="10">
        <v>5555</v>
      </c>
      <c r="D5616" s="2" t="str">
        <f t="shared" si="86"/>
        <v>OK</v>
      </c>
    </row>
    <row r="5617" spans="1:4" x14ac:dyDescent="0.2">
      <c r="A5617" s="5">
        <v>5556</v>
      </c>
      <c r="B5617" s="138">
        <f>'Revenues 9-14'!F152</f>
        <v>22594</v>
      </c>
      <c r="D5617" s="2" t="str">
        <f t="shared" si="86"/>
        <v>Error?</v>
      </c>
    </row>
    <row r="5618" spans="1:4" x14ac:dyDescent="0.2">
      <c r="A5618" s="5">
        <v>5557</v>
      </c>
      <c r="B5618" s="138">
        <f>'Revenues 9-14'!F154</f>
        <v>97792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97792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177792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192404</v>
      </c>
      <c r="C5720" s="2" t="s">
        <v>594</v>
      </c>
      <c r="D5720" s="2" t="str">
        <f t="shared" si="88"/>
        <v>Error?</v>
      </c>
    </row>
    <row r="5721" spans="1:4" x14ac:dyDescent="0.2">
      <c r="A5721" s="5">
        <v>5660</v>
      </c>
      <c r="B5721" s="138">
        <f>'Revenues 9-14'!G5</f>
        <v>75809</v>
      </c>
      <c r="D5721" s="2" t="str">
        <f t="shared" si="88"/>
        <v>Error?</v>
      </c>
    </row>
    <row r="5722" spans="1:4" x14ac:dyDescent="0.2">
      <c r="A5722" s="5">
        <v>5661</v>
      </c>
      <c r="B5722" s="138">
        <f>'Revenues 9-14'!G7</f>
        <v>0</v>
      </c>
      <c r="D5722" s="2" t="str">
        <f t="shared" si="88"/>
        <v>Error?</v>
      </c>
    </row>
    <row r="5723" spans="1:4" x14ac:dyDescent="0.2">
      <c r="A5723" s="5">
        <v>5662</v>
      </c>
      <c r="B5723" s="138">
        <f>'Revenues 9-14'!G8</f>
        <v>75809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151618</v>
      </c>
      <c r="C5725" s="2" t="s">
        <v>594</v>
      </c>
      <c r="D5725" s="2" t="str">
        <f t="shared" si="88"/>
        <v>Error?</v>
      </c>
    </row>
    <row r="5726" spans="1:4" x14ac:dyDescent="0.2">
      <c r="A5726" s="5">
        <v>5665</v>
      </c>
      <c r="B5726" s="138">
        <f>'Revenues 9-14'!G14</f>
        <v>223</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4143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4366</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155984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3603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3603</v>
      </c>
      <c r="C5918" s="2" t="s">
        <v>594</v>
      </c>
      <c r="D5918" s="2" t="str">
        <f t="shared" si="91"/>
        <v>Error?</v>
      </c>
    </row>
    <row r="5919" spans="1:4" x14ac:dyDescent="0.2">
      <c r="A5919" s="5">
        <v>5858</v>
      </c>
      <c r="B5919" s="138">
        <f>'Revenues 9-14'!I14</f>
        <v>5</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5</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3608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3603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3603</v>
      </c>
      <c r="C5987" s="2" t="s">
        <v>594</v>
      </c>
      <c r="D5987" s="2" t="str">
        <f t="shared" si="92"/>
        <v>Error?</v>
      </c>
    </row>
    <row r="5988" spans="1:4" x14ac:dyDescent="0.2">
      <c r="A5988" s="5">
        <v>5927</v>
      </c>
      <c r="B5988" s="138">
        <f>'Revenues 9-14'!K14</f>
        <v>5</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5</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3608</v>
      </c>
      <c r="C6023" s="2" t="s">
        <v>594</v>
      </c>
      <c r="D6023" s="2" t="str">
        <f t="shared" si="93"/>
        <v>Error?</v>
      </c>
    </row>
    <row r="6024" spans="1:5" x14ac:dyDescent="0.2">
      <c r="A6024" s="5">
        <v>5963</v>
      </c>
      <c r="B6024" s="138">
        <f>'Revenues 9-14'!G109</f>
        <v>155984</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3608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3608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19012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392.59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56693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56693</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56693</v>
      </c>
      <c r="D6216" s="2" t="str">
        <f t="shared" si="96"/>
        <v>Error?</v>
      </c>
      <c r="E6216" s="2" t="s">
        <v>199</v>
      </c>
    </row>
    <row r="6217" spans="1:5" x14ac:dyDescent="0.2">
      <c r="A6217">
        <v>6156</v>
      </c>
      <c r="B6217" s="138">
        <f>'Assets-Liab 5-6'!J4</f>
        <v>56693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80526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80526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80526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115346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115346</v>
      </c>
      <c r="D6229" s="2" t="str">
        <f t="shared" si="96"/>
        <v>Error?</v>
      </c>
      <c r="E6229" s="2" t="s">
        <v>199</v>
      </c>
    </row>
    <row r="6230" spans="1:5" x14ac:dyDescent="0.2">
      <c r="A6230">
        <v>6169</v>
      </c>
      <c r="B6230" s="138">
        <f>'Acct Summary 7-8'!J20</f>
        <v>-34820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3603</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-34820</v>
      </c>
      <c r="D6263" s="2" t="str">
        <f t="shared" si="96"/>
        <v>Error?</v>
      </c>
      <c r="E6263" s="2" t="s">
        <v>199</v>
      </c>
    </row>
    <row r="6264" spans="1:5" x14ac:dyDescent="0.2">
      <c r="A6264">
        <v>6203</v>
      </c>
      <c r="B6264" s="138">
        <f>'Acct Summary 7-8'!J79</f>
        <v>91513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56693</v>
      </c>
      <c r="D6266" s="2" t="str">
        <f t="shared" si="96"/>
        <v>Error?</v>
      </c>
      <c r="E6266" s="2" t="s">
        <v>199</v>
      </c>
    </row>
    <row r="6267" spans="1:5" x14ac:dyDescent="0.2">
      <c r="A6267">
        <v>6206</v>
      </c>
      <c r="B6267" s="138">
        <f>'Acct Summary 7-8'!C82</f>
        <v>64677</v>
      </c>
      <c r="D6267" s="2" t="str">
        <f t="shared" si="96"/>
        <v>Error?</v>
      </c>
      <c r="E6267" s="2" t="s">
        <v>199</v>
      </c>
    </row>
    <row r="6268" spans="1:5" x14ac:dyDescent="0.2">
      <c r="A6268">
        <v>6207</v>
      </c>
      <c r="B6268" s="138">
        <f>'Acct Summary 7-8'!D82</f>
        <v>26497</v>
      </c>
      <c r="D6268" s="2" t="str">
        <f t="shared" si="96"/>
        <v>Error?</v>
      </c>
      <c r="E6268" s="2" t="s">
        <v>199</v>
      </c>
    </row>
    <row r="6269" spans="1:5" x14ac:dyDescent="0.2">
      <c r="A6269">
        <v>6208</v>
      </c>
      <c r="B6269" s="138">
        <f>'Acct Summary 7-8'!E82</f>
        <v>-1716</v>
      </c>
      <c r="D6269" s="2" t="str">
        <f t="shared" si="96"/>
        <v>Error?</v>
      </c>
      <c r="E6269" s="2" t="s">
        <v>199</v>
      </c>
    </row>
    <row r="6270" spans="1:5" x14ac:dyDescent="0.2">
      <c r="A6270">
        <v>6209</v>
      </c>
      <c r="B6270" s="138">
        <f>'Acct Summary 7-8'!F82</f>
        <v>9252</v>
      </c>
      <c r="D6270" s="2" t="str">
        <f t="shared" si="96"/>
        <v>Error?</v>
      </c>
      <c r="E6270" s="2" t="s">
        <v>199</v>
      </c>
    </row>
    <row r="6271" spans="1:5" x14ac:dyDescent="0.2">
      <c r="A6271">
        <v>6210</v>
      </c>
      <c r="B6271" s="138">
        <f>'Acct Summary 7-8'!G82</f>
        <v>23760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3608</v>
      </c>
      <c r="D6273" s="2" t="str">
        <f t="shared" si="97"/>
        <v>Error?</v>
      </c>
      <c r="E6273" s="2" t="s">
        <v>199</v>
      </c>
    </row>
    <row r="6274" spans="1:5" x14ac:dyDescent="0.2">
      <c r="A6274">
        <v>6213</v>
      </c>
      <c r="B6274" s="138">
        <f>'Acct Summary 7-8'!J82</f>
        <v>-34820</v>
      </c>
      <c r="D6274" s="2" t="str">
        <f t="shared" si="97"/>
        <v>Error?</v>
      </c>
      <c r="E6274" s="2" t="s">
        <v>199</v>
      </c>
    </row>
    <row r="6275" spans="1:5" x14ac:dyDescent="0.2">
      <c r="A6275">
        <v>6214</v>
      </c>
      <c r="B6275" s="138">
        <f>'Acct Summary 7-8'!K82</f>
        <v>1775</v>
      </c>
      <c r="D6275" s="2" t="str">
        <f t="shared" si="97"/>
        <v>Error?</v>
      </c>
      <c r="E6275" s="2" t="s">
        <v>199</v>
      </c>
    </row>
    <row r="6276" spans="1:5" x14ac:dyDescent="0.2">
      <c r="A6276">
        <v>6215</v>
      </c>
      <c r="B6276" s="138">
        <f>'Acct Summary 7-8'!C83</f>
        <v>9.8791776134905598E-2</v>
      </c>
      <c r="D6276" s="2" t="str">
        <f t="shared" si="97"/>
        <v>Error?</v>
      </c>
      <c r="E6276" s="2" t="s">
        <v>199</v>
      </c>
    </row>
    <row r="6277" spans="1:5" x14ac:dyDescent="0.2">
      <c r="A6277">
        <v>6216</v>
      </c>
      <c r="B6277" s="138">
        <f>'Acct Summary 7-8'!D83</f>
        <v>0.56216319429711037</v>
      </c>
      <c r="D6277" s="2" t="str">
        <f t="shared" si="97"/>
        <v>Error?</v>
      </c>
      <c r="E6277" s="2" t="s">
        <v>199</v>
      </c>
    </row>
    <row r="6278" spans="1:5" x14ac:dyDescent="0.2">
      <c r="A6278">
        <v>6217</v>
      </c>
      <c r="B6278" s="138">
        <f>'Acct Summary 7-8'!E83</f>
        <v>-3.8911564625850339</v>
      </c>
      <c r="D6278" s="2" t="str">
        <f t="shared" si="97"/>
        <v>Error?</v>
      </c>
      <c r="E6278" s="2" t="s">
        <v>199</v>
      </c>
    </row>
    <row r="6279" spans="1:5" x14ac:dyDescent="0.2">
      <c r="A6279">
        <v>6218</v>
      </c>
      <c r="B6279" s="138">
        <f>'Acct Summary 7-8'!F83</f>
        <v>0.62721171446003665</v>
      </c>
      <c r="D6279" s="2" t="str">
        <f t="shared" si="97"/>
        <v>Error?</v>
      </c>
      <c r="E6279" s="2" t="s">
        <v>199</v>
      </c>
    </row>
    <row r="6280" spans="1:5" x14ac:dyDescent="0.2">
      <c r="A6280">
        <v>6219</v>
      </c>
      <c r="B6280" s="138">
        <f>'Acct Summary 7-8'!G83</f>
        <v>0.12325889035872695</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v>
      </c>
      <c r="D6282" s="2" t="str">
        <f t="shared" si="97"/>
        <v>Error?</v>
      </c>
      <c r="E6282" s="2" t="s">
        <v>199</v>
      </c>
    </row>
    <row r="6283" spans="1:5" x14ac:dyDescent="0.2">
      <c r="A6283">
        <v>6222</v>
      </c>
      <c r="B6283" s="138">
        <f>'Acct Summary 7-8'!J83</f>
        <v>-0.61418517277265272</v>
      </c>
      <c r="D6283" s="2" t="str">
        <f t="shared" si="97"/>
        <v>Error?</v>
      </c>
      <c r="E6283" s="2" t="s">
        <v>199</v>
      </c>
    </row>
    <row r="6284" spans="1:5" x14ac:dyDescent="0.2">
      <c r="A6284">
        <v>6223</v>
      </c>
      <c r="B6284" s="138">
        <f>'Acct Summary 7-8'!K83</f>
        <v>1</v>
      </c>
      <c r="D6284" s="2" t="str">
        <f t="shared" si="97"/>
        <v>Error?</v>
      </c>
      <c r="E6284" s="2" t="s">
        <v>199</v>
      </c>
    </row>
    <row r="6285" spans="1:5" x14ac:dyDescent="0.2">
      <c r="A6285">
        <v>6224</v>
      </c>
      <c r="B6285" s="138">
        <f>'Acct Summary 7-8'!E37</f>
        <v>21892</v>
      </c>
      <c r="D6285" s="2" t="str">
        <f t="shared" si="97"/>
        <v>Error?</v>
      </c>
      <c r="E6285" s="2" t="s">
        <v>199</v>
      </c>
    </row>
    <row r="6286" spans="1:5" x14ac:dyDescent="0.2">
      <c r="A6286">
        <v>6225</v>
      </c>
      <c r="B6286" s="138">
        <f>'Acct Summary 7-8'!E38</f>
        <v>5717</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53603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26801</v>
      </c>
      <c r="D6300" s="2" t="str">
        <f t="shared" si="97"/>
        <v>Error?</v>
      </c>
      <c r="E6300" s="2" t="s">
        <v>199</v>
      </c>
    </row>
    <row r="6301" spans="1:5" x14ac:dyDescent="0.2">
      <c r="A6301">
        <v>6240</v>
      </c>
      <c r="B6301" s="138">
        <f>'Revenues 9-14'!J12</f>
        <v>80404</v>
      </c>
      <c r="D6301" s="2" t="str">
        <f t="shared" si="97"/>
        <v>Error?</v>
      </c>
      <c r="E6301" s="2" t="s">
        <v>199</v>
      </c>
    </row>
    <row r="6302" spans="1:5" x14ac:dyDescent="0.2">
      <c r="A6302">
        <v>6241</v>
      </c>
      <c r="B6302" s="138">
        <f>'Revenues 9-14'!J14</f>
        <v>122</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122</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3800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80526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90449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103231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33006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18482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3905</v>
      </c>
      <c r="D6880" s="2" t="str">
        <f t="shared" si="106"/>
        <v>Error?</v>
      </c>
    </row>
    <row r="6881" spans="1:4" x14ac:dyDescent="0.2">
      <c r="A6881">
        <v>6820</v>
      </c>
      <c r="B6881" s="138">
        <f>'Expenditures 15-22'!K22</f>
        <v>3905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165815</v>
      </c>
      <c r="D6983" s="2" t="str">
        <f t="shared" si="108"/>
        <v>Error?</v>
      </c>
    </row>
    <row r="6984" spans="1:4" x14ac:dyDescent="0.2">
      <c r="A6984">
        <v>6923</v>
      </c>
      <c r="B6984" s="138">
        <f>'Expenditures 15-22'!K86</f>
        <v>165815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18000</v>
      </c>
      <c r="D6987" s="2" t="str">
        <f t="shared" si="108"/>
        <v>Error?</v>
      </c>
    </row>
    <row r="6988" spans="1:4" x14ac:dyDescent="0.2">
      <c r="A6988">
        <v>6927</v>
      </c>
      <c r="B6988" s="138">
        <f>'Expenditures 15-22'!K88</f>
        <v>18000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183815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115346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80526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5084</v>
      </c>
      <c r="D7073" s="2" t="str">
        <f t="shared" si="109"/>
        <v>Error?</v>
      </c>
    </row>
    <row r="7074" spans="1:4" x14ac:dyDescent="0.2">
      <c r="A7074">
        <v>7013</v>
      </c>
      <c r="B7074" s="138">
        <f>'Expenditures 15-22'!K216</f>
        <v>5084</v>
      </c>
      <c r="D7074" s="2" t="str">
        <f t="shared" si="109"/>
        <v>Error?</v>
      </c>
    </row>
    <row r="7075" spans="1:4" x14ac:dyDescent="0.2">
      <c r="A7075">
        <v>7014</v>
      </c>
      <c r="B7075" s="138">
        <f>'Expenditures 15-22'!D218</f>
        <v>335</v>
      </c>
      <c r="D7075" s="2" t="str">
        <f t="shared" si="109"/>
        <v>Error?</v>
      </c>
    </row>
    <row r="7076" spans="1:4" x14ac:dyDescent="0.2">
      <c r="A7076">
        <v>7015</v>
      </c>
      <c r="B7076" s="138">
        <f>'Expenditures 15-22'!K218</f>
        <v>335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268</v>
      </c>
      <c r="D7079" s="2" t="str">
        <f t="shared" si="109"/>
        <v>Error?</v>
      </c>
    </row>
    <row r="7080" spans="1:4" x14ac:dyDescent="0.2">
      <c r="A7080">
        <v>7019</v>
      </c>
      <c r="B7080" s="138">
        <f>'Expenditures 15-22'!K226</f>
        <v>268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6033</v>
      </c>
      <c r="D7093" s="2" t="str">
        <f t="shared" si="109"/>
        <v>Error?</v>
      </c>
    </row>
    <row r="7094" spans="1:4" x14ac:dyDescent="0.2">
      <c r="A7094">
        <v>7033</v>
      </c>
      <c r="B7094" s="138">
        <f>'Expenditures 15-22'!K254</f>
        <v>6033</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14899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14899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18565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18565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740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740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54934</v>
      </c>
      <c r="D7172" s="2" t="str">
        <f t="shared" si="111"/>
        <v>Error?</v>
      </c>
    </row>
    <row r="7173" spans="1:4" x14ac:dyDescent="0.2">
      <c r="A7173">
        <v>7112</v>
      </c>
      <c r="B7173" s="138">
        <f>'Expenditures 15-22'!D325</f>
        <v>5423</v>
      </c>
      <c r="D7173" s="2" t="str">
        <f t="shared" si="111"/>
        <v>Error?</v>
      </c>
    </row>
    <row r="7174" spans="1:4" x14ac:dyDescent="0.2">
      <c r="A7174">
        <v>7113</v>
      </c>
      <c r="B7174" s="138">
        <f>'Expenditures 15-22'!E325</f>
        <v>2297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62654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54934</v>
      </c>
      <c r="D7199" s="2" t="str">
        <f t="shared" si="111"/>
        <v>Error?</v>
      </c>
    </row>
    <row r="7200" spans="1:4" x14ac:dyDescent="0.2">
      <c r="A7200">
        <v>7139</v>
      </c>
      <c r="B7200" s="138">
        <f>'Expenditures 15-22'!D330</f>
        <v>5423</v>
      </c>
      <c r="D7200" s="2" t="str">
        <f t="shared" si="111"/>
        <v>Error?</v>
      </c>
    </row>
    <row r="7201" spans="1:4" x14ac:dyDescent="0.2">
      <c r="A7201">
        <v>7140</v>
      </c>
      <c r="B7201" s="138">
        <f>'Expenditures 15-22'!E330</f>
        <v>54989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115346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54934</v>
      </c>
      <c r="D7216" s="2" t="str">
        <f t="shared" si="111"/>
        <v>Error?</v>
      </c>
    </row>
    <row r="7217" spans="1:4" x14ac:dyDescent="0.2">
      <c r="A7217">
        <v>7156</v>
      </c>
      <c r="B7217" s="138">
        <f>'Expenditures 15-22'!D342</f>
        <v>5423</v>
      </c>
      <c r="D7217" s="2" t="str">
        <f t="shared" si="111"/>
        <v>Error?</v>
      </c>
    </row>
    <row r="7218" spans="1:4" x14ac:dyDescent="0.2">
      <c r="A7218">
        <v>7157</v>
      </c>
      <c r="B7218" s="138">
        <f>'Expenditures 15-22'!E342</f>
        <v>54989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115346</v>
      </c>
      <c r="D7224" s="2" t="str">
        <f t="shared" si="111"/>
        <v>Error?</v>
      </c>
    </row>
    <row r="7225" spans="1:4" x14ac:dyDescent="0.2">
      <c r="A7225">
        <v>7164</v>
      </c>
      <c r="B7225" s="138">
        <f>'Expenditures 15-22'!K343</f>
        <v>-34820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10296</v>
      </c>
      <c r="D7246" s="2" t="str">
        <f t="shared" si="112"/>
        <v>Error?</v>
      </c>
    </row>
    <row r="7247" spans="1:4" x14ac:dyDescent="0.2">
      <c r="A7247">
        <f t="shared" si="113"/>
        <v>7186</v>
      </c>
      <c r="B7247" s="138">
        <f>'Expenditures 15-22'!E7</f>
        <v>1163</v>
      </c>
      <c r="D7247" s="2" t="str">
        <f t="shared" si="112"/>
        <v>Error?</v>
      </c>
    </row>
    <row r="7248" spans="1:4" x14ac:dyDescent="0.2">
      <c r="A7248">
        <f t="shared" si="113"/>
        <v>7187</v>
      </c>
      <c r="B7248" s="138">
        <f>'Expenditures 15-22'!F7</f>
        <v>1323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28575</v>
      </c>
      <c r="D7251" s="2" t="str">
        <f t="shared" si="112"/>
        <v>Error?</v>
      </c>
    </row>
    <row r="7252" spans="1:4" x14ac:dyDescent="0.2">
      <c r="A7252">
        <f t="shared" si="113"/>
        <v>7191</v>
      </c>
      <c r="B7252" s="138">
        <f>'Expenditures 15-22'!D9</f>
        <v>4431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18453</v>
      </c>
      <c r="D7263" s="2" t="str">
        <f t="shared" si="112"/>
        <v>Error?</v>
      </c>
    </row>
    <row r="7264" spans="1:4" x14ac:dyDescent="0.2">
      <c r="A7264">
        <f t="shared" si="113"/>
        <v>7203</v>
      </c>
      <c r="B7264" s="138">
        <f>'Expenditures 15-22'!D17</f>
        <v>29</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79833</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79833</v>
      </c>
      <c r="D7618" s="2" t="str">
        <f t="shared" si="124"/>
        <v>Error?</v>
      </c>
      <c r="E7618" s="2" t="s">
        <v>19</v>
      </c>
    </row>
    <row r="7619" spans="1:5" x14ac:dyDescent="0.2">
      <c r="A7619">
        <f t="shared" si="123"/>
        <v>7558</v>
      </c>
      <c r="B7619" s="138">
        <f>'Cap Outlay Deprec 26'!H14</f>
        <v>61432</v>
      </c>
      <c r="D7619" s="2" t="str">
        <f t="shared" si="124"/>
        <v>Error?</v>
      </c>
      <c r="E7619" s="2" t="s">
        <v>19</v>
      </c>
    </row>
    <row r="7620" spans="1:5" x14ac:dyDescent="0.2">
      <c r="A7620">
        <f t="shared" si="123"/>
        <v>7559</v>
      </c>
      <c r="B7620" s="138">
        <f>'Cap Outlay Deprec 26'!I14</f>
        <v>2914</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64346</v>
      </c>
      <c r="D7622" s="2" t="str">
        <f t="shared" si="124"/>
        <v>Error?</v>
      </c>
      <c r="E7622" s="2" t="s">
        <v>19</v>
      </c>
    </row>
    <row r="7623" spans="1:5" x14ac:dyDescent="0.2">
      <c r="A7623">
        <f t="shared" si="123"/>
        <v>7562</v>
      </c>
      <c r="B7623" s="138">
        <f>'Cap Outlay Deprec 26'!L14</f>
        <v>15487</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95074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18289</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5717</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18488</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18488</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3800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7629</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11429</v>
      </c>
      <c r="D7719" s="2" t="str">
        <f t="shared" si="126"/>
        <v>Error?</v>
      </c>
      <c r="E7719" s="2" t="s">
        <v>881</v>
      </c>
    </row>
    <row r="7720" spans="1:6" x14ac:dyDescent="0.2">
      <c r="A7720">
        <v>7659</v>
      </c>
      <c r="B7720" s="138">
        <f>'Rest Tax Levies-Tort Im 25'!H14</f>
        <v>2883</v>
      </c>
      <c r="D7720" s="2" t="str">
        <f t="shared" si="126"/>
        <v>Error?</v>
      </c>
      <c r="E7720" s="2" t="s">
        <v>881</v>
      </c>
    </row>
    <row r="7721" spans="1:6" x14ac:dyDescent="0.2">
      <c r="A7721">
        <v>7660</v>
      </c>
      <c r="B7721" s="138">
        <f>'Rest Tax Levies-Tort Im 25'!K14</f>
        <v>11429</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18102</v>
      </c>
      <c r="D7797" s="2" t="str">
        <f t="shared" si="127"/>
        <v>Error?</v>
      </c>
      <c r="E7797" s="4" t="s">
        <v>2020</v>
      </c>
    </row>
    <row r="7798" spans="1:5" x14ac:dyDescent="0.2">
      <c r="A7798">
        <v>7737</v>
      </c>
      <c r="B7798" s="138">
        <f>'Contracts Paid in CY 29'!F141</f>
        <v>18102</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1" t="s">
        <v>1253</v>
      </c>
      <c r="B2" s="2421"/>
      <c r="C2" s="2421"/>
      <c r="D2" s="2421"/>
      <c r="E2" s="2421"/>
      <c r="F2" s="2421"/>
      <c r="G2" s="2421"/>
      <c r="H2" s="2421"/>
      <c r="I2" s="2421"/>
      <c r="J2" s="2421"/>
      <c r="K2" s="2421"/>
      <c r="L2" s="2421"/>
    </row>
    <row r="3" spans="1:29" ht="13.5" customHeight="1" x14ac:dyDescent="0.2">
      <c r="A3" s="2407" t="s">
        <v>1252</v>
      </c>
      <c r="B3" s="2407"/>
      <c r="C3" s="2407"/>
      <c r="D3" s="2407"/>
      <c r="E3" s="2407"/>
      <c r="F3" s="2407"/>
      <c r="G3" s="2407"/>
      <c r="H3" s="2407"/>
      <c r="I3" s="2407"/>
      <c r="J3" s="2407"/>
      <c r="K3" s="2407"/>
      <c r="L3" s="2407"/>
    </row>
    <row r="4" spans="1:29" ht="13.5" customHeight="1" x14ac:dyDescent="0.2">
      <c r="A4" s="2421" t="s">
        <v>1799</v>
      </c>
      <c r="B4" s="2438"/>
      <c r="C4" s="2438"/>
      <c r="D4" s="2438"/>
      <c r="E4" s="2438"/>
      <c r="F4" s="2438"/>
      <c r="G4" s="2438"/>
      <c r="H4" s="2438"/>
      <c r="I4" s="2438"/>
      <c r="J4" s="2438"/>
      <c r="K4" s="2438"/>
      <c r="L4" s="243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1" t="str">
        <f>COVER!A17</f>
        <v>DePue CUSD 103</v>
      </c>
      <c r="B7" s="2402"/>
      <c r="C7" s="2402"/>
      <c r="D7" s="2439"/>
      <c r="E7" s="2440">
        <f>COVER!A13</f>
        <v>28006103022</v>
      </c>
      <c r="F7" s="2441"/>
      <c r="G7" s="2408">
        <f>COVER!T23</f>
        <v>66.004501000000005</v>
      </c>
      <c r="H7" s="2409"/>
      <c r="I7" s="2409"/>
      <c r="J7" s="2409"/>
      <c r="K7" s="2409"/>
      <c r="L7" s="241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1"/>
      <c r="B9" s="2412"/>
      <c r="C9" s="2412"/>
      <c r="D9" s="2412"/>
      <c r="E9" s="2412"/>
      <c r="F9" s="2413"/>
      <c r="G9" s="2414" t="str">
        <f>COVER!T13</f>
        <v>Hopkins &amp; Associates, CPAs</v>
      </c>
      <c r="H9" s="2415"/>
      <c r="I9" s="2415"/>
      <c r="J9" s="2415"/>
      <c r="K9" s="2415"/>
      <c r="L9" s="2416"/>
    </row>
    <row r="10" spans="1:29" ht="13.5" customHeight="1" x14ac:dyDescent="0.2">
      <c r="A10" s="2398" t="str">
        <f>COVER!A38</f>
        <v>Chris Dougherty</v>
      </c>
      <c r="B10" s="2399"/>
      <c r="C10" s="2399"/>
      <c r="D10" s="2399"/>
      <c r="E10" s="2399"/>
      <c r="F10" s="2400"/>
      <c r="G10" s="2414" t="str">
        <f>COVER!T17</f>
        <v>314 S. McCoy St.</v>
      </c>
      <c r="H10" s="2427"/>
      <c r="I10" s="2427"/>
      <c r="J10" s="2427"/>
      <c r="K10" s="2427"/>
      <c r="L10" s="2428"/>
    </row>
    <row r="11" spans="1:29" ht="13.5" customHeight="1" x14ac:dyDescent="0.2">
      <c r="A11" s="1185" t="s">
        <v>1599</v>
      </c>
      <c r="B11" s="1186"/>
      <c r="C11" s="1187"/>
      <c r="D11" s="1192"/>
      <c r="E11" s="1187"/>
      <c r="F11" s="1191"/>
      <c r="G11" s="2414" t="str">
        <f>COVER!T19</f>
        <v>Granville</v>
      </c>
      <c r="H11" s="2427"/>
      <c r="I11" s="2427"/>
      <c r="J11" s="2427"/>
      <c r="K11" s="2427"/>
      <c r="L11" s="2428"/>
    </row>
    <row r="12" spans="1:29" ht="13.5" customHeight="1" x14ac:dyDescent="0.2">
      <c r="A12" s="2432" t="s">
        <v>1598</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1600</v>
      </c>
      <c r="H13" s="2423"/>
      <c r="I13" s="2435" t="str">
        <f>COVER!T25</f>
        <v>kim@hopkinsoffice.com</v>
      </c>
      <c r="J13" s="2436"/>
      <c r="K13" s="2436"/>
      <c r="L13" s="2437"/>
    </row>
    <row r="14" spans="1:29" ht="13.5" customHeight="1" x14ac:dyDescent="0.2">
      <c r="A14" s="2414" t="str">
        <f>COVER!A19</f>
        <v>204 Pleasant St.</v>
      </c>
      <c r="B14" s="2427"/>
      <c r="C14" s="2427"/>
      <c r="D14" s="2427"/>
      <c r="E14" s="2427"/>
      <c r="F14" s="2428"/>
      <c r="G14" s="1196" t="s">
        <v>1247</v>
      </c>
      <c r="H14" s="1194"/>
      <c r="I14" s="1194"/>
      <c r="J14" s="1194"/>
      <c r="K14" s="1194"/>
      <c r="L14" s="1195"/>
    </row>
    <row r="15" spans="1:29" ht="13.5" customHeight="1" x14ac:dyDescent="0.2">
      <c r="A15" s="2414" t="str">
        <f>COVER!A21</f>
        <v xml:space="preserve">DePue  </v>
      </c>
      <c r="B15" s="2427"/>
      <c r="C15" s="2427"/>
      <c r="D15" s="2427"/>
      <c r="E15" s="2427"/>
      <c r="F15" s="2428"/>
      <c r="G15" s="2424" t="str">
        <f>COVER!T15</f>
        <v>Kim Bird</v>
      </c>
      <c r="H15" s="2425"/>
      <c r="I15" s="2425"/>
      <c r="J15" s="2425"/>
      <c r="K15" s="2425"/>
      <c r="L15" s="2426"/>
    </row>
    <row r="16" spans="1:29" ht="12.2" customHeight="1" x14ac:dyDescent="0.2">
      <c r="A16" s="2404">
        <f>COVER!A25</f>
        <v>61322</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6" t="s">
        <v>1246</v>
      </c>
      <c r="H17" s="1194"/>
      <c r="I17" s="1194"/>
      <c r="J17" s="1194"/>
      <c r="K17" s="1198" t="s">
        <v>1245</v>
      </c>
      <c r="L17" s="1191"/>
      <c r="M17" s="1184"/>
    </row>
    <row r="18" spans="1:13" ht="12.2" customHeight="1" x14ac:dyDescent="0.2">
      <c r="A18" s="2398"/>
      <c r="B18" s="2399"/>
      <c r="C18" s="2399"/>
      <c r="D18" s="2399"/>
      <c r="E18" s="2399"/>
      <c r="F18" s="2400"/>
      <c r="G18" s="2401" t="str">
        <f>COVER!T21</f>
        <v>815-339-6630</v>
      </c>
      <c r="H18" s="2402"/>
      <c r="I18" s="2402"/>
      <c r="J18" s="2402"/>
      <c r="K18" s="2401" t="str">
        <f>COVER!X21</f>
        <v>815-339-6643</v>
      </c>
      <c r="L18" s="240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DePue CUSD 103</v>
      </c>
      <c r="B1" s="2438"/>
      <c r="C1" s="2438"/>
      <c r="D1" s="2438"/>
    </row>
    <row r="2" spans="1:11" s="1215" customFormat="1" ht="12.75" x14ac:dyDescent="0.2">
      <c r="A2" s="2443">
        <f>'Single Audit Cover'!E7</f>
        <v>28006103022</v>
      </c>
      <c r="B2" s="2444"/>
      <c r="C2" s="2444"/>
      <c r="D2" s="2444"/>
    </row>
    <row r="3" spans="1:11" s="1215" customFormat="1" ht="12.75" x14ac:dyDescent="0.2">
      <c r="A3" s="2442" t="s">
        <v>1593</v>
      </c>
      <c r="B3" s="2438"/>
      <c r="C3" s="2438"/>
      <c r="D3" s="243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DePue CUSD 103</v>
      </c>
      <c r="B1" s="2446"/>
      <c r="C1" s="2446"/>
      <c r="D1" s="2446"/>
      <c r="E1" s="2446"/>
    </row>
    <row r="2" spans="1:5" x14ac:dyDescent="0.2">
      <c r="A2" s="2447">
        <f>'Single Audit Cover'!E7</f>
        <v>28006103022</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457588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19012</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-32240</v>
      </c>
    </row>
    <row r="19" spans="1:4" ht="13.5" thickBot="1" x14ac:dyDescent="0.25">
      <c r="A19" s="1265" t="s">
        <v>1297</v>
      </c>
      <c r="D19" s="1266">
        <f>SUM(D10:D17)</f>
        <v>444360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444360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444360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DePue CUSD 103</v>
      </c>
      <c r="B1" s="2451"/>
      <c r="C1" s="2451"/>
      <c r="D1" s="2451"/>
      <c r="E1" s="2451"/>
      <c r="F1" s="2451"/>
    </row>
    <row r="2" spans="1:7" ht="13.5" customHeight="1" x14ac:dyDescent="0.2">
      <c r="A2" s="2452">
        <f>'Single Audit Cover'!E7</f>
        <v>28006103022</v>
      </c>
      <c r="B2" s="2452"/>
      <c r="C2" s="2452"/>
      <c r="D2" s="2452"/>
      <c r="E2" s="2452"/>
      <c r="F2" s="2452"/>
      <c r="G2" s="1275"/>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7"/>
      <c r="D5" s="317"/>
    </row>
    <row r="6" spans="1:7" ht="13.5" customHeight="1" x14ac:dyDescent="0.2">
      <c r="A6" s="1276" t="s">
        <v>1831</v>
      </c>
      <c r="C6" s="317"/>
      <c r="D6" s="317"/>
    </row>
    <row r="7" spans="1:7" ht="60.95" customHeight="1" x14ac:dyDescent="0.2">
      <c r="A7" s="2450" t="s">
        <v>1832</v>
      </c>
      <c r="B7" s="2450"/>
      <c r="C7" s="2450"/>
      <c r="D7" s="2450"/>
      <c r="E7" s="2450"/>
      <c r="F7" s="245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0" t="s">
        <v>1834</v>
      </c>
      <c r="B13" s="2450"/>
      <c r="C13" s="2450"/>
      <c r="D13" s="2450"/>
      <c r="E13" s="2450"/>
      <c r="F13" s="2450"/>
    </row>
    <row r="14" spans="1:7" ht="9.75" customHeight="1" x14ac:dyDescent="0.2">
      <c r="C14" s="1260"/>
      <c r="D14" s="1260"/>
    </row>
    <row r="15" spans="1:7" ht="13.5" customHeight="1" x14ac:dyDescent="0.2">
      <c r="C15" s="1870" t="s">
        <v>1332</v>
      </c>
      <c r="D15" s="2456" t="s">
        <v>1331</v>
      </c>
      <c r="E15" s="2456"/>
      <c r="F15" s="2456"/>
    </row>
    <row r="16" spans="1:7" ht="13.5" customHeight="1" x14ac:dyDescent="0.2">
      <c r="A16" s="1282"/>
      <c r="B16" s="1276" t="s">
        <v>1330</v>
      </c>
      <c r="C16" s="1870" t="s">
        <v>1329</v>
      </c>
      <c r="D16" s="2457" t="s">
        <v>1670</v>
      </c>
      <c r="E16" s="2457"/>
      <c r="F16" s="2457"/>
    </row>
    <row r="17" spans="1:6" ht="20.45" customHeight="1" x14ac:dyDescent="0.2">
      <c r="A17" s="1283"/>
      <c r="B17" s="1284"/>
      <c r="C17" s="1285"/>
      <c r="D17" s="2455"/>
      <c r="E17" s="2455"/>
      <c r="F17" s="2455"/>
    </row>
    <row r="18" spans="1:6" ht="20.65" customHeight="1" x14ac:dyDescent="0.2">
      <c r="A18" s="1283"/>
      <c r="B18" s="1284"/>
      <c r="C18" s="1285"/>
      <c r="D18" s="2455"/>
      <c r="E18" s="2455"/>
      <c r="F18" s="2455"/>
    </row>
    <row r="19" spans="1:6" ht="20.65" customHeight="1" x14ac:dyDescent="0.2">
      <c r="A19" s="1283"/>
      <c r="B19" s="1284"/>
      <c r="C19" s="1285"/>
      <c r="D19" s="2455"/>
      <c r="E19" s="2455"/>
      <c r="F19" s="2455"/>
    </row>
    <row r="20" spans="1:6" ht="20.65" customHeight="1" x14ac:dyDescent="0.2">
      <c r="A20" s="1283"/>
      <c r="B20" s="1284"/>
      <c r="C20" s="1285"/>
      <c r="D20" s="2455"/>
      <c r="E20" s="2455"/>
      <c r="F20" s="2455"/>
    </row>
    <row r="21" spans="1:6" ht="20.65" customHeight="1" x14ac:dyDescent="0.2">
      <c r="A21" s="1283"/>
      <c r="B21" s="1284"/>
      <c r="C21" s="1285"/>
      <c r="D21" s="2455"/>
      <c r="E21" s="2455"/>
      <c r="F21" s="2455"/>
    </row>
    <row r="22" spans="1:6" ht="20.65" customHeight="1" x14ac:dyDescent="0.2">
      <c r="A22" s="1283"/>
      <c r="B22" s="1284"/>
      <c r="C22" s="1285"/>
      <c r="D22" s="2455"/>
      <c r="E22" s="2455"/>
      <c r="F22" s="2455"/>
    </row>
    <row r="23" spans="1:6" ht="20.65" customHeight="1" x14ac:dyDescent="0.2">
      <c r="A23" s="1283"/>
      <c r="B23" s="1284"/>
      <c r="C23" s="1285"/>
      <c r="D23" s="2455"/>
      <c r="E23" s="2455"/>
      <c r="F23" s="2455"/>
    </row>
    <row r="24" spans="1:6" ht="20.65" customHeight="1" x14ac:dyDescent="0.2">
      <c r="A24" s="1283"/>
      <c r="B24" s="1284"/>
      <c r="C24" s="1285"/>
      <c r="D24" s="2455"/>
      <c r="E24" s="2455"/>
      <c r="F24" s="2455"/>
    </row>
    <row r="25" spans="1:6" ht="20.65" customHeight="1" x14ac:dyDescent="0.2">
      <c r="A25" s="1283"/>
      <c r="B25" s="1284"/>
      <c r="C25" s="1285"/>
      <c r="D25" s="2455"/>
      <c r="E25" s="2455"/>
      <c r="F25" s="2455"/>
    </row>
    <row r="26" spans="1:6" ht="20.65" customHeight="1" x14ac:dyDescent="0.2">
      <c r="A26" s="1283"/>
      <c r="B26" s="1284"/>
      <c r="C26" s="1285"/>
      <c r="D26" s="2455"/>
      <c r="E26" s="2455"/>
      <c r="F26" s="2455"/>
    </row>
    <row r="27" spans="1:6" ht="20.65" customHeight="1" x14ac:dyDescent="0.2">
      <c r="A27" s="1283"/>
      <c r="B27" s="1284"/>
      <c r="C27" s="1285"/>
      <c r="D27" s="2455"/>
      <c r="E27" s="2455"/>
      <c r="F27" s="2455"/>
    </row>
    <row r="28" spans="1:6" ht="20.65" customHeight="1" x14ac:dyDescent="0.2">
      <c r="A28" s="1283"/>
      <c r="B28" s="1284"/>
      <c r="C28" s="1285"/>
      <c r="D28" s="2455"/>
      <c r="E28" s="2455"/>
      <c r="F28" s="2455"/>
    </row>
    <row r="29" spans="1:6" ht="20.65" customHeight="1" x14ac:dyDescent="0.2">
      <c r="A29" s="1283"/>
      <c r="B29" s="1284"/>
      <c r="C29" s="1285"/>
      <c r="D29" s="2455"/>
      <c r="E29" s="2455"/>
      <c r="F29" s="2455"/>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9" t="s">
        <v>1835</v>
      </c>
      <c r="B32" s="2459"/>
      <c r="C32" s="2459"/>
      <c r="D32" s="2459"/>
      <c r="E32" s="2459"/>
      <c r="F32" s="2459"/>
    </row>
    <row r="33" spans="1:6" ht="13.5" customHeight="1" x14ac:dyDescent="0.2">
      <c r="A33" s="328" t="s">
        <v>1509</v>
      </c>
      <c r="B33" s="328"/>
      <c r="C33" s="1288">
        <v>0</v>
      </c>
      <c r="D33" s="1927"/>
      <c r="E33" s="1286"/>
    </row>
    <row r="34" spans="1:6" ht="13.5" customHeight="1" x14ac:dyDescent="0.2">
      <c r="A34" s="328" t="s">
        <v>1949</v>
      </c>
      <c r="B34" s="328"/>
      <c r="C34" s="1289">
        <v>0</v>
      </c>
      <c r="D34" s="1927" t="s">
        <v>1671</v>
      </c>
      <c r="E34" s="2460">
        <f>+C33+C34</f>
        <v>0</v>
      </c>
      <c r="F34" s="2461"/>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2" t="s">
        <v>1672</v>
      </c>
      <c r="C49" s="2462"/>
      <c r="D49" s="2462"/>
      <c r="E49" s="1399"/>
    </row>
    <row r="50" spans="1:5" s="1300" customFormat="1" ht="3.75" customHeight="1" x14ac:dyDescent="0.2">
      <c r="A50" s="1299"/>
      <c r="B50" s="1869"/>
      <c r="C50" s="1869"/>
      <c r="D50" s="1869"/>
      <c r="E50" s="1399"/>
    </row>
    <row r="51" spans="1:5" s="1300" customFormat="1" ht="20.25" customHeight="1" x14ac:dyDescent="0.2">
      <c r="A51" s="1301">
        <v>6</v>
      </c>
      <c r="B51" s="2458" t="s">
        <v>1632</v>
      </c>
      <c r="C51" s="2458"/>
      <c r="D51" s="2458"/>
    </row>
    <row r="52" spans="1:5" ht="14.25" customHeight="1" x14ac:dyDescent="0.2">
      <c r="A52" s="1301"/>
      <c r="B52" s="2458"/>
      <c r="C52" s="2458"/>
      <c r="D52" s="245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7" t="str">
        <f>'Single Audit Cover'!A7</f>
        <v>DePue CUSD 103</v>
      </c>
      <c r="C1" s="2463"/>
      <c r="D1" s="2463"/>
      <c r="E1" s="2463"/>
      <c r="F1" s="2463"/>
      <c r="G1" s="2463"/>
      <c r="H1" s="2463"/>
      <c r="I1" s="2463"/>
      <c r="J1" s="2463"/>
      <c r="K1" s="2463"/>
      <c r="L1" s="2463"/>
      <c r="M1" s="2463"/>
    </row>
    <row r="2" spans="2:14" ht="15" x14ac:dyDescent="0.2">
      <c r="B2" s="2452">
        <f>'Single Audit Cover'!E7</f>
        <v>28006103022</v>
      </c>
      <c r="C2" s="2452"/>
      <c r="D2" s="2452"/>
      <c r="E2" s="2452"/>
      <c r="F2" s="2452"/>
      <c r="G2" s="2452"/>
      <c r="H2" s="2452"/>
      <c r="I2" s="2452"/>
      <c r="J2" s="2452"/>
      <c r="K2" s="2452"/>
      <c r="L2" s="2452"/>
      <c r="M2" s="2452"/>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1230</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3" t="s">
        <v>1731</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3" t="s">
        <v>331</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t="s">
        <v>2093</v>
      </c>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1390</v>
      </c>
      <c r="B70" s="2086"/>
      <c r="C70" s="2086"/>
      <c r="D70" s="2086"/>
      <c r="E70" s="2087"/>
      <c r="F70" s="2087"/>
      <c r="G70" s="2087"/>
      <c r="H70" s="2087"/>
      <c r="I70" s="208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1387</v>
      </c>
      <c r="B83" s="2088"/>
      <c r="C83" s="2088"/>
      <c r="D83" s="208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0"/>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t="s">
        <v>2085</v>
      </c>
      <c r="D114" s="207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1397</v>
      </c>
      <c r="D117" s="2081"/>
      <c r="E117" s="2082"/>
      <c r="F117" s="2082"/>
      <c r="G117" s="2082"/>
      <c r="H117" s="2082"/>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DePue CUSD 103</v>
      </c>
      <c r="C1" s="2471"/>
      <c r="D1" s="2471"/>
      <c r="E1" s="2471"/>
      <c r="F1" s="2471"/>
      <c r="G1" s="2471"/>
      <c r="H1" s="2471"/>
      <c r="I1" s="2471"/>
      <c r="J1" s="1422"/>
    </row>
    <row r="2" spans="2:10" s="317" customFormat="1" ht="12.75" customHeight="1" x14ac:dyDescent="0.2">
      <c r="B2" s="2472">
        <f>'Single Audit Cover'!E7</f>
        <v>28006103022</v>
      </c>
      <c r="C2" s="2473"/>
      <c r="D2" s="2473"/>
      <c r="E2" s="2473"/>
      <c r="F2" s="2473"/>
      <c r="G2" s="2473"/>
      <c r="H2" s="2473"/>
      <c r="I2" s="2473"/>
      <c r="J2" s="1422"/>
    </row>
    <row r="3" spans="2:10" s="317" customFormat="1" ht="12.75" customHeight="1" x14ac:dyDescent="0.2">
      <c r="B3" s="2474" t="s">
        <v>1347</v>
      </c>
      <c r="C3" s="2475"/>
      <c r="D3" s="2475"/>
      <c r="E3" s="2475"/>
      <c r="F3" s="2475"/>
      <c r="G3" s="2475"/>
      <c r="H3" s="2475"/>
      <c r="I3" s="2475"/>
      <c r="J3" s="1423"/>
    </row>
    <row r="4" spans="2:10" s="317" customFormat="1" ht="12.75" customHeight="1" x14ac:dyDescent="0.2">
      <c r="B4" s="2474" t="str">
        <f>'Single Audit Cover'!A4</f>
        <v>Year Ending June 30, 2018</v>
      </c>
      <c r="C4" s="2475"/>
      <c r="D4" s="2475"/>
      <c r="E4" s="2475"/>
      <c r="F4" s="2475"/>
      <c r="G4" s="2475"/>
      <c r="H4" s="2475"/>
      <c r="I4" s="247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4" t="s">
        <v>1346</v>
      </c>
      <c r="C7" s="2475"/>
      <c r="D7" s="2475"/>
      <c r="E7" s="2475"/>
      <c r="F7" s="2475"/>
      <c r="G7" s="2475"/>
      <c r="H7" s="2475"/>
      <c r="I7" s="247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6"/>
      <c r="D11" s="247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7"/>
      <c r="E29" s="2477"/>
      <c r="F29" s="2477"/>
      <c r="G29" s="2477"/>
      <c r="H29" s="2477"/>
      <c r="I29" s="247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8" t="s">
        <v>1854</v>
      </c>
      <c r="D37" s="2479"/>
      <c r="E37" s="2479"/>
      <c r="F37" s="2480"/>
      <c r="G37" s="2478" t="s">
        <v>1674</v>
      </c>
      <c r="H37" s="2479"/>
      <c r="I37" s="2480"/>
    </row>
    <row r="38" spans="2:9" ht="16.5" customHeight="1" x14ac:dyDescent="0.2">
      <c r="B38" s="1444"/>
      <c r="C38" s="2466"/>
      <c r="D38" s="2467"/>
      <c r="E38" s="2467"/>
      <c r="F38" s="2468"/>
      <c r="G38" s="2481"/>
      <c r="H38" s="2482"/>
      <c r="I38" s="2483"/>
    </row>
    <row r="39" spans="2:9" ht="16.5" customHeight="1" x14ac:dyDescent="0.2">
      <c r="B39" s="1444"/>
      <c r="C39" s="2466"/>
      <c r="D39" s="2467"/>
      <c r="E39" s="2467"/>
      <c r="F39" s="2468"/>
      <c r="G39" s="2469"/>
      <c r="H39" s="2469"/>
      <c r="I39" s="2469"/>
    </row>
    <row r="40" spans="2:9" ht="16.5" customHeight="1" x14ac:dyDescent="0.2">
      <c r="B40" s="1444"/>
      <c r="C40" s="2466"/>
      <c r="D40" s="2467"/>
      <c r="E40" s="2467"/>
      <c r="F40" s="2468"/>
      <c r="G40" s="2469"/>
      <c r="H40" s="2469"/>
      <c r="I40" s="2469"/>
    </row>
    <row r="41" spans="2:9" ht="16.5" customHeight="1" x14ac:dyDescent="0.2">
      <c r="B41" s="1444"/>
      <c r="C41" s="2466"/>
      <c r="D41" s="2467"/>
      <c r="E41" s="2467"/>
      <c r="F41" s="2468"/>
      <c r="G41" s="2469"/>
      <c r="H41" s="2469"/>
      <c r="I41" s="2469"/>
    </row>
    <row r="42" spans="2:9" ht="16.5" customHeight="1" x14ac:dyDescent="0.2">
      <c r="B42" s="1444"/>
      <c r="C42" s="2466"/>
      <c r="D42" s="2467"/>
      <c r="E42" s="2467"/>
      <c r="F42" s="2468"/>
      <c r="G42" s="2469"/>
      <c r="H42" s="2469"/>
      <c r="I42" s="2469"/>
    </row>
    <row r="43" spans="2:9" ht="16.5" customHeight="1" x14ac:dyDescent="0.2">
      <c r="B43" s="1444"/>
      <c r="C43" s="2484" t="s">
        <v>1675</v>
      </c>
      <c r="D43" s="2485"/>
      <c r="E43" s="2485"/>
      <c r="F43" s="2486"/>
      <c r="G43" s="2487">
        <f>SUM(G38:I42)</f>
        <v>0</v>
      </c>
      <c r="H43" s="2487"/>
      <c r="I43" s="2487"/>
    </row>
    <row r="44" spans="2:9" ht="12.75" customHeight="1" x14ac:dyDescent="0.2"/>
    <row r="45" spans="2:9" ht="12.75" customHeight="1" x14ac:dyDescent="0.2">
      <c r="B45" s="1435" t="s">
        <v>1952</v>
      </c>
      <c r="D45" s="2488">
        <v>0</v>
      </c>
      <c r="E45" s="2489"/>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0"/>
      <c r="F49" s="2490"/>
      <c r="G49" s="2490"/>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DePue CUSD 103</v>
      </c>
      <c r="C1" s="2470"/>
      <c r="D1" s="2470"/>
      <c r="E1" s="2470"/>
      <c r="F1" s="2470"/>
      <c r="G1" s="2470"/>
      <c r="H1" s="2470"/>
      <c r="I1" s="2470"/>
      <c r="J1" s="2470"/>
      <c r="K1" s="2470"/>
      <c r="L1" s="1374"/>
      <c r="M1" s="1374"/>
    </row>
    <row r="2" spans="1:13" ht="12" customHeight="1" x14ac:dyDescent="0.2">
      <c r="B2" s="2472">
        <f>'Single Audit Cover'!E7</f>
        <v>28006103022</v>
      </c>
      <c r="C2" s="2472"/>
      <c r="D2" s="2472"/>
      <c r="E2" s="2472"/>
      <c r="F2" s="2472"/>
      <c r="G2" s="2472"/>
      <c r="H2" s="2472"/>
      <c r="I2" s="2472"/>
      <c r="J2" s="2472"/>
      <c r="K2" s="2472"/>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DePue CUSD 103</v>
      </c>
      <c r="C1" s="2497"/>
      <c r="D1" s="2497"/>
      <c r="E1" s="2497"/>
      <c r="F1" s="2497"/>
      <c r="G1" s="2497"/>
      <c r="H1" s="2497"/>
      <c r="I1" s="2497"/>
      <c r="J1" s="2497"/>
      <c r="K1" s="2497"/>
      <c r="L1" s="1465"/>
    </row>
    <row r="2" spans="1:12" ht="12.75" customHeight="1" x14ac:dyDescent="0.2">
      <c r="B2" s="2498">
        <f>'Single Audit Cover'!E7</f>
        <v>28006103022</v>
      </c>
      <c r="C2" s="2498"/>
      <c r="D2" s="2498"/>
      <c r="E2" s="2498"/>
      <c r="F2" s="2498"/>
      <c r="G2" s="2498"/>
      <c r="H2" s="2498"/>
      <c r="I2" s="2498"/>
      <c r="J2" s="2498"/>
      <c r="K2" s="2498"/>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7"/>
      <c r="G12" s="2477"/>
      <c r="H12" s="2477"/>
      <c r="I12" s="2477"/>
      <c r="J12" s="2477"/>
      <c r="K12" s="247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0" t="str">
        <f>'Single Audit Cover'!A7</f>
        <v>DePue CUSD 103</v>
      </c>
      <c r="C1" s="2470"/>
      <c r="D1" s="2470"/>
      <c r="E1" s="1491"/>
    </row>
    <row r="2" spans="2:5" s="1282" customFormat="1" ht="12.75" customHeight="1" x14ac:dyDescent="0.2">
      <c r="B2" s="2472">
        <f>'Single Audit Cover'!E7</f>
        <v>28006103022</v>
      </c>
      <c r="C2" s="2472"/>
      <c r="D2" s="2472"/>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404</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8000378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2.4E-2</v>
      </c>
      <c r="E10" s="356" t="s">
        <v>1062</v>
      </c>
      <c r="F10" s="355">
        <v>4.7499999999999999E-3</v>
      </c>
      <c r="G10" s="356" t="s">
        <v>1062</v>
      </c>
      <c r="H10" s="355">
        <v>2E-3</v>
      </c>
      <c r="I10" s="356" t="s">
        <v>1063</v>
      </c>
      <c r="J10" s="1754">
        <f>ROUND(D10+F10+H10,5)</f>
        <v>3.075E-2</v>
      </c>
      <c r="K10" s="222"/>
      <c r="L10" s="355">
        <v>4.9819999999999997E-4</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4217230</v>
      </c>
      <c r="E16" s="356"/>
      <c r="F16" s="1755">
        <f>SUM('Acct Summary 7-8'!C17,'Acct Summary 7-8'!D17,'Acct Summary 7-8'!F17)</f>
        <v>4085587</v>
      </c>
      <c r="G16" s="356"/>
      <c r="H16" s="1755">
        <f>SUM(D16-F16)</f>
        <v>131643</v>
      </c>
      <c r="I16" s="222"/>
      <c r="J16" s="1755">
        <f>SUM('Acct Summary 7-8'!C81,'Acct Summary 7-8'!D81,'Acct Summary 7-8'!F81,'Acct Summary 7-8'!I81)</f>
        <v>720173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1104052.1640000001</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241640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577</v>
      </c>
      <c r="B2" s="2118"/>
      <c r="C2" s="2118"/>
      <c r="D2" s="2118"/>
      <c r="E2" s="2118"/>
      <c r="F2" s="2118"/>
      <c r="G2" s="2118"/>
      <c r="H2" s="2118"/>
      <c r="I2" s="2118"/>
      <c r="J2" s="2118"/>
      <c r="K2" s="2118"/>
      <c r="L2" s="2118"/>
      <c r="M2" s="2118"/>
      <c r="N2" s="2118"/>
      <c r="O2" s="2118"/>
      <c r="P2" s="2118"/>
      <c r="Q2" s="2118"/>
      <c r="R2" s="2118"/>
    </row>
    <row r="3" spans="1:18" ht="12.75" x14ac:dyDescent="0.2">
      <c r="A3" s="2119" t="s">
        <v>1480</v>
      </c>
      <c r="B3" s="2119"/>
      <c r="C3" s="2119"/>
      <c r="D3" s="2119"/>
      <c r="E3" s="2119"/>
      <c r="F3" s="2119"/>
      <c r="G3" s="2119"/>
      <c r="H3" s="2119"/>
      <c r="I3" s="2119"/>
      <c r="J3" s="2119"/>
      <c r="K3" s="2119"/>
      <c r="L3" s="2119"/>
      <c r="M3" s="2119"/>
      <c r="N3" s="2119"/>
      <c r="O3" s="2119"/>
      <c r="P3" s="2119"/>
      <c r="Q3" s="2119"/>
      <c r="R3" s="2119"/>
    </row>
    <row r="4" spans="1:18" x14ac:dyDescent="0.2">
      <c r="A4" s="2120" t="s">
        <v>1635</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DePue CUSD 103</v>
      </c>
      <c r="E7" s="391"/>
      <c r="G7" s="252"/>
      <c r="H7" s="387"/>
      <c r="I7" s="387"/>
      <c r="J7" s="387"/>
      <c r="K7" s="387"/>
      <c r="L7" s="329"/>
      <c r="M7" s="329"/>
      <c r="N7" s="329"/>
      <c r="O7" s="329"/>
      <c r="P7" s="329"/>
    </row>
    <row r="8" spans="1:18" ht="12.75" x14ac:dyDescent="0.2">
      <c r="A8" s="329"/>
      <c r="B8" s="329"/>
      <c r="C8" s="389" t="s">
        <v>1187</v>
      </c>
      <c r="D8" s="392">
        <f>COVER!A13</f>
        <v>28006103022</v>
      </c>
      <c r="E8" s="393"/>
      <c r="G8" s="329"/>
      <c r="H8" s="329"/>
      <c r="I8" s="329"/>
      <c r="J8" s="329"/>
      <c r="K8" s="329"/>
      <c r="L8" s="329"/>
      <c r="M8" s="329"/>
      <c r="N8" s="329"/>
      <c r="O8" s="329"/>
      <c r="P8" s="329"/>
    </row>
    <row r="9" spans="1:18" ht="12.75" x14ac:dyDescent="0.2">
      <c r="A9" s="329"/>
      <c r="B9" s="329"/>
      <c r="C9" s="389" t="s">
        <v>737</v>
      </c>
      <c r="D9" s="394" t="str">
        <f>COVER!A15</f>
        <v>Bureau</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720173</v>
      </c>
      <c r="I12" s="404"/>
      <c r="J12" s="404"/>
      <c r="K12" s="405">
        <f>TRUNC((H12/H13*100000),5)/100000</f>
        <v>0.17189454600000001</v>
      </c>
      <c r="L12" s="406"/>
      <c r="M12" s="360" t="s">
        <v>1206</v>
      </c>
      <c r="N12" s="360"/>
      <c r="O12" s="407">
        <v>0.35</v>
      </c>
      <c r="P12" s="218"/>
      <c r="Q12" s="218"/>
    </row>
    <row r="13" spans="1:18" s="408" customFormat="1" ht="12.75" x14ac:dyDescent="0.2">
      <c r="A13" s="218"/>
      <c r="B13" s="401"/>
      <c r="C13" s="2116" t="s">
        <v>1391</v>
      </c>
      <c r="D13" s="2117"/>
      <c r="E13" s="218"/>
      <c r="F13" s="409" t="s">
        <v>826</v>
      </c>
      <c r="G13" s="402"/>
      <c r="H13" s="403">
        <f>SUM('Acct Summary 7-8'!C8+'Acct Summary 7-8'!D8+'Acct Summary 7-8'!F8+'Acct Summary 7-8'!I8)+H14</f>
        <v>4189621</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-27609</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4085587</v>
      </c>
      <c r="I17" s="404"/>
      <c r="J17" s="416"/>
      <c r="K17" s="405">
        <f>TRUNC((H17/H18*100000),5)/100000</f>
        <v>0.9751686369</v>
      </c>
      <c r="L17" s="406"/>
      <c r="M17" s="417" t="s">
        <v>1233</v>
      </c>
      <c r="O17" s="418" t="str">
        <f>IF(AND(O16="2", J20 &gt; 2),"1",IF(AND(O16 = "1", J20 &gt; 2),"2",IF(AND(O16="1", J20 &gt;1),"1","0")))</f>
        <v>0</v>
      </c>
      <c r="P17" s="218"/>
    </row>
    <row r="18" spans="1:18" s="408" customFormat="1" ht="11.25" x14ac:dyDescent="0.2">
      <c r="A18" s="218"/>
      <c r="B18" s="401"/>
      <c r="C18" s="2116" t="s">
        <v>1384</v>
      </c>
      <c r="D18" s="2117"/>
      <c r="E18" s="218"/>
      <c r="F18" s="419" t="s">
        <v>827</v>
      </c>
      <c r="G18" s="402"/>
      <c r="H18" s="403">
        <f>SUM('Acct Summary 7-8'!C8+'Acct Summary 7-8'!D8+'Acct Summary 7-8'!F8+'Acct Summary 7-8'!I8)+H19</f>
        <v>4189621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-27609</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3" t="s">
        <v>1479</v>
      </c>
      <c r="D24" s="2113"/>
      <c r="E24" s="218"/>
      <c r="F24" s="218" t="s">
        <v>465</v>
      </c>
      <c r="G24" s="402"/>
      <c r="H24" s="403">
        <f>SUM('Assets-Liab 5-6'!C4+'Assets-Liab 5-6'!D4+'Assets-Liab 5-6'!F4+'Assets-Liab 5-6'!I4+'Assets-Liab 5-6'!C5+'Assets-Liab 5-6'!D5+'Assets-Liab 5-6'!F5+'Assets-Liab 5-6'!I5)</f>
        <v>720173</v>
      </c>
      <c r="I24" s="422"/>
      <c r="J24" s="422"/>
      <c r="K24" s="423">
        <f>TRUNC(((H24/H25*100000)/100000),2)</f>
        <v>63.45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11348.852779999999</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209109.87998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241640</v>
      </c>
      <c r="I32" s="420"/>
      <c r="J32" s="420"/>
      <c r="K32" s="423">
        <f>TRUNC(100-((((H32/H33*100))*100)/100),2)</f>
        <v>78.11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1104052.1640000001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3.4499999999999997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5" activePane="bottomLeft" state="frozen"/>
      <selection activeCell="A47" sqref="A47"/>
      <selection pane="bottomLeft" activeCell="C40" sqref="C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3" t="s">
        <v>1030</v>
      </c>
      <c r="B3" s="2124"/>
      <c r="C3" s="1581"/>
      <c r="D3" s="1582"/>
      <c r="E3" s="1582"/>
      <c r="F3" s="1582"/>
      <c r="G3" s="1582"/>
      <c r="H3" s="1582"/>
      <c r="I3" s="1582"/>
      <c r="J3" s="1582"/>
      <c r="K3" s="1582"/>
      <c r="L3" s="1582"/>
      <c r="M3" s="1583"/>
      <c r="N3" s="1584"/>
    </row>
    <row r="4" spans="1:14" ht="13.5" customHeight="1" x14ac:dyDescent="0.2">
      <c r="A4" s="463" t="s">
        <v>1750</v>
      </c>
      <c r="B4" s="464"/>
      <c r="C4" s="465">
        <v>654680</v>
      </c>
      <c r="D4" s="466">
        <v>47134</v>
      </c>
      <c r="E4" s="466">
        <v>441</v>
      </c>
      <c r="F4" s="466">
        <v>14751</v>
      </c>
      <c r="G4" s="466">
        <v>192765</v>
      </c>
      <c r="H4" s="466"/>
      <c r="I4" s="466">
        <v>3608</v>
      </c>
      <c r="J4" s="467">
        <v>56693</v>
      </c>
      <c r="K4" s="466">
        <v>1775</v>
      </c>
      <c r="L4" s="466">
        <v>44165</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654680</v>
      </c>
      <c r="D13" s="1759">
        <f t="shared" ref="D13:L13" si="0">SUM(D4:D12)</f>
        <v>47134</v>
      </c>
      <c r="E13" s="1759">
        <f t="shared" si="0"/>
        <v>441</v>
      </c>
      <c r="F13" s="1759">
        <f t="shared" si="0"/>
        <v>14751</v>
      </c>
      <c r="G13" s="1759">
        <f t="shared" si="0"/>
        <v>192765</v>
      </c>
      <c r="H13" s="1759">
        <f t="shared" si="0"/>
        <v>0</v>
      </c>
      <c r="I13" s="1759">
        <f t="shared" si="0"/>
        <v>3608</v>
      </c>
      <c r="J13" s="1759">
        <f t="shared" si="0"/>
        <v>56693</v>
      </c>
      <c r="K13" s="1759">
        <f t="shared" si="0"/>
        <v>1775</v>
      </c>
      <c r="L13" s="1759">
        <f t="shared" si="0"/>
        <v>44165</v>
      </c>
      <c r="M13" s="468"/>
      <c r="N13" s="469"/>
    </row>
    <row r="14" spans="1:14" ht="18" customHeight="1" thickTop="1" x14ac:dyDescent="0.2">
      <c r="A14" s="2125" t="s">
        <v>149</v>
      </c>
      <c r="B14" s="2126"/>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99312</v>
      </c>
      <c r="N16" s="484"/>
    </row>
    <row r="17" spans="1:14" s="485" customFormat="1" ht="12.75" customHeight="1" x14ac:dyDescent="0.2">
      <c r="A17" s="482" t="s">
        <v>1470</v>
      </c>
      <c r="B17" s="483">
        <v>230</v>
      </c>
      <c r="C17" s="477"/>
      <c r="D17" s="477"/>
      <c r="E17" s="477"/>
      <c r="F17" s="477"/>
      <c r="G17" s="477"/>
      <c r="H17" s="477"/>
      <c r="I17" s="477"/>
      <c r="J17" s="477"/>
      <c r="K17" s="477"/>
      <c r="L17" s="477"/>
      <c r="M17" s="467">
        <v>2246964</v>
      </c>
      <c r="N17" s="484"/>
    </row>
    <row r="18" spans="1:14" s="485" customFormat="1" ht="12.75" customHeight="1" x14ac:dyDescent="0.2">
      <c r="A18" s="482" t="s">
        <v>1471</v>
      </c>
      <c r="B18" s="483">
        <v>240</v>
      </c>
      <c r="C18" s="477"/>
      <c r="D18" s="477"/>
      <c r="E18" s="477"/>
      <c r="F18" s="477"/>
      <c r="G18" s="477"/>
      <c r="H18" s="477"/>
      <c r="I18" s="477"/>
      <c r="J18" s="477"/>
      <c r="K18" s="477"/>
      <c r="L18" s="477"/>
      <c r="M18" s="467">
        <v>176024</v>
      </c>
      <c r="N18" s="484"/>
    </row>
    <row r="19" spans="1:14" s="485" customFormat="1" ht="12.75" customHeight="1" x14ac:dyDescent="0.2">
      <c r="A19" s="482" t="s">
        <v>1472</v>
      </c>
      <c r="B19" s="483">
        <v>250</v>
      </c>
      <c r="C19" s="477"/>
      <c r="D19" s="477"/>
      <c r="E19" s="477"/>
      <c r="F19" s="477"/>
      <c r="G19" s="477"/>
      <c r="H19" s="477"/>
      <c r="I19" s="477"/>
      <c r="J19" s="477"/>
      <c r="K19" s="477"/>
      <c r="L19" s="477"/>
      <c r="M19" s="467">
        <v>1796432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441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241199</v>
      </c>
    </row>
    <row r="23" spans="1:14" ht="13.5" customHeight="1" thickBot="1" x14ac:dyDescent="0.25">
      <c r="A23" s="1758" t="s">
        <v>664</v>
      </c>
      <c r="B23" s="1763"/>
      <c r="C23" s="468"/>
      <c r="D23" s="468"/>
      <c r="E23" s="468"/>
      <c r="F23" s="468"/>
      <c r="G23" s="468"/>
      <c r="H23" s="468"/>
      <c r="I23" s="468"/>
      <c r="J23" s="468"/>
      <c r="K23" s="468"/>
      <c r="L23" s="468"/>
      <c r="M23" s="1710">
        <f>SUM(M15:M22)</f>
        <v>4318732</v>
      </c>
      <c r="N23" s="1710">
        <f>SUM(N21:N22)</f>
        <v>241640</v>
      </c>
    </row>
    <row r="24" spans="1:14" ht="18" customHeight="1" thickTop="1" x14ac:dyDescent="0.2">
      <c r="A24" s="2127" t="s">
        <v>619</v>
      </c>
      <c r="B24" s="2128"/>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44165</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44165</v>
      </c>
      <c r="M34" s="468"/>
      <c r="N34" s="480"/>
    </row>
    <row r="35" spans="1:14" ht="18" customHeight="1" thickTop="1" x14ac:dyDescent="0.2">
      <c r="A35" s="2129" t="s">
        <v>550</v>
      </c>
      <c r="B35" s="2130"/>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241640</v>
      </c>
    </row>
    <row r="37" spans="1:14" ht="13.5" thickBot="1" x14ac:dyDescent="0.25">
      <c r="A37" s="1758" t="s">
        <v>674</v>
      </c>
      <c r="B37" s="1763"/>
      <c r="C37" s="477"/>
      <c r="D37" s="477"/>
      <c r="E37" s="477"/>
      <c r="F37" s="477"/>
      <c r="G37" s="477"/>
      <c r="H37" s="477"/>
      <c r="I37" s="477"/>
      <c r="J37" s="477"/>
      <c r="K37" s="477"/>
      <c r="L37" s="480"/>
      <c r="M37" s="468"/>
      <c r="N37" s="1710">
        <f>SUM(N36:N36)</f>
        <v>241640</v>
      </c>
    </row>
    <row r="38" spans="1:14" s="329" customFormat="1" ht="13.5" customHeight="1" thickTop="1" x14ac:dyDescent="0.2">
      <c r="A38" s="496" t="s">
        <v>440</v>
      </c>
      <c r="B38" s="483">
        <v>714</v>
      </c>
      <c r="C38" s="466">
        <v>297820</v>
      </c>
      <c r="D38" s="466"/>
      <c r="E38" s="466"/>
      <c r="F38" s="466"/>
      <c r="G38" s="466">
        <v>66659</v>
      </c>
      <c r="H38" s="466"/>
      <c r="I38" s="466"/>
      <c r="J38" s="467">
        <v>56693</v>
      </c>
      <c r="K38" s="466"/>
      <c r="L38" s="481"/>
      <c r="M38" s="497"/>
      <c r="N38" s="497"/>
    </row>
    <row r="39" spans="1:14" s="329" customFormat="1" ht="13.5" customHeight="1" x14ac:dyDescent="0.2">
      <c r="A39" s="496" t="s">
        <v>360</v>
      </c>
      <c r="B39" s="483">
        <v>730</v>
      </c>
      <c r="C39" s="466">
        <f>654680-297820</f>
        <v>356860</v>
      </c>
      <c r="D39" s="466">
        <v>47134</v>
      </c>
      <c r="E39" s="466">
        <v>441</v>
      </c>
      <c r="F39" s="466">
        <v>14751</v>
      </c>
      <c r="G39" s="466">
        <f>-66659+192765</f>
        <v>126106</v>
      </c>
      <c r="H39" s="466"/>
      <c r="I39" s="466">
        <v>3608</v>
      </c>
      <c r="J39" s="467"/>
      <c r="K39" s="466">
        <v>1775</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4318732</v>
      </c>
      <c r="N40" s="497"/>
    </row>
    <row r="41" spans="1:14" ht="13.5" customHeight="1" thickBot="1" x14ac:dyDescent="0.25">
      <c r="A41" s="1758" t="s">
        <v>676</v>
      </c>
      <c r="B41" s="1728"/>
      <c r="C41" s="1710">
        <f>(SUM(C34,C37,C38,C39))</f>
        <v>654680</v>
      </c>
      <c r="D41" s="1710">
        <f t="shared" ref="D41:L41" si="2">SUM(D34,D37,D38:D39)</f>
        <v>47134</v>
      </c>
      <c r="E41" s="1710">
        <f t="shared" si="2"/>
        <v>441</v>
      </c>
      <c r="F41" s="1710">
        <f t="shared" si="2"/>
        <v>14751</v>
      </c>
      <c r="G41" s="1710">
        <f t="shared" si="2"/>
        <v>192765</v>
      </c>
      <c r="H41" s="1710">
        <f t="shared" si="2"/>
        <v>0</v>
      </c>
      <c r="I41" s="1710">
        <f t="shared" si="2"/>
        <v>3608</v>
      </c>
      <c r="J41" s="1710">
        <f t="shared" si="2"/>
        <v>56693</v>
      </c>
      <c r="K41" s="1710">
        <f t="shared" si="2"/>
        <v>1775</v>
      </c>
      <c r="L41" s="1710">
        <f t="shared" si="2"/>
        <v>44165</v>
      </c>
      <c r="M41" s="1710">
        <f>SUM(M40)</f>
        <v>4318732</v>
      </c>
      <c r="N41" s="1710">
        <f>SUM(N37)</f>
        <v>241640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BreakPreview" colorId="8" zoomScaleNormal="110" zoomScaleSheetLayoutView="100" workbookViewId="0">
      <pane ySplit="2" topLeftCell="A61"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9" t="s">
        <v>1237</v>
      </c>
      <c r="B3" s="2150"/>
      <c r="C3" s="1595"/>
      <c r="D3" s="1596"/>
      <c r="E3" s="1596"/>
      <c r="F3" s="1596"/>
      <c r="G3" s="1596"/>
      <c r="H3" s="1596"/>
      <c r="I3" s="1596"/>
      <c r="J3" s="1596"/>
      <c r="K3" s="1597"/>
      <c r="L3" s="506"/>
    </row>
    <row r="4" spans="1:13" ht="15.75" customHeight="1" x14ac:dyDescent="0.2">
      <c r="A4" s="2151" t="s">
        <v>1579</v>
      </c>
      <c r="B4" s="2152"/>
      <c r="C4" s="1764">
        <f>'Revenues 9-14'!C109</f>
        <v>312713</v>
      </c>
      <c r="D4" s="1764">
        <f>'Revenues 9-14'!D109</f>
        <v>37889</v>
      </c>
      <c r="E4" s="1764">
        <f>'Revenues 9-14'!E109</f>
        <v>38039</v>
      </c>
      <c r="F4" s="1764">
        <f>'Revenues 9-14'!F109</f>
        <v>14612</v>
      </c>
      <c r="G4" s="1764">
        <f>'Revenues 9-14'!G109</f>
        <v>155984</v>
      </c>
      <c r="H4" s="1764">
        <f>'Revenues 9-14'!H109</f>
        <v>0</v>
      </c>
      <c r="I4" s="1764">
        <f>'Revenues 9-14'!I109</f>
        <v>3608</v>
      </c>
      <c r="J4" s="1764">
        <f>'Revenues 9-14'!J109</f>
        <v>80526</v>
      </c>
      <c r="K4" s="1764">
        <f>'Revenues 9-14'!K109</f>
        <v>3608</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2908028</v>
      </c>
      <c r="D6" s="1765">
        <f>'Revenues 9-14'!D173</f>
        <v>305000</v>
      </c>
      <c r="E6" s="1765">
        <f>'Revenues 9-14'!E173</f>
        <v>1000</v>
      </c>
      <c r="F6" s="1765">
        <f>'Revenues 9-14'!F173</f>
        <v>177792</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457588</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3678329</v>
      </c>
      <c r="D8" s="1710">
        <f t="shared" ref="D8:K8" si="0">SUM(D4:D7)</f>
        <v>342889</v>
      </c>
      <c r="E8" s="1710">
        <f t="shared" si="0"/>
        <v>39039</v>
      </c>
      <c r="F8" s="1710">
        <f t="shared" si="0"/>
        <v>192404</v>
      </c>
      <c r="G8" s="1710">
        <f t="shared" si="0"/>
        <v>155984</v>
      </c>
      <c r="H8" s="1710">
        <f t="shared" si="0"/>
        <v>0</v>
      </c>
      <c r="I8" s="1710">
        <f t="shared" si="0"/>
        <v>3608</v>
      </c>
      <c r="J8" s="1710">
        <f t="shared" si="0"/>
        <v>80526</v>
      </c>
      <c r="K8" s="1710">
        <f t="shared" si="0"/>
        <v>3608</v>
      </c>
      <c r="L8" s="347"/>
    </row>
    <row r="9" spans="1:13" ht="15.75" thickTop="1" x14ac:dyDescent="0.2">
      <c r="A9" s="514" t="s">
        <v>1752</v>
      </c>
      <c r="B9" s="515">
        <v>3998</v>
      </c>
      <c r="C9" s="481">
        <f>1522486+25701</f>
        <v>1548187</v>
      </c>
      <c r="D9" s="516"/>
      <c r="E9" s="481"/>
      <c r="F9" s="481"/>
      <c r="G9" s="517"/>
      <c r="H9" s="481"/>
      <c r="I9" s="509" t="s">
        <v>1231</v>
      </c>
      <c r="J9" s="478"/>
      <c r="K9" s="481"/>
      <c r="L9" s="347"/>
    </row>
    <row r="10" spans="1:13" s="519" customFormat="1" ht="13.5" thickBot="1" x14ac:dyDescent="0.25">
      <c r="A10" s="1758" t="s">
        <v>1235</v>
      </c>
      <c r="B10" s="1731"/>
      <c r="C10" s="1710">
        <f>SUM(C8:C9)</f>
        <v>5226516</v>
      </c>
      <c r="D10" s="1710">
        <f t="shared" ref="D10:K10" si="1">SUM(D8:D9)</f>
        <v>342889</v>
      </c>
      <c r="E10" s="1710">
        <f t="shared" si="1"/>
        <v>39039</v>
      </c>
      <c r="F10" s="1710">
        <f t="shared" si="1"/>
        <v>192404</v>
      </c>
      <c r="G10" s="1710">
        <f t="shared" si="1"/>
        <v>155984</v>
      </c>
      <c r="H10" s="1710">
        <f t="shared" si="1"/>
        <v>0</v>
      </c>
      <c r="I10" s="1710">
        <f t="shared" si="1"/>
        <v>3608</v>
      </c>
      <c r="J10" s="1710">
        <f t="shared" si="1"/>
        <v>80526</v>
      </c>
      <c r="K10" s="1710">
        <f t="shared" si="1"/>
        <v>3608</v>
      </c>
      <c r="L10" s="518"/>
    </row>
    <row r="11" spans="1:13" s="519" customFormat="1" ht="16.7" customHeight="1" thickTop="1" x14ac:dyDescent="0.2">
      <c r="A11" s="2125" t="s">
        <v>1238</v>
      </c>
      <c r="B11" s="2126"/>
      <c r="C11" s="1592"/>
      <c r="D11" s="1593"/>
      <c r="E11" s="1593"/>
      <c r="F11" s="1593"/>
      <c r="G11" s="1593"/>
      <c r="H11" s="1593"/>
      <c r="I11" s="1593"/>
      <c r="J11" s="1593"/>
      <c r="K11" s="1594"/>
      <c r="L11" s="518"/>
    </row>
    <row r="12" spans="1:13" ht="15.75" customHeight="1" x14ac:dyDescent="0.2">
      <c r="A12" s="1598" t="s">
        <v>476</v>
      </c>
      <c r="B12" s="1600">
        <v>1000</v>
      </c>
      <c r="C12" s="1764">
        <f>'Expenditures 15-22'!K33</f>
        <v>2572458</v>
      </c>
      <c r="D12" s="520" t="s">
        <v>1231</v>
      </c>
      <c r="E12" s="468" t="s">
        <v>1231</v>
      </c>
      <c r="F12" s="468" t="s">
        <v>1231</v>
      </c>
      <c r="G12" s="1764">
        <f>'Expenditures 15-22'!K229</f>
        <v>63290</v>
      </c>
      <c r="H12" s="521"/>
      <c r="I12" s="468" t="s">
        <v>1231</v>
      </c>
      <c r="J12" s="468" t="s">
        <v>1231</v>
      </c>
      <c r="K12" s="521" t="s">
        <v>1231</v>
      </c>
      <c r="L12" s="347"/>
    </row>
    <row r="13" spans="1:13" ht="15.75" customHeight="1" x14ac:dyDescent="0.2">
      <c r="A13" s="1598" t="s">
        <v>477</v>
      </c>
      <c r="B13" s="1600">
        <v>2000</v>
      </c>
      <c r="C13" s="1765">
        <f>'Expenditures 15-22'!K74</f>
        <v>762860</v>
      </c>
      <c r="D13" s="1765">
        <f>'Expenditures 15-22'!K129</f>
        <v>288783</v>
      </c>
      <c r="E13" s="469" t="s">
        <v>1231</v>
      </c>
      <c r="F13" s="1765">
        <f>'Expenditures 15-22'!K184</f>
        <v>183152</v>
      </c>
      <c r="G13" s="1765">
        <f>'Expenditures 15-22'!K279</f>
        <v>62796</v>
      </c>
      <c r="H13" s="1765">
        <f>'Expenditures 15-22'!K303</f>
        <v>0</v>
      </c>
      <c r="I13" s="468" t="s">
        <v>1231</v>
      </c>
      <c r="J13" s="1765">
        <f>'Expenditures 15-22'!K330</f>
        <v>115346</v>
      </c>
      <c r="K13" s="1769">
        <f>'Expenditures 15-22'!K352</f>
        <v>1833</v>
      </c>
      <c r="L13" s="347"/>
    </row>
    <row r="14" spans="1:13" ht="15.75" customHeight="1" x14ac:dyDescent="0.2">
      <c r="A14" s="1598" t="s">
        <v>469</v>
      </c>
      <c r="B14" s="1600">
        <v>3000</v>
      </c>
      <c r="C14" s="1765">
        <f>'Expenditures 15-22'!K75</f>
        <v>44013</v>
      </c>
      <c r="D14" s="1765">
        <f>'Expenditures 15-22'!K130</f>
        <v>0</v>
      </c>
      <c r="E14" s="520" t="s">
        <v>1231</v>
      </c>
      <c r="F14" s="1765">
        <f>'Expenditures 15-22'!K185</f>
        <v>0</v>
      </c>
      <c r="G14" s="1765">
        <f>'Expenditures 15-22'!K280</f>
        <v>6138</v>
      </c>
      <c r="H14" s="512"/>
      <c r="I14" s="468" t="s">
        <v>1231</v>
      </c>
      <c r="J14" s="468" t="s">
        <v>1231</v>
      </c>
      <c r="K14" s="512" t="s">
        <v>1231</v>
      </c>
      <c r="L14" s="347"/>
    </row>
    <row r="15" spans="1:13" ht="15.75" customHeight="1" x14ac:dyDescent="0.2">
      <c r="A15" s="1598" t="s">
        <v>109</v>
      </c>
      <c r="B15" s="1600">
        <v>4000</v>
      </c>
      <c r="C15" s="1765">
        <f>'Expenditures 15-22'!K102</f>
        <v>234321</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68364</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3613652</v>
      </c>
      <c r="D17" s="1710">
        <f t="shared" si="2"/>
        <v>288783</v>
      </c>
      <c r="E17" s="1710">
        <f t="shared" si="2"/>
        <v>68364</v>
      </c>
      <c r="F17" s="1710">
        <f t="shared" si="2"/>
        <v>183152</v>
      </c>
      <c r="G17" s="1710">
        <f t="shared" si="2"/>
        <v>132224</v>
      </c>
      <c r="H17" s="1710">
        <f t="shared" si="2"/>
        <v>0</v>
      </c>
      <c r="I17" s="468"/>
      <c r="J17" s="1710">
        <f>SUM(J12:J16)</f>
        <v>115346</v>
      </c>
      <c r="K17" s="1710">
        <f>SUM(K12:K16)</f>
        <v>1833</v>
      </c>
      <c r="L17" s="347"/>
    </row>
    <row r="18" spans="1:12" ht="15" customHeight="1" thickTop="1" x14ac:dyDescent="0.2">
      <c r="A18" s="1766" t="s">
        <v>1753</v>
      </c>
      <c r="B18" s="1767">
        <v>4180</v>
      </c>
      <c r="C18" s="1764">
        <f t="shared" ref="C18:H18" si="3">C9</f>
        <v>1548187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5161839</v>
      </c>
      <c r="D19" s="1710">
        <f t="shared" si="4"/>
        <v>288783</v>
      </c>
      <c r="E19" s="1710">
        <f t="shared" si="4"/>
        <v>68364</v>
      </c>
      <c r="F19" s="1710">
        <f t="shared" si="4"/>
        <v>183152</v>
      </c>
      <c r="G19" s="1710">
        <f t="shared" si="4"/>
        <v>132224</v>
      </c>
      <c r="H19" s="1710">
        <f t="shared" si="4"/>
        <v>0</v>
      </c>
      <c r="I19" s="468"/>
      <c r="J19" s="1710">
        <f>SUM(J17:J18)</f>
        <v>115346</v>
      </c>
      <c r="K19" s="1710">
        <f>SUM(K17:K18)</f>
        <v>1833</v>
      </c>
      <c r="L19" s="347"/>
    </row>
    <row r="20" spans="1:12" ht="16.5" thickTop="1" thickBot="1" x14ac:dyDescent="0.25">
      <c r="A20" s="2139" t="s">
        <v>1754</v>
      </c>
      <c r="B20" s="2140"/>
      <c r="C20" s="1768">
        <f>C8-C17</f>
        <v>64677</v>
      </c>
      <c r="D20" s="1768">
        <f t="shared" ref="D20:K20" si="5">D8-D17</f>
        <v>54106</v>
      </c>
      <c r="E20" s="1768">
        <f t="shared" si="5"/>
        <v>-29325</v>
      </c>
      <c r="F20" s="1768">
        <f t="shared" si="5"/>
        <v>9252</v>
      </c>
      <c r="G20" s="1768">
        <f t="shared" si="5"/>
        <v>23760</v>
      </c>
      <c r="H20" s="1768">
        <f t="shared" si="5"/>
        <v>0</v>
      </c>
      <c r="I20" s="1768">
        <f t="shared" si="5"/>
        <v>3608</v>
      </c>
      <c r="J20" s="1768">
        <f t="shared" si="5"/>
        <v>-34820</v>
      </c>
      <c r="K20" s="1768">
        <f t="shared" si="5"/>
        <v>1775</v>
      </c>
      <c r="L20" s="347"/>
    </row>
    <row r="21" spans="1:12" ht="16.7" customHeight="1" thickTop="1" x14ac:dyDescent="0.2">
      <c r="A21" s="2153" t="s">
        <v>616</v>
      </c>
      <c r="B21" s="2154"/>
      <c r="C21" s="1592"/>
      <c r="D21" s="1593"/>
      <c r="E21" s="1593"/>
      <c r="F21" s="1593"/>
      <c r="G21" s="1593"/>
      <c r="H21" s="1593"/>
      <c r="I21" s="1593"/>
      <c r="J21" s="1593"/>
      <c r="K21" s="1594"/>
      <c r="L21" s="524"/>
    </row>
    <row r="22" spans="1:12" ht="15.75" customHeight="1" collapsed="1" x14ac:dyDescent="0.2">
      <c r="A22" s="2147" t="s">
        <v>617</v>
      </c>
      <c r="B22" s="2148"/>
      <c r="C22" s="477"/>
      <c r="D22" s="477"/>
      <c r="E22" s="477"/>
      <c r="F22" s="477"/>
      <c r="G22" s="477"/>
      <c r="H22" s="477"/>
      <c r="I22" s="477"/>
      <c r="J22" s="477"/>
      <c r="K22" s="477"/>
      <c r="L22" s="347"/>
    </row>
    <row r="23" spans="1:12" s="485" customFormat="1" ht="15.75" customHeight="1" x14ac:dyDescent="0.2">
      <c r="A23" s="2143" t="s">
        <v>311</v>
      </c>
      <c r="B23" s="2144"/>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5" t="s">
        <v>1038</v>
      </c>
      <c r="B32" s="2146"/>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21892</v>
      </c>
      <c r="F37" s="475"/>
      <c r="G37" s="475"/>
      <c r="H37" s="475"/>
      <c r="I37" s="477"/>
      <c r="J37" s="475"/>
      <c r="K37" s="475"/>
      <c r="L37" s="524"/>
    </row>
    <row r="38" spans="1:12" s="485" customFormat="1" x14ac:dyDescent="0.2">
      <c r="A38" s="1511" t="s">
        <v>462</v>
      </c>
      <c r="B38" s="525">
        <v>7500</v>
      </c>
      <c r="C38" s="477"/>
      <c r="D38" s="477"/>
      <c r="E38" s="1765">
        <f>SUM(C58:D61,H58:H61)</f>
        <v>5717</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5" t="s">
        <v>392</v>
      </c>
      <c r="B44" s="2156"/>
      <c r="C44" s="1725">
        <f>SUM(C24:C43)</f>
        <v>0</v>
      </c>
      <c r="D44" s="1725">
        <f t="shared" ref="D44:K44" si="6">SUM(D24:D43)</f>
        <v>0</v>
      </c>
      <c r="E44" s="1725">
        <f t="shared" si="6"/>
        <v>27609</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47" t="s">
        <v>110</v>
      </c>
      <c r="B45" s="2148"/>
      <c r="C45" s="528"/>
      <c r="D45" s="528"/>
      <c r="E45" s="528"/>
      <c r="F45" s="528"/>
      <c r="G45" s="528"/>
      <c r="H45" s="528"/>
      <c r="I45" s="528"/>
      <c r="J45" s="528"/>
      <c r="K45" s="528"/>
      <c r="L45" s="347"/>
    </row>
    <row r="46" spans="1:12" s="485" customFormat="1" ht="15.75" customHeight="1" x14ac:dyDescent="0.2">
      <c r="A46" s="2157" t="s">
        <v>111</v>
      </c>
      <c r="B46" s="2158"/>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v>3603</v>
      </c>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v>18289</v>
      </c>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v>5717</v>
      </c>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59" t="s">
        <v>460</v>
      </c>
      <c r="B76" s="2160"/>
      <c r="C76" s="1725">
        <f t="shared" ref="C76:K76" si="7">SUM(C47:C75)</f>
        <v>0</v>
      </c>
      <c r="D76" s="1725">
        <f t="shared" si="7"/>
        <v>27609</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1" t="s">
        <v>1239</v>
      </c>
      <c r="B77" s="2132"/>
      <c r="C77" s="1725">
        <f t="shared" ref="C77:K77" si="8">C44-C76</f>
        <v>0</v>
      </c>
      <c r="D77" s="1725">
        <f t="shared" si="8"/>
        <v>-27609</v>
      </c>
      <c r="E77" s="1725">
        <f t="shared" si="8"/>
        <v>27609</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5" t="s">
        <v>618</v>
      </c>
      <c r="B78" s="2136"/>
      <c r="C78" s="1724">
        <f t="shared" ref="C78:K78" si="9">C20+C77</f>
        <v>64677</v>
      </c>
      <c r="D78" s="1724">
        <f t="shared" si="9"/>
        <v>26497</v>
      </c>
      <c r="E78" s="1724">
        <f t="shared" si="9"/>
        <v>-1716</v>
      </c>
      <c r="F78" s="1724">
        <f t="shared" si="9"/>
        <v>9252</v>
      </c>
      <c r="G78" s="1724">
        <f t="shared" si="9"/>
        <v>23760</v>
      </c>
      <c r="H78" s="1724">
        <f t="shared" si="9"/>
        <v>0</v>
      </c>
      <c r="I78" s="1724">
        <f t="shared" si="9"/>
        <v>3608</v>
      </c>
      <c r="J78" s="1724">
        <f t="shared" si="9"/>
        <v>-34820</v>
      </c>
      <c r="K78" s="1724">
        <f t="shared" si="9"/>
        <v>1775</v>
      </c>
      <c r="L78" s="533"/>
    </row>
    <row r="79" spans="1:12" ht="13.5" thickTop="1" x14ac:dyDescent="0.2">
      <c r="A79" s="1516" t="s">
        <v>2073</v>
      </c>
      <c r="B79" s="534"/>
      <c r="C79" s="478">
        <v>590003</v>
      </c>
      <c r="D79" s="535">
        <v>20637</v>
      </c>
      <c r="E79" s="535">
        <v>2157</v>
      </c>
      <c r="F79" s="535">
        <v>5499</v>
      </c>
      <c r="G79" s="535">
        <v>169005</v>
      </c>
      <c r="H79" s="535"/>
      <c r="I79" s="535"/>
      <c r="J79" s="535">
        <v>91513</v>
      </c>
      <c r="K79" s="535">
        <v>0</v>
      </c>
      <c r="L79" s="347"/>
    </row>
    <row r="80" spans="1:12" x14ac:dyDescent="0.2">
      <c r="A80" s="2141" t="s">
        <v>1898</v>
      </c>
      <c r="B80" s="2142"/>
      <c r="C80" s="467"/>
      <c r="D80" s="467"/>
      <c r="E80" s="467"/>
      <c r="F80" s="467"/>
      <c r="G80" s="467"/>
      <c r="H80" s="467"/>
      <c r="I80" s="467"/>
      <c r="J80" s="467"/>
      <c r="K80" s="467"/>
      <c r="L80" s="347"/>
    </row>
    <row r="81" spans="1:12" ht="13.5" thickBot="1" x14ac:dyDescent="0.25">
      <c r="A81" s="2133" t="s">
        <v>2074</v>
      </c>
      <c r="B81" s="2134"/>
      <c r="C81" s="1710">
        <f>(SUM(C78:C80))</f>
        <v>654680</v>
      </c>
      <c r="D81" s="1710">
        <f>SUM(D78:D80)</f>
        <v>47134</v>
      </c>
      <c r="E81" s="1710">
        <f t="shared" ref="E81:K81" si="10">SUM(E78:E80)</f>
        <v>441</v>
      </c>
      <c r="F81" s="1710">
        <f t="shared" si="10"/>
        <v>14751</v>
      </c>
      <c r="G81" s="1710">
        <f t="shared" si="10"/>
        <v>192765</v>
      </c>
      <c r="H81" s="1710">
        <f t="shared" si="10"/>
        <v>0</v>
      </c>
      <c r="I81" s="1710">
        <f t="shared" si="10"/>
        <v>3608</v>
      </c>
      <c r="J81" s="1710">
        <f t="shared" si="10"/>
        <v>56693</v>
      </c>
      <c r="K81" s="1710">
        <f t="shared" si="10"/>
        <v>1775</v>
      </c>
      <c r="L81" s="347"/>
    </row>
    <row r="82" spans="1:12" ht="0.75" customHeight="1" thickTop="1" thickBot="1" x14ac:dyDescent="0.25">
      <c r="A82" s="536" t="s">
        <v>361</v>
      </c>
      <c r="B82" s="537"/>
      <c r="C82" s="538">
        <f>(C81-C79)</f>
        <v>64677</v>
      </c>
      <c r="D82" s="538">
        <f t="shared" ref="D82:K82" si="11">(D81-D79)</f>
        <v>26497</v>
      </c>
      <c r="E82" s="538">
        <f t="shared" si="11"/>
        <v>-1716</v>
      </c>
      <c r="F82" s="538">
        <f t="shared" si="11"/>
        <v>9252</v>
      </c>
      <c r="G82" s="538">
        <f t="shared" si="11"/>
        <v>23760</v>
      </c>
      <c r="H82" s="538">
        <f t="shared" si="11"/>
        <v>0</v>
      </c>
      <c r="I82" s="538">
        <f t="shared" si="11"/>
        <v>3608</v>
      </c>
      <c r="J82" s="538">
        <f t="shared" si="11"/>
        <v>-34820</v>
      </c>
      <c r="K82" s="538">
        <f t="shared" si="11"/>
        <v>1775</v>
      </c>
    </row>
    <row r="83" spans="1:12" ht="14.25" hidden="1" thickTop="1" thickBot="1" x14ac:dyDescent="0.25">
      <c r="A83" s="539" t="s">
        <v>362</v>
      </c>
      <c r="B83" s="464"/>
      <c r="C83" s="540">
        <f>C82/C81</f>
        <v>9.8791776134905598E-2</v>
      </c>
      <c r="D83" s="540">
        <f t="shared" ref="D83:K83" si="12">D82/D81</f>
        <v>0.56216319429711037</v>
      </c>
      <c r="E83" s="540">
        <f t="shared" si="12"/>
        <v>-3.8911564625850339</v>
      </c>
      <c r="F83" s="540">
        <f t="shared" si="12"/>
        <v>0.62721171446003665</v>
      </c>
      <c r="G83" s="540">
        <f t="shared" si="12"/>
        <v>0.12325889035872695</v>
      </c>
      <c r="H83" s="540" t="e">
        <f t="shared" si="12"/>
        <v>#DIV/0!</v>
      </c>
      <c r="I83" s="540">
        <f t="shared" si="12"/>
        <v>1</v>
      </c>
      <c r="J83" s="540">
        <f t="shared" si="12"/>
        <v>-0.61418517277265272</v>
      </c>
      <c r="K83" s="540">
        <f t="shared" si="12"/>
        <v>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7" t="s">
        <v>1905</v>
      </c>
      <c r="B1" s="452"/>
      <c r="C1" s="453" t="s">
        <v>445</v>
      </c>
      <c r="D1" s="453" t="s">
        <v>446</v>
      </c>
      <c r="E1" s="453" t="s">
        <v>447</v>
      </c>
      <c r="F1" s="453" t="s">
        <v>448</v>
      </c>
      <c r="G1" s="453" t="s">
        <v>449</v>
      </c>
      <c r="H1" s="453" t="s">
        <v>450</v>
      </c>
      <c r="I1" s="453" t="s">
        <v>451</v>
      </c>
      <c r="J1" s="453" t="s">
        <v>452</v>
      </c>
      <c r="K1" s="453" t="s">
        <v>780</v>
      </c>
    </row>
    <row r="2" spans="1:12" ht="36" x14ac:dyDescent="0.2">
      <c r="A2" s="213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172980</v>
      </c>
      <c r="D5" s="481">
        <v>34236</v>
      </c>
      <c r="E5" s="466">
        <v>37986</v>
      </c>
      <c r="F5" s="548">
        <v>14415</v>
      </c>
      <c r="G5" s="466">
        <v>75809</v>
      </c>
      <c r="H5" s="466"/>
      <c r="I5" s="466">
        <v>3603</v>
      </c>
      <c r="J5" s="467">
        <v>53603</v>
      </c>
      <c r="K5" s="466">
        <v>3603</v>
      </c>
    </row>
    <row r="6" spans="1:12" ht="15" x14ac:dyDescent="0.2">
      <c r="A6" s="463" t="s">
        <v>1761</v>
      </c>
      <c r="B6" s="470">
        <v>1130</v>
      </c>
      <c r="C6" s="466"/>
      <c r="D6" s="466">
        <v>3603</v>
      </c>
      <c r="E6" s="475"/>
      <c r="F6" s="475"/>
      <c r="G6" s="468"/>
      <c r="H6" s="468"/>
      <c r="I6" s="468"/>
      <c r="J6" s="468"/>
      <c r="K6" s="468"/>
    </row>
    <row r="7" spans="1:12" x14ac:dyDescent="0.2">
      <c r="A7" s="463" t="s">
        <v>112</v>
      </c>
      <c r="B7" s="549">
        <v>1140</v>
      </c>
      <c r="C7" s="466">
        <v>2883</v>
      </c>
      <c r="D7" s="466"/>
      <c r="E7" s="468"/>
      <c r="F7" s="467"/>
      <c r="G7" s="467"/>
      <c r="H7" s="467"/>
      <c r="I7" s="468"/>
      <c r="J7" s="468"/>
      <c r="K7" s="468"/>
    </row>
    <row r="8" spans="1:12" x14ac:dyDescent="0.2">
      <c r="A8" s="463" t="s">
        <v>433</v>
      </c>
      <c r="B8" s="470">
        <v>1150</v>
      </c>
      <c r="C8" s="475"/>
      <c r="D8" s="475"/>
      <c r="E8" s="477"/>
      <c r="F8" s="477"/>
      <c r="G8" s="481">
        <v>75809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v>26801</v>
      </c>
      <c r="K11" s="466"/>
      <c r="L11" s="552"/>
    </row>
    <row r="12" spans="1:12" ht="12.75" customHeight="1" thickBot="1" x14ac:dyDescent="0.25">
      <c r="A12" s="1727" t="s">
        <v>29</v>
      </c>
      <c r="B12" s="1728"/>
      <c r="C12" s="1729">
        <f t="shared" ref="C12:K12" si="0">SUM(C5:C11)</f>
        <v>175863</v>
      </c>
      <c r="D12" s="1729">
        <f t="shared" si="0"/>
        <v>37839</v>
      </c>
      <c r="E12" s="1729">
        <f t="shared" si="0"/>
        <v>37986</v>
      </c>
      <c r="F12" s="1729">
        <f t="shared" si="0"/>
        <v>14415</v>
      </c>
      <c r="G12" s="1729">
        <f t="shared" si="0"/>
        <v>151618</v>
      </c>
      <c r="H12" s="1729">
        <f t="shared" si="0"/>
        <v>0</v>
      </c>
      <c r="I12" s="1729">
        <f t="shared" si="0"/>
        <v>3603</v>
      </c>
      <c r="J12" s="1729">
        <f t="shared" si="0"/>
        <v>80404</v>
      </c>
      <c r="K12" s="1710">
        <f t="shared" si="0"/>
        <v>3603</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235</v>
      </c>
      <c r="D14" s="466">
        <v>50</v>
      </c>
      <c r="E14" s="466">
        <v>53</v>
      </c>
      <c r="F14" s="466">
        <v>19</v>
      </c>
      <c r="G14" s="466">
        <v>223</v>
      </c>
      <c r="H14" s="466"/>
      <c r="I14" s="466">
        <v>5</v>
      </c>
      <c r="J14" s="467">
        <v>122</v>
      </c>
      <c r="K14" s="466">
        <v>5</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71181</v>
      </c>
      <c r="D16" s="466"/>
      <c r="E16" s="466"/>
      <c r="F16" s="466"/>
      <c r="G16" s="466">
        <v>4143</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71416</v>
      </c>
      <c r="D18" s="1732">
        <f t="shared" ref="D18:K18" si="1">SUM(D14:D17)</f>
        <v>50</v>
      </c>
      <c r="E18" s="1732">
        <f t="shared" si="1"/>
        <v>53</v>
      </c>
      <c r="F18" s="1732">
        <f t="shared" si="1"/>
        <v>19</v>
      </c>
      <c r="G18" s="1732">
        <f t="shared" si="1"/>
        <v>4366</v>
      </c>
      <c r="H18" s="1732">
        <f t="shared" si="1"/>
        <v>0</v>
      </c>
      <c r="I18" s="1732">
        <f t="shared" si="1"/>
        <v>5</v>
      </c>
      <c r="J18" s="1732">
        <f t="shared" si="1"/>
        <v>122</v>
      </c>
      <c r="K18" s="1733">
        <f t="shared" si="1"/>
        <v>5</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850</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850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5955</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5955</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2244</v>
      </c>
      <c r="D73" s="468"/>
      <c r="E73" s="468"/>
      <c r="F73" s="468"/>
      <c r="G73" s="468"/>
      <c r="H73" s="468"/>
      <c r="I73" s="468"/>
      <c r="J73" s="468"/>
      <c r="K73" s="468"/>
    </row>
    <row r="74" spans="1:11" ht="12.75" customHeight="1" x14ac:dyDescent="0.2">
      <c r="A74" s="463" t="s">
        <v>25</v>
      </c>
      <c r="B74" s="470">
        <v>1690</v>
      </c>
      <c r="C74" s="551">
        <v>3560</v>
      </c>
      <c r="D74" s="468"/>
      <c r="E74" s="468"/>
      <c r="F74" s="468"/>
      <c r="G74" s="468"/>
      <c r="H74" s="468"/>
      <c r="I74" s="468"/>
      <c r="J74" s="468"/>
      <c r="K74" s="468"/>
    </row>
    <row r="75" spans="1:11" ht="12.75" customHeight="1" thickBot="1" x14ac:dyDescent="0.25">
      <c r="A75" s="1730" t="s">
        <v>569</v>
      </c>
      <c r="B75" s="1731"/>
      <c r="C75" s="1710">
        <f>SUM(C69:C74)</f>
        <v>5804</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8892</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2808</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11700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15672</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15672</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v>178</v>
      </c>
      <c r="G98" s="512"/>
      <c r="H98" s="512"/>
      <c r="I98" s="510"/>
      <c r="J98" s="512"/>
      <c r="K98" s="512"/>
    </row>
    <row r="99" spans="1:12" ht="12.75" customHeight="1" x14ac:dyDescent="0.2">
      <c r="A99" s="463" t="s">
        <v>875</v>
      </c>
      <c r="B99" s="470">
        <v>1950</v>
      </c>
      <c r="C99" s="489">
        <v>3573</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3800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18080</v>
      </c>
      <c r="D107" s="466"/>
      <c r="E107" s="466"/>
      <c r="F107" s="466"/>
      <c r="G107" s="466"/>
      <c r="H107" s="466"/>
      <c r="I107" s="466"/>
      <c r="J107" s="467"/>
      <c r="K107" s="466"/>
    </row>
    <row r="108" spans="1:12" ht="12.75" customHeight="1" thickBot="1" x14ac:dyDescent="0.25">
      <c r="A108" s="1730" t="s">
        <v>508</v>
      </c>
      <c r="B108" s="1734"/>
      <c r="C108" s="1729">
        <f>SUM(C95:C107)</f>
        <v>25453</v>
      </c>
      <c r="D108" s="1729">
        <f t="shared" ref="D108:K108" si="3">SUM(D95:D107)</f>
        <v>0</v>
      </c>
      <c r="E108" s="1729">
        <f t="shared" si="3"/>
        <v>0</v>
      </c>
      <c r="F108" s="1729">
        <f t="shared" si="3"/>
        <v>178</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312713</v>
      </c>
      <c r="D109" s="1737">
        <f t="shared" si="4"/>
        <v>37889</v>
      </c>
      <c r="E109" s="1737">
        <f t="shared" si="4"/>
        <v>38039</v>
      </c>
      <c r="F109" s="1737">
        <f t="shared" si="4"/>
        <v>14612</v>
      </c>
      <c r="G109" s="1737">
        <f t="shared" si="4"/>
        <v>155984</v>
      </c>
      <c r="H109" s="1737">
        <f t="shared" si="4"/>
        <v>0</v>
      </c>
      <c r="I109" s="1737">
        <f t="shared" si="4"/>
        <v>3608</v>
      </c>
      <c r="J109" s="1737">
        <f t="shared" si="4"/>
        <v>80526</v>
      </c>
      <c r="K109" s="1724">
        <f t="shared" si="4"/>
        <v>3608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2498043</v>
      </c>
      <c r="D117" s="481">
        <v>305000</v>
      </c>
      <c r="E117" s="466">
        <v>1000</v>
      </c>
      <c r="F117" s="481">
        <v>80000</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2498043</v>
      </c>
      <c r="D121" s="1729">
        <f t="shared" si="5"/>
        <v>305000</v>
      </c>
      <c r="E121" s="1729">
        <f t="shared" si="5"/>
        <v>1000</v>
      </c>
      <c r="F121" s="1729">
        <f t="shared" si="5"/>
        <v>80000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15697</v>
      </c>
      <c r="D124" s="561"/>
      <c r="E124" s="468"/>
      <c r="F124" s="548"/>
      <c r="G124" s="468"/>
      <c r="H124" s="468"/>
      <c r="I124" s="468"/>
      <c r="J124" s="468"/>
      <c r="K124" s="468"/>
    </row>
    <row r="125" spans="1:11" ht="12.75" customHeight="1" x14ac:dyDescent="0.2">
      <c r="A125" s="463" t="s">
        <v>1521</v>
      </c>
      <c r="B125" s="562">
        <v>3105</v>
      </c>
      <c r="C125" s="466">
        <v>28641</v>
      </c>
      <c r="D125" s="561"/>
      <c r="E125" s="468"/>
      <c r="F125" s="466"/>
      <c r="G125" s="468"/>
      <c r="H125" s="468"/>
      <c r="I125" s="468"/>
      <c r="J125" s="468"/>
      <c r="K125" s="468"/>
    </row>
    <row r="126" spans="1:11" ht="12.75" customHeight="1" x14ac:dyDescent="0.2">
      <c r="A126" s="463" t="s">
        <v>922</v>
      </c>
      <c r="B126" s="562">
        <v>3110</v>
      </c>
      <c r="C126" s="551">
        <v>50343</v>
      </c>
      <c r="D126" s="466"/>
      <c r="E126" s="468"/>
      <c r="F126" s="466"/>
      <c r="G126" s="468"/>
      <c r="H126" s="468"/>
      <c r="I126" s="468"/>
      <c r="J126" s="468"/>
      <c r="K126" s="468"/>
    </row>
    <row r="127" spans="1:11" ht="12.75" customHeight="1" x14ac:dyDescent="0.2">
      <c r="A127" s="463" t="s">
        <v>107</v>
      </c>
      <c r="B127" s="562">
        <v>3120</v>
      </c>
      <c r="C127" s="466">
        <v>6899</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101580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47794</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47794</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4609</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7629</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75198</v>
      </c>
      <c r="G151" s="467"/>
      <c r="H151" s="468"/>
      <c r="I151" s="468"/>
      <c r="J151" s="468"/>
      <c r="K151" s="468"/>
    </row>
    <row r="152" spans="1:11" ht="12.75" customHeight="1" x14ac:dyDescent="0.2">
      <c r="A152" s="463" t="s">
        <v>1117</v>
      </c>
      <c r="B152" s="562">
        <v>3510</v>
      </c>
      <c r="C152" s="551"/>
      <c r="D152" s="466"/>
      <c r="E152" s="561"/>
      <c r="F152" s="466">
        <v>22594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97792</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f>45700+169400</f>
        <v>215100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33273</v>
      </c>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409985</v>
      </c>
      <c r="D172" s="1744">
        <f t="shared" si="6"/>
        <v>0</v>
      </c>
      <c r="E172" s="1744">
        <f t="shared" si="6"/>
        <v>0</v>
      </c>
      <c r="F172" s="1744">
        <f t="shared" si="6"/>
        <v>97792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2908028</v>
      </c>
      <c r="D173" s="1737">
        <f>SUM(D121,D172)</f>
        <v>305000</v>
      </c>
      <c r="E173" s="1737">
        <f>SUM(E121,E172)</f>
        <v>1000</v>
      </c>
      <c r="F173" s="1737">
        <f t="shared" ref="F173:K173" si="7">SUM(F121,F172)</f>
        <v>177792</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13533</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13533</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197819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116162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313981</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52592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52592</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3582</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3582</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15736</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6280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10881</v>
      </c>
      <c r="D270" s="576"/>
      <c r="E270" s="468"/>
      <c r="F270" s="576"/>
      <c r="G270" s="576"/>
      <c r="H270" s="468"/>
      <c r="I270" s="468"/>
      <c r="J270" s="468"/>
      <c r="K270" s="468"/>
    </row>
    <row r="271" spans="1:11" ht="12.75" customHeight="1" thickTop="1" thickBot="1" x14ac:dyDescent="0.25">
      <c r="A271" s="463" t="s">
        <v>395</v>
      </c>
      <c r="B271" s="470">
        <v>4992</v>
      </c>
      <c r="C271" s="575">
        <v>32240</v>
      </c>
      <c r="D271" s="576"/>
      <c r="E271" s="468"/>
      <c r="F271" s="576"/>
      <c r="G271" s="576"/>
      <c r="H271" s="468"/>
      <c r="I271" s="468"/>
      <c r="J271" s="468"/>
      <c r="K271" s="468"/>
    </row>
    <row r="272" spans="1:11" s="594" customFormat="1" ht="12.75" customHeight="1" thickTop="1" thickBot="1" x14ac:dyDescent="0.25">
      <c r="A272" s="563" t="s">
        <v>77</v>
      </c>
      <c r="B272" s="557">
        <v>4999</v>
      </c>
      <c r="C272" s="575">
        <v>8763</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457588</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457588</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3678329</v>
      </c>
      <c r="D275" s="1737">
        <f t="shared" si="12"/>
        <v>342889</v>
      </c>
      <c r="E275" s="1737">
        <f t="shared" si="12"/>
        <v>39039</v>
      </c>
      <c r="F275" s="1737">
        <f t="shared" si="12"/>
        <v>192404</v>
      </c>
      <c r="G275" s="1737">
        <f t="shared" si="12"/>
        <v>155984</v>
      </c>
      <c r="H275" s="1737">
        <f t="shared" si="12"/>
        <v>0</v>
      </c>
      <c r="I275" s="1737">
        <f t="shared" si="12"/>
        <v>3608</v>
      </c>
      <c r="J275" s="1737">
        <f t="shared" si="12"/>
        <v>80526</v>
      </c>
      <c r="K275" s="1724">
        <f t="shared" si="12"/>
        <v>3608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60" zoomScaleNormal="110" workbookViewId="0">
      <pane ySplit="2" topLeftCell="A162" activePane="bottomLeft" state="frozen"/>
      <selection activeCell="A47" sqref="A47"/>
      <selection pane="bottomLeft" activeCell="H387" sqref="H38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7"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1456905</v>
      </c>
      <c r="D5" s="466">
        <v>212212</v>
      </c>
      <c r="E5" s="466">
        <v>6931</v>
      </c>
      <c r="F5" s="466">
        <v>31161</v>
      </c>
      <c r="G5" s="466"/>
      <c r="H5" s="466">
        <v>7812</v>
      </c>
      <c r="I5" s="467"/>
      <c r="J5" s="467"/>
      <c r="K5" s="1693">
        <f>SUM(C5:J5)</f>
        <v>1715021</v>
      </c>
      <c r="L5" s="466">
        <v>1485629</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90449</v>
      </c>
      <c r="D7" s="467">
        <v>10296</v>
      </c>
      <c r="E7" s="467">
        <v>1163</v>
      </c>
      <c r="F7" s="467">
        <v>1323</v>
      </c>
      <c r="G7" s="467"/>
      <c r="H7" s="467"/>
      <c r="I7" s="467"/>
      <c r="J7" s="467"/>
      <c r="K7" s="1693">
        <f t="shared" ref="K7:K32" si="0">SUM(C7:J7)</f>
        <v>103231</v>
      </c>
      <c r="L7" s="466">
        <v>192498</v>
      </c>
    </row>
    <row r="8" spans="1:14" x14ac:dyDescent="0.2">
      <c r="A8" s="1526" t="s">
        <v>166</v>
      </c>
      <c r="B8" s="615">
        <v>1200</v>
      </c>
      <c r="C8" s="466">
        <v>330020</v>
      </c>
      <c r="D8" s="466">
        <v>24169</v>
      </c>
      <c r="E8" s="466">
        <v>350</v>
      </c>
      <c r="F8" s="466">
        <v>336</v>
      </c>
      <c r="G8" s="466"/>
      <c r="H8" s="466"/>
      <c r="I8" s="467"/>
      <c r="J8" s="467"/>
      <c r="K8" s="1693">
        <f t="shared" si="0"/>
        <v>354875</v>
      </c>
      <c r="L8" s="466">
        <v>349978</v>
      </c>
    </row>
    <row r="9" spans="1:14" x14ac:dyDescent="0.2">
      <c r="A9" s="1526" t="s">
        <v>745</v>
      </c>
      <c r="B9" s="615" t="s">
        <v>1025</v>
      </c>
      <c r="C9" s="467">
        <v>28575</v>
      </c>
      <c r="D9" s="467">
        <v>4431</v>
      </c>
      <c r="E9" s="467"/>
      <c r="F9" s="467"/>
      <c r="G9" s="467"/>
      <c r="H9" s="467"/>
      <c r="I9" s="467"/>
      <c r="J9" s="467"/>
      <c r="K9" s="1693">
        <f t="shared" si="0"/>
        <v>33006</v>
      </c>
      <c r="L9" s="466">
        <v>30367</v>
      </c>
    </row>
    <row r="10" spans="1:14" x14ac:dyDescent="0.2">
      <c r="A10" s="1526" t="s">
        <v>746</v>
      </c>
      <c r="B10" s="615">
        <v>1250</v>
      </c>
      <c r="C10" s="466">
        <v>115957</v>
      </c>
      <c r="D10" s="466">
        <v>4837</v>
      </c>
      <c r="E10" s="466">
        <v>27975</v>
      </c>
      <c r="F10" s="466">
        <v>42951</v>
      </c>
      <c r="G10" s="466"/>
      <c r="H10" s="466"/>
      <c r="I10" s="467"/>
      <c r="J10" s="467"/>
      <c r="K10" s="1693">
        <f t="shared" si="0"/>
        <v>191720</v>
      </c>
      <c r="L10" s="466">
        <v>153852</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54699</v>
      </c>
      <c r="D14" s="466">
        <v>791</v>
      </c>
      <c r="E14" s="466">
        <v>8030</v>
      </c>
      <c r="F14" s="466">
        <v>12830</v>
      </c>
      <c r="G14" s="466"/>
      <c r="H14" s="466">
        <v>3397</v>
      </c>
      <c r="I14" s="467"/>
      <c r="J14" s="467"/>
      <c r="K14" s="1693">
        <f t="shared" si="0"/>
        <v>79747</v>
      </c>
      <c r="L14" s="466">
        <v>73429</v>
      </c>
    </row>
    <row r="15" spans="1:14" x14ac:dyDescent="0.2">
      <c r="A15" s="1526" t="s">
        <v>1021</v>
      </c>
      <c r="B15" s="615">
        <v>1600</v>
      </c>
      <c r="C15" s="466"/>
      <c r="D15" s="466"/>
      <c r="E15" s="466"/>
      <c r="F15" s="466"/>
      <c r="G15" s="466"/>
      <c r="H15" s="466"/>
      <c r="I15" s="467"/>
      <c r="J15" s="467"/>
      <c r="K15" s="1693">
        <f t="shared" si="0"/>
        <v>0</v>
      </c>
      <c r="L15" s="466">
        <v>10000</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18453</v>
      </c>
      <c r="D17" s="467">
        <v>29</v>
      </c>
      <c r="E17" s="467"/>
      <c r="F17" s="467"/>
      <c r="G17" s="467"/>
      <c r="H17" s="467"/>
      <c r="I17" s="467"/>
      <c r="J17" s="467"/>
      <c r="K17" s="1693">
        <f t="shared" si="0"/>
        <v>18482</v>
      </c>
      <c r="L17" s="466">
        <f>11173+500</f>
        <v>11673</v>
      </c>
    </row>
    <row r="18" spans="1:12" x14ac:dyDescent="0.2">
      <c r="A18" s="1526" t="s">
        <v>1148</v>
      </c>
      <c r="B18" s="615">
        <v>1800</v>
      </c>
      <c r="C18" s="466">
        <v>61223</v>
      </c>
      <c r="D18" s="466">
        <v>11136</v>
      </c>
      <c r="E18" s="466">
        <v>19</v>
      </c>
      <c r="F18" s="466">
        <v>93</v>
      </c>
      <c r="G18" s="466"/>
      <c r="H18" s="466"/>
      <c r="I18" s="467"/>
      <c r="J18" s="467"/>
      <c r="K18" s="1693">
        <f t="shared" si="0"/>
        <v>72471</v>
      </c>
      <c r="L18" s="466">
        <f>210631+50793+200+300</f>
        <v>261924</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3905</v>
      </c>
      <c r="I22" s="617"/>
      <c r="J22" s="477"/>
      <c r="K22" s="1693">
        <f t="shared" si="0"/>
        <v>3905</v>
      </c>
      <c r="L22" s="471">
        <v>7000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2156281</v>
      </c>
      <c r="D33" s="1692">
        <f t="shared" ref="D33:L33" si="1">SUM(D5:D32)</f>
        <v>267901</v>
      </c>
      <c r="E33" s="1692">
        <f t="shared" si="1"/>
        <v>44468</v>
      </c>
      <c r="F33" s="1692">
        <f t="shared" si="1"/>
        <v>88694</v>
      </c>
      <c r="G33" s="1692">
        <f t="shared" si="1"/>
        <v>0</v>
      </c>
      <c r="H33" s="1692">
        <f t="shared" si="1"/>
        <v>15114</v>
      </c>
      <c r="I33" s="1692">
        <f t="shared" si="1"/>
        <v>0</v>
      </c>
      <c r="J33" s="1692">
        <f t="shared" si="1"/>
        <v>0</v>
      </c>
      <c r="K33" s="1692">
        <f t="shared" si="1"/>
        <v>2572458</v>
      </c>
      <c r="L33" s="1692">
        <f t="shared" si="1"/>
        <v>2576350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38899</v>
      </c>
      <c r="D37" s="466">
        <v>6880</v>
      </c>
      <c r="E37" s="466"/>
      <c r="F37" s="466">
        <v>20</v>
      </c>
      <c r="G37" s="466"/>
      <c r="H37" s="466"/>
      <c r="I37" s="467"/>
      <c r="J37" s="467"/>
      <c r="K37" s="1693">
        <f t="shared" si="2"/>
        <v>45799</v>
      </c>
      <c r="L37" s="466">
        <v>48753</v>
      </c>
    </row>
    <row r="38" spans="1:14" x14ac:dyDescent="0.2">
      <c r="A38" s="1526" t="s">
        <v>207</v>
      </c>
      <c r="B38" s="615">
        <v>2130</v>
      </c>
      <c r="C38" s="466">
        <v>17097</v>
      </c>
      <c r="D38" s="466">
        <v>3205</v>
      </c>
      <c r="E38" s="466"/>
      <c r="F38" s="466">
        <v>410</v>
      </c>
      <c r="G38" s="466"/>
      <c r="H38" s="466"/>
      <c r="I38" s="467"/>
      <c r="J38" s="467"/>
      <c r="K38" s="1693">
        <f t="shared" si="2"/>
        <v>20712</v>
      </c>
      <c r="L38" s="466">
        <v>29200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v>50872</v>
      </c>
      <c r="F40" s="466"/>
      <c r="G40" s="466"/>
      <c r="H40" s="466"/>
      <c r="I40" s="467"/>
      <c r="J40" s="467"/>
      <c r="K40" s="1693">
        <f t="shared" si="2"/>
        <v>50872</v>
      </c>
      <c r="L40" s="466">
        <v>55540</v>
      </c>
    </row>
    <row r="41" spans="1:14" x14ac:dyDescent="0.2">
      <c r="A41" s="1526" t="s">
        <v>1768</v>
      </c>
      <c r="B41" s="615">
        <v>2190</v>
      </c>
      <c r="C41" s="466"/>
      <c r="D41" s="466"/>
      <c r="E41" s="466"/>
      <c r="F41" s="466">
        <v>1039</v>
      </c>
      <c r="G41" s="466"/>
      <c r="H41" s="466"/>
      <c r="I41" s="467"/>
      <c r="J41" s="467"/>
      <c r="K41" s="1693">
        <f t="shared" si="2"/>
        <v>1039</v>
      </c>
      <c r="L41" s="466">
        <v>500</v>
      </c>
    </row>
    <row r="42" spans="1:14" ht="12.75" customHeight="1" thickBot="1" x14ac:dyDescent="0.25">
      <c r="A42" s="1690" t="s">
        <v>581</v>
      </c>
      <c r="B42" s="1691" t="s">
        <v>740</v>
      </c>
      <c r="C42" s="1692">
        <f>SUM(C36:C41)</f>
        <v>55996</v>
      </c>
      <c r="D42" s="1692">
        <f t="shared" ref="D42:L42" si="3">SUM(D36:D41)</f>
        <v>10085</v>
      </c>
      <c r="E42" s="1692">
        <f t="shared" si="3"/>
        <v>50872</v>
      </c>
      <c r="F42" s="1692">
        <f t="shared" si="3"/>
        <v>1469</v>
      </c>
      <c r="G42" s="1692">
        <f t="shared" si="3"/>
        <v>0</v>
      </c>
      <c r="H42" s="1692">
        <f t="shared" si="3"/>
        <v>0</v>
      </c>
      <c r="I42" s="1692">
        <f t="shared" si="3"/>
        <v>0</v>
      </c>
      <c r="J42" s="1692">
        <f t="shared" si="3"/>
        <v>0</v>
      </c>
      <c r="K42" s="1692">
        <f t="shared" si="3"/>
        <v>118422</v>
      </c>
      <c r="L42" s="1692">
        <f t="shared" si="3"/>
        <v>133993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19225</v>
      </c>
      <c r="D44" s="481">
        <v>825</v>
      </c>
      <c r="E44" s="481">
        <v>12939</v>
      </c>
      <c r="F44" s="481">
        <v>3550</v>
      </c>
      <c r="G44" s="481"/>
      <c r="H44" s="481"/>
      <c r="I44" s="467"/>
      <c r="J44" s="467"/>
      <c r="K44" s="1694">
        <f>SUM(C44:J44)</f>
        <v>36539</v>
      </c>
      <c r="L44" s="481">
        <v>55421</v>
      </c>
    </row>
    <row r="45" spans="1:14" x14ac:dyDescent="0.2">
      <c r="A45" s="1526" t="s">
        <v>869</v>
      </c>
      <c r="B45" s="615">
        <v>2220</v>
      </c>
      <c r="C45" s="466">
        <f>6113+40325</f>
        <v>46438</v>
      </c>
      <c r="D45" s="466">
        <f>1856+6627</f>
        <v>8483</v>
      </c>
      <c r="E45" s="466">
        <v>3122</v>
      </c>
      <c r="F45" s="466">
        <f>111+1818-1</f>
        <v>1928</v>
      </c>
      <c r="G45" s="466"/>
      <c r="H45" s="466">
        <v>394</v>
      </c>
      <c r="I45" s="467"/>
      <c r="J45" s="467"/>
      <c r="K45" s="1694">
        <f>SUM(C45:J45)</f>
        <v>60365</v>
      </c>
      <c r="L45" s="466">
        <v>77791</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65663</v>
      </c>
      <c r="D47" s="1692">
        <f t="shared" ref="D47:K47" si="4">SUM(D44:D46)</f>
        <v>9308</v>
      </c>
      <c r="E47" s="1692">
        <f t="shared" si="4"/>
        <v>16061</v>
      </c>
      <c r="F47" s="1692">
        <f t="shared" si="4"/>
        <v>5478</v>
      </c>
      <c r="G47" s="1692">
        <f t="shared" si="4"/>
        <v>0</v>
      </c>
      <c r="H47" s="1692">
        <f t="shared" si="4"/>
        <v>394</v>
      </c>
      <c r="I47" s="1692">
        <f t="shared" si="4"/>
        <v>0</v>
      </c>
      <c r="J47" s="1692">
        <f t="shared" si="4"/>
        <v>0</v>
      </c>
      <c r="K47" s="1692">
        <f t="shared" si="4"/>
        <v>96904</v>
      </c>
      <c r="L47" s="1692">
        <f>SUM(L44:L46)</f>
        <v>133212</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938</v>
      </c>
      <c r="D49" s="481">
        <v>157</v>
      </c>
      <c r="E49" s="481">
        <f>779+9000+9549</f>
        <v>19328</v>
      </c>
      <c r="F49" s="481">
        <v>87</v>
      </c>
      <c r="G49" s="481"/>
      <c r="H49" s="481">
        <v>7763</v>
      </c>
      <c r="I49" s="467"/>
      <c r="J49" s="467"/>
      <c r="K49" s="1694">
        <f>SUM(C49:J49)</f>
        <v>28273</v>
      </c>
      <c r="L49" s="481">
        <v>28575</v>
      </c>
    </row>
    <row r="50" spans="1:14" x14ac:dyDescent="0.2">
      <c r="A50" s="1526" t="s">
        <v>872</v>
      </c>
      <c r="B50" s="615">
        <v>2320</v>
      </c>
      <c r="C50" s="466">
        <v>139724</v>
      </c>
      <c r="D50" s="466">
        <v>7940</v>
      </c>
      <c r="E50" s="466">
        <v>1185</v>
      </c>
      <c r="F50" s="466">
        <v>952</v>
      </c>
      <c r="G50" s="466"/>
      <c r="H50" s="466">
        <v>3600</v>
      </c>
      <c r="I50" s="467"/>
      <c r="J50" s="467"/>
      <c r="K50" s="1694">
        <f>SUM(C50:J50)</f>
        <v>153401</v>
      </c>
      <c r="L50" s="466">
        <v>165660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140662</v>
      </c>
      <c r="D53" s="1692">
        <f t="shared" ref="D53:L53" si="5">SUM(D49:D52)</f>
        <v>8097</v>
      </c>
      <c r="E53" s="1692">
        <f t="shared" si="5"/>
        <v>20513</v>
      </c>
      <c r="F53" s="1692">
        <f t="shared" si="5"/>
        <v>1039</v>
      </c>
      <c r="G53" s="1692">
        <f t="shared" si="5"/>
        <v>0</v>
      </c>
      <c r="H53" s="1692">
        <f t="shared" si="5"/>
        <v>11363</v>
      </c>
      <c r="I53" s="1692">
        <f t="shared" si="5"/>
        <v>0</v>
      </c>
      <c r="J53" s="1692">
        <f t="shared" si="5"/>
        <v>0</v>
      </c>
      <c r="K53" s="1692">
        <f t="shared" si="5"/>
        <v>181674</v>
      </c>
      <c r="L53" s="1692">
        <f t="shared" si="5"/>
        <v>194235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137428</v>
      </c>
      <c r="D55" s="481">
        <v>9725</v>
      </c>
      <c r="E55" s="481">
        <v>1560</v>
      </c>
      <c r="F55" s="481">
        <f>347+6</f>
        <v>353</v>
      </c>
      <c r="G55" s="481"/>
      <c r="H55" s="481">
        <v>3377</v>
      </c>
      <c r="I55" s="467"/>
      <c r="J55" s="467"/>
      <c r="K55" s="1694">
        <f>SUM(C55:J55)</f>
        <v>152443</v>
      </c>
      <c r="L55" s="481">
        <v>152677</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137428</v>
      </c>
      <c r="D57" s="1696">
        <f t="shared" ref="D57:K57" si="6">SUM(D55:D56)</f>
        <v>9725</v>
      </c>
      <c r="E57" s="1696">
        <f t="shared" si="6"/>
        <v>1560</v>
      </c>
      <c r="F57" s="1696">
        <f t="shared" si="6"/>
        <v>353</v>
      </c>
      <c r="G57" s="1696">
        <f t="shared" si="6"/>
        <v>0</v>
      </c>
      <c r="H57" s="1696">
        <f t="shared" si="6"/>
        <v>3377</v>
      </c>
      <c r="I57" s="1696">
        <f t="shared" si="6"/>
        <v>0</v>
      </c>
      <c r="J57" s="1696">
        <f t="shared" si="6"/>
        <v>0</v>
      </c>
      <c r="K57" s="1696">
        <f t="shared" si="6"/>
        <v>152443</v>
      </c>
      <c r="L57" s="1692">
        <f>SUM(L55:L56)</f>
        <v>152677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34823</v>
      </c>
      <c r="D60" s="466">
        <v>6636</v>
      </c>
      <c r="E60" s="466">
        <v>1860</v>
      </c>
      <c r="F60" s="466">
        <v>162</v>
      </c>
      <c r="G60" s="466"/>
      <c r="H60" s="466"/>
      <c r="I60" s="467"/>
      <c r="J60" s="467"/>
      <c r="K60" s="1694">
        <f t="shared" si="7"/>
        <v>43481</v>
      </c>
      <c r="L60" s="466">
        <v>41567</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35330</v>
      </c>
      <c r="D63" s="466"/>
      <c r="E63" s="466">
        <v>27</v>
      </c>
      <c r="F63" s="466">
        <v>134160</v>
      </c>
      <c r="G63" s="466"/>
      <c r="H63" s="466">
        <v>419</v>
      </c>
      <c r="I63" s="467"/>
      <c r="J63" s="467"/>
      <c r="K63" s="1694">
        <f t="shared" si="7"/>
        <v>169936</v>
      </c>
      <c r="L63" s="466">
        <v>160470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70153</v>
      </c>
      <c r="D65" s="1692">
        <f t="shared" ref="D65:L65" si="8">SUM(D59:D64)</f>
        <v>6636</v>
      </c>
      <c r="E65" s="1692">
        <f t="shared" si="8"/>
        <v>1887</v>
      </c>
      <c r="F65" s="1692">
        <f t="shared" si="8"/>
        <v>134322</v>
      </c>
      <c r="G65" s="1692">
        <f t="shared" si="8"/>
        <v>0</v>
      </c>
      <c r="H65" s="1692">
        <f t="shared" si="8"/>
        <v>419</v>
      </c>
      <c r="I65" s="1692">
        <f t="shared" si="8"/>
        <v>0</v>
      </c>
      <c r="J65" s="1692">
        <f t="shared" si="8"/>
        <v>0</v>
      </c>
      <c r="K65" s="1692">
        <f t="shared" si="8"/>
        <v>213417</v>
      </c>
      <c r="L65" s="1692">
        <f t="shared" si="8"/>
        <v>202037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469902</v>
      </c>
      <c r="D74" s="1699">
        <f t="shared" ref="D74:K74" si="10">SUM(D42,D47,D53,D57,D65,D72,D73)</f>
        <v>43851</v>
      </c>
      <c r="E74" s="1699">
        <f t="shared" si="10"/>
        <v>90893</v>
      </c>
      <c r="F74" s="1699">
        <f t="shared" si="10"/>
        <v>142661</v>
      </c>
      <c r="G74" s="1699">
        <f t="shared" si="10"/>
        <v>0</v>
      </c>
      <c r="H74" s="1699">
        <f t="shared" si="10"/>
        <v>15553</v>
      </c>
      <c r="I74" s="1699">
        <f t="shared" si="10"/>
        <v>0</v>
      </c>
      <c r="J74" s="1699">
        <f t="shared" si="10"/>
        <v>0</v>
      </c>
      <c r="K74" s="1699">
        <f t="shared" si="10"/>
        <v>762860</v>
      </c>
      <c r="L74" s="1699">
        <f>SUM(L42,L47,L53,L57,L65,L72,L73)</f>
        <v>816154</v>
      </c>
    </row>
    <row r="75" spans="1:14" s="259" customFormat="1" ht="15.75" customHeight="1" thickTop="1" thickBot="1" x14ac:dyDescent="0.25">
      <c r="A75" s="1632" t="s">
        <v>49</v>
      </c>
      <c r="B75" s="1633" t="s">
        <v>596</v>
      </c>
      <c r="C75" s="573">
        <f>1080+37178</f>
        <v>38258</v>
      </c>
      <c r="D75" s="573">
        <f>144+58</f>
        <v>202</v>
      </c>
      <c r="E75" s="573">
        <f>30+360</f>
        <v>390</v>
      </c>
      <c r="F75" s="573">
        <f>2535+403</f>
        <v>2938</v>
      </c>
      <c r="G75" s="573"/>
      <c r="H75" s="573">
        <v>2225</v>
      </c>
      <c r="I75" s="531"/>
      <c r="J75" s="531"/>
      <c r="K75" s="1692">
        <f>SUM(C75:J75)</f>
        <v>44013</v>
      </c>
      <c r="L75" s="576">
        <v>3470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49757</v>
      </c>
      <c r="F79" s="617"/>
      <c r="G79" s="617"/>
      <c r="H79" s="466">
        <v>749</v>
      </c>
      <c r="I79" s="477"/>
      <c r="J79" s="477"/>
      <c r="K79" s="1693">
        <f t="shared" si="11"/>
        <v>50506</v>
      </c>
      <c r="L79" s="466">
        <v>51756</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49757</v>
      </c>
      <c r="F84" s="617"/>
      <c r="G84" s="617"/>
      <c r="H84" s="1692">
        <f>SUM(H78:H83)</f>
        <v>749</v>
      </c>
      <c r="I84" s="477"/>
      <c r="J84" s="477"/>
      <c r="K84" s="1692">
        <f>SUM(K78:K83)</f>
        <v>50506</v>
      </c>
      <c r="L84" s="1692">
        <f>SUM(L78:L83)</f>
        <v>51756</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165815</v>
      </c>
      <c r="I86" s="477"/>
      <c r="J86" s="477"/>
      <c r="K86" s="1699">
        <f t="shared" ref="K86:K98" si="12">H86</f>
        <v>165815</v>
      </c>
      <c r="L86" s="530">
        <v>175000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v>18000</v>
      </c>
      <c r="I88" s="477"/>
      <c r="J88" s="477"/>
      <c r="K88" s="1699">
        <f t="shared" si="12"/>
        <v>18000</v>
      </c>
      <c r="L88" s="530">
        <v>25000</v>
      </c>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183815</v>
      </c>
      <c r="I92" s="477"/>
      <c r="J92" s="477"/>
      <c r="K92" s="1699">
        <f t="shared" si="12"/>
        <v>183815</v>
      </c>
      <c r="L92" s="1692">
        <f>SUM(L85:L91)</f>
        <v>200000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v>10000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10000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49757</v>
      </c>
      <c r="F102" s="617"/>
      <c r="G102" s="617"/>
      <c r="H102" s="1699">
        <f>SUM(H84,H92,H100,H101)</f>
        <v>184564</v>
      </c>
      <c r="I102" s="477"/>
      <c r="J102" s="477"/>
      <c r="K102" s="1699">
        <f>SUM(K84,K92,K100,K101)</f>
        <v>234321</v>
      </c>
      <c r="L102" s="1699">
        <f>SUM(L84,L92,L100,L101)</f>
        <v>261756</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2664441</v>
      </c>
      <c r="D114" s="1692">
        <f t="shared" ref="D114:K114" si="13">SUM(D33,D74,D75,D102,D112,D113)</f>
        <v>311954</v>
      </c>
      <c r="E114" s="1692">
        <f t="shared" si="13"/>
        <v>185508</v>
      </c>
      <c r="F114" s="1692">
        <f t="shared" si="13"/>
        <v>234293</v>
      </c>
      <c r="G114" s="1692">
        <f t="shared" si="13"/>
        <v>0</v>
      </c>
      <c r="H114" s="1692">
        <f>SUM(H33,H74,H75,H102,H112,H113)</f>
        <v>217456</v>
      </c>
      <c r="I114" s="1692">
        <f t="shared" si="13"/>
        <v>0</v>
      </c>
      <c r="J114" s="1692">
        <f t="shared" si="13"/>
        <v>0</v>
      </c>
      <c r="K114" s="1692">
        <f t="shared" si="13"/>
        <v>3613652</v>
      </c>
      <c r="L114" s="1692">
        <f>SUM(L33,L74,L75,L102,L112,L113)</f>
        <v>3657730</v>
      </c>
    </row>
    <row r="115" spans="1:14" ht="13.5" thickTop="1" x14ac:dyDescent="0.2">
      <c r="A115" s="2173" t="s">
        <v>1053</v>
      </c>
      <c r="B115" s="2174"/>
      <c r="C115" s="619"/>
      <c r="D115" s="619"/>
      <c r="E115" s="619"/>
      <c r="F115" s="619"/>
      <c r="G115" s="619"/>
      <c r="H115" s="619"/>
      <c r="I115" s="619"/>
      <c r="J115" s="619"/>
      <c r="K115" s="1706">
        <f>'Revenues 9-14'!C275-'Expenditures 15-22'!K114</f>
        <v>64677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96877</v>
      </c>
      <c r="D124" s="466">
        <v>18348</v>
      </c>
      <c r="E124" s="466">
        <v>82554</v>
      </c>
      <c r="F124" s="466">
        <v>91004</v>
      </c>
      <c r="G124" s="466"/>
      <c r="H124" s="466"/>
      <c r="I124" s="467"/>
      <c r="J124" s="467"/>
      <c r="K124" s="1692">
        <f>SUM(C124:J124)</f>
        <v>288783</v>
      </c>
      <c r="L124" s="466">
        <v>314564</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96877</v>
      </c>
      <c r="D127" s="1692">
        <f t="shared" ref="D127:L127" si="14">SUM(D122:D126)</f>
        <v>18348</v>
      </c>
      <c r="E127" s="1692">
        <f t="shared" si="14"/>
        <v>82554</v>
      </c>
      <c r="F127" s="1692">
        <f t="shared" si="14"/>
        <v>91004</v>
      </c>
      <c r="G127" s="1692">
        <f t="shared" si="14"/>
        <v>0</v>
      </c>
      <c r="H127" s="1692">
        <f t="shared" si="14"/>
        <v>0</v>
      </c>
      <c r="I127" s="1692">
        <f t="shared" si="14"/>
        <v>0</v>
      </c>
      <c r="J127" s="1692">
        <f t="shared" si="14"/>
        <v>0</v>
      </c>
      <c r="K127" s="1692">
        <f t="shared" si="14"/>
        <v>288783</v>
      </c>
      <c r="L127" s="1692">
        <f t="shared" si="14"/>
        <v>314564</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96877</v>
      </c>
      <c r="D129" s="1699">
        <f t="shared" ref="D129:L129" si="15">SUM(D120,D127,D128)</f>
        <v>18348</v>
      </c>
      <c r="E129" s="1699">
        <f t="shared" si="15"/>
        <v>82554</v>
      </c>
      <c r="F129" s="1699">
        <f t="shared" si="15"/>
        <v>91004</v>
      </c>
      <c r="G129" s="1699">
        <f t="shared" si="15"/>
        <v>0</v>
      </c>
      <c r="H129" s="1699">
        <f t="shared" si="15"/>
        <v>0</v>
      </c>
      <c r="I129" s="1699">
        <f t="shared" si="15"/>
        <v>0</v>
      </c>
      <c r="J129" s="1699">
        <f t="shared" si="15"/>
        <v>0</v>
      </c>
      <c r="K129" s="1699">
        <f t="shared" si="15"/>
        <v>288783</v>
      </c>
      <c r="L129" s="1699">
        <f t="shared" si="15"/>
        <v>314564</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0"/>
      <c r="C151" s="1692">
        <f>SUM(C129,C130,C139,C149,C150)</f>
        <v>96877</v>
      </c>
      <c r="D151" s="1692">
        <f t="shared" ref="D151:K151" si="16">SUM(D129,D130,D139,D149,D150)</f>
        <v>18348</v>
      </c>
      <c r="E151" s="1692">
        <f t="shared" si="16"/>
        <v>82554</v>
      </c>
      <c r="F151" s="1692">
        <f t="shared" si="16"/>
        <v>91004</v>
      </c>
      <c r="G151" s="1692">
        <f t="shared" si="16"/>
        <v>0</v>
      </c>
      <c r="H151" s="1692">
        <f t="shared" si="16"/>
        <v>0</v>
      </c>
      <c r="I151" s="1692">
        <f t="shared" si="16"/>
        <v>0</v>
      </c>
      <c r="J151" s="1692">
        <f t="shared" si="16"/>
        <v>0</v>
      </c>
      <c r="K151" s="1692">
        <f t="shared" si="16"/>
        <v>288783</v>
      </c>
      <c r="L151" s="1692">
        <f>SUM(L129,L130,L139,L149,L150)</f>
        <v>314564</v>
      </c>
    </row>
    <row r="152" spans="1:14" ht="12.75" customHeight="1" thickTop="1" x14ac:dyDescent="0.2">
      <c r="A152" s="2193" t="s">
        <v>1240</v>
      </c>
      <c r="B152" s="2194"/>
      <c r="C152" s="619"/>
      <c r="D152" s="619"/>
      <c r="E152" s="619"/>
      <c r="F152" s="619"/>
      <c r="G152" s="619"/>
      <c r="H152" s="619"/>
      <c r="I152" s="619"/>
      <c r="J152" s="617"/>
      <c r="K152" s="1706">
        <f>'Revenues 9-14'!D275-'Expenditures 15-22'!K151</f>
        <v>54106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f>9391+5717</f>
        <v>15108</v>
      </c>
      <c r="I169" s="617"/>
      <c r="J169" s="617"/>
      <c r="K169" s="1693">
        <f>SUM(C169:H169)</f>
        <v>15108</v>
      </c>
      <c r="L169" s="657">
        <v>5330</v>
      </c>
    </row>
    <row r="170" spans="1:14" ht="33.75" customHeight="1" x14ac:dyDescent="0.2">
      <c r="A170" s="670" t="s">
        <v>1769</v>
      </c>
      <c r="B170" s="672" t="s">
        <v>31</v>
      </c>
      <c r="C170" s="617"/>
      <c r="D170" s="617"/>
      <c r="E170" s="617"/>
      <c r="F170" s="617"/>
      <c r="G170" s="617"/>
      <c r="H170" s="569">
        <f>30464+21892</f>
        <v>52356</v>
      </c>
      <c r="I170" s="617"/>
      <c r="J170" s="617"/>
      <c r="K170" s="1693">
        <f>SUM(C170:J170)</f>
        <v>52356</v>
      </c>
      <c r="L170" s="569">
        <v>35000</v>
      </c>
    </row>
    <row r="171" spans="1:14" ht="15.75" customHeight="1" x14ac:dyDescent="0.2">
      <c r="A171" s="622" t="s">
        <v>790</v>
      </c>
      <c r="B171" s="673" t="s">
        <v>86</v>
      </c>
      <c r="C171" s="617"/>
      <c r="D171" s="617"/>
      <c r="E171" s="466"/>
      <c r="F171" s="617"/>
      <c r="G171" s="617"/>
      <c r="H171" s="569">
        <v>900</v>
      </c>
      <c r="I171" s="477"/>
      <c r="J171" s="617"/>
      <c r="K171" s="1693">
        <f>SUM(C171:J171)</f>
        <v>900</v>
      </c>
      <c r="L171" s="569">
        <v>900</v>
      </c>
    </row>
    <row r="172" spans="1:14" ht="12.75" customHeight="1" thickBot="1" x14ac:dyDescent="0.25">
      <c r="A172" s="1690" t="s">
        <v>659</v>
      </c>
      <c r="B172" s="1691" t="s">
        <v>513</v>
      </c>
      <c r="C172" s="617"/>
      <c r="D172" s="617"/>
      <c r="E172" s="1699">
        <f>SUM(E168,E169,E170,E171)</f>
        <v>0</v>
      </c>
      <c r="F172" s="617"/>
      <c r="G172" s="617"/>
      <c r="H172" s="1699">
        <f>SUM(H168,H169,H170,H171)</f>
        <v>68364</v>
      </c>
      <c r="I172" s="639"/>
      <c r="J172" s="617"/>
      <c r="K172" s="1699">
        <f>SUM(K168,K169,K170,K171)</f>
        <v>68364</v>
      </c>
      <c r="L172" s="1699">
        <f>SUM(L168,L169,L170,L171)</f>
        <v>41230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68364</v>
      </c>
      <c r="I174" s="639"/>
      <c r="J174" s="617"/>
      <c r="K174" s="1699">
        <f>SUM(K160,K172,K173)</f>
        <v>68364</v>
      </c>
      <c r="L174" s="1699">
        <f>SUM(L160,L172,L173)</f>
        <v>41230</v>
      </c>
    </row>
    <row r="175" spans="1:14" ht="13.5" thickTop="1" x14ac:dyDescent="0.2">
      <c r="A175" s="2173" t="s">
        <v>1053</v>
      </c>
      <c r="B175" s="2174"/>
      <c r="C175" s="617"/>
      <c r="D175" s="617"/>
      <c r="E175" s="617"/>
      <c r="F175" s="617"/>
      <c r="G175" s="617"/>
      <c r="H175" s="619"/>
      <c r="I175" s="617"/>
      <c r="J175" s="617"/>
      <c r="K175" s="1706">
        <f>'Revenues 9-14'!E275-'Expenditures 15-22'!K174</f>
        <v>-29325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28060</v>
      </c>
      <c r="D182" s="466">
        <v>1622</v>
      </c>
      <c r="E182" s="466">
        <f>119631+18426+9238</f>
        <v>147295</v>
      </c>
      <c r="F182" s="466">
        <f>69+5940</f>
        <v>6009</v>
      </c>
      <c r="G182" s="466"/>
      <c r="H182" s="466">
        <v>166</v>
      </c>
      <c r="I182" s="467"/>
      <c r="J182" s="467"/>
      <c r="K182" s="1693">
        <f>SUM(C182:J182)</f>
        <v>183152</v>
      </c>
      <c r="L182" s="466">
        <v>181841</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28060</v>
      </c>
      <c r="D184" s="1699">
        <f t="shared" ref="D184:J184" si="17">SUM(D180,D182,D183)</f>
        <v>1622</v>
      </c>
      <c r="E184" s="1699">
        <f t="shared" si="17"/>
        <v>147295</v>
      </c>
      <c r="F184" s="1699">
        <f t="shared" si="17"/>
        <v>6009</v>
      </c>
      <c r="G184" s="1699">
        <f t="shared" si="17"/>
        <v>0</v>
      </c>
      <c r="H184" s="1699">
        <f t="shared" si="17"/>
        <v>166</v>
      </c>
      <c r="I184" s="1699">
        <f t="shared" si="17"/>
        <v>0</v>
      </c>
      <c r="J184" s="1699">
        <f t="shared" si="17"/>
        <v>0</v>
      </c>
      <c r="K184" s="1699">
        <f>SUM(K180,K182,K183)</f>
        <v>183152</v>
      </c>
      <c r="L184" s="1699">
        <f>SUM(L180, L182:L183)</f>
        <v>181841</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v>7000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7000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7000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28060</v>
      </c>
      <c r="D210" s="1692">
        <f>SUM(D184,D185)</f>
        <v>1622</v>
      </c>
      <c r="E210" s="1692">
        <f>SUM(E184,E185,E196)</f>
        <v>147295</v>
      </c>
      <c r="F210" s="1692">
        <f>SUM(F184,F185)</f>
        <v>6009</v>
      </c>
      <c r="G210" s="1692">
        <f>SUM(G184,G185)</f>
        <v>0</v>
      </c>
      <c r="H210" s="1692">
        <f>SUM(H184,H185,H196,H208,H209)</f>
        <v>166</v>
      </c>
      <c r="I210" s="1692">
        <f>SUM(I184,I185)</f>
        <v>0</v>
      </c>
      <c r="J210" s="1692">
        <f>SUM(J184,J185)</f>
        <v>0</v>
      </c>
      <c r="K210" s="1693">
        <f>SUM(K184,K185,K196,K208,K209)</f>
        <v>183152</v>
      </c>
      <c r="L210" s="1692">
        <f>SUM(L184,L185,L196,L208,L209)</f>
        <v>188841</v>
      </c>
    </row>
    <row r="211" spans="1:14" ht="13.5" thickTop="1" x14ac:dyDescent="0.2">
      <c r="A211" s="2173" t="s">
        <v>1053</v>
      </c>
      <c r="B211" s="2174"/>
      <c r="C211" s="619"/>
      <c r="D211" s="619"/>
      <c r="E211" s="619"/>
      <c r="F211" s="619"/>
      <c r="G211" s="619"/>
      <c r="H211" s="619"/>
      <c r="I211" s="617"/>
      <c r="J211" s="617"/>
      <c r="K211" s="1706">
        <f>'Revenues 9-14'!F275-'Expenditures 15-22'!K210</f>
        <v>9252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22880</v>
      </c>
      <c r="E215" s="617"/>
      <c r="F215" s="617"/>
      <c r="G215" s="617"/>
      <c r="H215" s="617"/>
      <c r="I215" s="617"/>
      <c r="J215" s="617"/>
      <c r="K215" s="1693">
        <f>D215</f>
        <v>22880</v>
      </c>
      <c r="L215" s="466">
        <v>23330</v>
      </c>
    </row>
    <row r="216" spans="1:14" x14ac:dyDescent="0.2">
      <c r="A216" s="1526" t="s">
        <v>165</v>
      </c>
      <c r="B216" s="615" t="s">
        <v>1024</v>
      </c>
      <c r="C216" s="617"/>
      <c r="D216" s="467">
        <v>5084</v>
      </c>
      <c r="E216" s="617"/>
      <c r="F216" s="617"/>
      <c r="G216" s="617"/>
      <c r="H216" s="617"/>
      <c r="I216" s="617"/>
      <c r="J216" s="617"/>
      <c r="K216" s="1693">
        <f t="shared" ref="K216:K228" si="19">D216</f>
        <v>5084</v>
      </c>
      <c r="L216" s="466">
        <v>6632</v>
      </c>
    </row>
    <row r="217" spans="1:14" x14ac:dyDescent="0.2">
      <c r="A217" s="1526" t="s">
        <v>166</v>
      </c>
      <c r="B217" s="615">
        <v>1200</v>
      </c>
      <c r="C217" s="617"/>
      <c r="D217" s="466">
        <v>14932</v>
      </c>
      <c r="E217" s="617"/>
      <c r="F217" s="617"/>
      <c r="G217" s="617"/>
      <c r="H217" s="617"/>
      <c r="I217" s="617"/>
      <c r="J217" s="617"/>
      <c r="K217" s="1693">
        <f t="shared" si="19"/>
        <v>14932</v>
      </c>
      <c r="L217" s="466">
        <v>15914</v>
      </c>
    </row>
    <row r="218" spans="1:14" x14ac:dyDescent="0.2">
      <c r="A218" s="1526" t="s">
        <v>296</v>
      </c>
      <c r="B218" s="615" t="s">
        <v>1025</v>
      </c>
      <c r="C218" s="617"/>
      <c r="D218" s="467">
        <v>335</v>
      </c>
      <c r="E218" s="617"/>
      <c r="F218" s="617"/>
      <c r="G218" s="617"/>
      <c r="H218" s="617"/>
      <c r="I218" s="617"/>
      <c r="J218" s="617"/>
      <c r="K218" s="1693">
        <f t="shared" si="19"/>
        <v>335</v>
      </c>
      <c r="L218" s="466">
        <v>900</v>
      </c>
    </row>
    <row r="219" spans="1:14" x14ac:dyDescent="0.2">
      <c r="A219" s="1526" t="s">
        <v>297</v>
      </c>
      <c r="B219" s="615">
        <v>1250</v>
      </c>
      <c r="C219" s="617"/>
      <c r="D219" s="466">
        <f>8466+7558</f>
        <v>16024</v>
      </c>
      <c r="E219" s="617"/>
      <c r="F219" s="617"/>
      <c r="G219" s="617"/>
      <c r="H219" s="617"/>
      <c r="I219" s="617"/>
      <c r="J219" s="617"/>
      <c r="K219" s="1693">
        <f t="shared" si="19"/>
        <v>16024</v>
      </c>
      <c r="L219" s="466">
        <v>6791</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f>485+2456</f>
        <v>2941</v>
      </c>
      <c r="E223" s="617"/>
      <c r="F223" s="617"/>
      <c r="G223" s="617"/>
      <c r="H223" s="617"/>
      <c r="I223" s="617"/>
      <c r="J223" s="617"/>
      <c r="K223" s="1693">
        <f t="shared" si="19"/>
        <v>2941</v>
      </c>
      <c r="L223" s="466">
        <v>2865</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268</v>
      </c>
      <c r="E226" s="617"/>
      <c r="F226" s="617"/>
      <c r="G226" s="617"/>
      <c r="H226" s="617"/>
      <c r="I226" s="617"/>
      <c r="J226" s="617"/>
      <c r="K226" s="1693">
        <f t="shared" si="19"/>
        <v>268</v>
      </c>
      <c r="L226" s="466">
        <v>190</v>
      </c>
    </row>
    <row r="227" spans="1:12" x14ac:dyDescent="0.2">
      <c r="A227" s="1526" t="s">
        <v>1148</v>
      </c>
      <c r="B227" s="615">
        <v>1800</v>
      </c>
      <c r="C227" s="617"/>
      <c r="D227" s="466">
        <f>43+740</f>
        <v>783</v>
      </c>
      <c r="E227" s="617"/>
      <c r="F227" s="617"/>
      <c r="G227" s="617"/>
      <c r="H227" s="617"/>
      <c r="I227" s="617"/>
      <c r="J227" s="617"/>
      <c r="K227" s="1693">
        <f t="shared" si="19"/>
        <v>783</v>
      </c>
      <c r="L227" s="466">
        <v>7500</v>
      </c>
    </row>
    <row r="228" spans="1:12" x14ac:dyDescent="0.2">
      <c r="A228" s="1526" t="s">
        <v>1149</v>
      </c>
      <c r="B228" s="615">
        <v>1900</v>
      </c>
      <c r="C228" s="617"/>
      <c r="D228" s="466">
        <v>43</v>
      </c>
      <c r="E228" s="617"/>
      <c r="F228" s="617"/>
      <c r="G228" s="617"/>
      <c r="H228" s="617"/>
      <c r="I228" s="617"/>
      <c r="J228" s="617"/>
      <c r="K228" s="1693">
        <f t="shared" si="19"/>
        <v>43</v>
      </c>
      <c r="L228" s="466"/>
    </row>
    <row r="229" spans="1:12" ht="12.75" customHeight="1" thickBot="1" x14ac:dyDescent="0.25">
      <c r="A229" s="1690" t="s">
        <v>739</v>
      </c>
      <c r="B229" s="1697" t="s">
        <v>591</v>
      </c>
      <c r="C229" s="617"/>
      <c r="D229" s="1692">
        <f>SUM(D215:D228)</f>
        <v>63290</v>
      </c>
      <c r="E229" s="617"/>
      <c r="F229" s="617"/>
      <c r="G229" s="617"/>
      <c r="H229" s="617"/>
      <c r="I229" s="617"/>
      <c r="J229" s="617"/>
      <c r="K229" s="1692">
        <f>SUM(K215:K228)</f>
        <v>63290</v>
      </c>
      <c r="L229" s="1692">
        <f>SUM(L215:L228)</f>
        <v>64122</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500</v>
      </c>
      <c r="E233" s="617"/>
      <c r="F233" s="617"/>
      <c r="G233" s="617"/>
      <c r="H233" s="617"/>
      <c r="I233" s="617"/>
      <c r="J233" s="617"/>
      <c r="K233" s="1693">
        <f t="shared" si="20"/>
        <v>500</v>
      </c>
      <c r="L233" s="466">
        <v>600</v>
      </c>
    </row>
    <row r="234" spans="1:12" x14ac:dyDescent="0.2">
      <c r="A234" s="1526" t="s">
        <v>207</v>
      </c>
      <c r="B234" s="615">
        <v>2130</v>
      </c>
      <c r="C234" s="617"/>
      <c r="D234" s="466">
        <f>1472+1308</f>
        <v>2780</v>
      </c>
      <c r="E234" s="617"/>
      <c r="F234" s="617"/>
      <c r="G234" s="617"/>
      <c r="H234" s="617"/>
      <c r="I234" s="617"/>
      <c r="J234" s="617"/>
      <c r="K234" s="1693">
        <f t="shared" si="20"/>
        <v>2780</v>
      </c>
      <c r="L234" s="466">
        <v>3797</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v>90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3280</v>
      </c>
      <c r="E238" s="617"/>
      <c r="F238" s="617"/>
      <c r="G238" s="617"/>
      <c r="H238" s="617"/>
      <c r="I238" s="617"/>
      <c r="J238" s="617"/>
      <c r="K238" s="1692">
        <f>SUM(K232:K237)</f>
        <v>3280</v>
      </c>
      <c r="L238" s="1692">
        <f>SUM(L232:L237)</f>
        <v>4487</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281</v>
      </c>
      <c r="E240" s="617"/>
      <c r="F240" s="617"/>
      <c r="G240" s="617"/>
      <c r="H240" s="617"/>
      <c r="I240" s="617"/>
      <c r="J240" s="617"/>
      <c r="K240" s="1694">
        <f>D240</f>
        <v>281</v>
      </c>
      <c r="L240" s="481"/>
    </row>
    <row r="241" spans="1:12" x14ac:dyDescent="0.2">
      <c r="A241" s="1526" t="s">
        <v>869</v>
      </c>
      <c r="B241" s="615">
        <v>2220</v>
      </c>
      <c r="C241" s="617"/>
      <c r="D241" s="466">
        <v>7583</v>
      </c>
      <c r="E241" s="617"/>
      <c r="F241" s="617"/>
      <c r="G241" s="617"/>
      <c r="H241" s="617"/>
      <c r="I241" s="617"/>
      <c r="J241" s="617"/>
      <c r="K241" s="1694">
        <f>D241</f>
        <v>7583</v>
      </c>
      <c r="L241" s="466">
        <v>6693</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7864</v>
      </c>
      <c r="E243" s="617"/>
      <c r="F243" s="617"/>
      <c r="G243" s="617"/>
      <c r="H243" s="617"/>
      <c r="I243" s="617"/>
      <c r="J243" s="617"/>
      <c r="K243" s="1692">
        <f>SUM(K240:K242)</f>
        <v>7864</v>
      </c>
      <c r="L243" s="1692">
        <f>SUM(L240:L242)</f>
        <v>6693</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f>81+73</f>
        <v>154</v>
      </c>
      <c r="E245" s="617"/>
      <c r="F245" s="617"/>
      <c r="G245" s="617"/>
      <c r="H245" s="617"/>
      <c r="I245" s="617"/>
      <c r="J245" s="617"/>
      <c r="K245" s="1694">
        <f>D245</f>
        <v>154</v>
      </c>
      <c r="L245" s="481">
        <v>60</v>
      </c>
    </row>
    <row r="246" spans="1:12" x14ac:dyDescent="0.2">
      <c r="A246" s="1526" t="s">
        <v>872</v>
      </c>
      <c r="B246" s="615">
        <v>2320</v>
      </c>
      <c r="C246" s="617"/>
      <c r="D246" s="466">
        <f>2753+3813</f>
        <v>6566</v>
      </c>
      <c r="E246" s="617"/>
      <c r="F246" s="617"/>
      <c r="G246" s="617"/>
      <c r="H246" s="617"/>
      <c r="I246" s="617"/>
      <c r="J246" s="617"/>
      <c r="K246" s="1694">
        <f t="shared" ref="K246:K256" si="21">D246</f>
        <v>6566</v>
      </c>
      <c r="L246" s="466">
        <v>7209</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v>7000</v>
      </c>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f>3088+2945</f>
        <v>6033</v>
      </c>
      <c r="E254" s="617"/>
      <c r="F254" s="617"/>
      <c r="G254" s="617"/>
      <c r="H254" s="617"/>
      <c r="I254" s="617"/>
      <c r="J254" s="617"/>
      <c r="K254" s="1694">
        <f t="shared" si="21"/>
        <v>6033</v>
      </c>
      <c r="L254" s="466">
        <v>7114</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12753</v>
      </c>
      <c r="E257" s="617"/>
      <c r="F257" s="617"/>
      <c r="G257" s="617"/>
      <c r="H257" s="617"/>
      <c r="I257" s="617"/>
      <c r="J257" s="617"/>
      <c r="K257" s="1692">
        <f>SUM(K245:K256)</f>
        <v>12753</v>
      </c>
      <c r="L257" s="1692">
        <f>SUM(L245:L256)</f>
        <v>21383</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f>3579+4381</f>
        <v>7960</v>
      </c>
      <c r="E259" s="617"/>
      <c r="F259" s="617"/>
      <c r="G259" s="617"/>
      <c r="H259" s="617"/>
      <c r="I259" s="617"/>
      <c r="J259" s="617"/>
      <c r="K259" s="1694">
        <f>D259</f>
        <v>7960</v>
      </c>
      <c r="L259" s="481">
        <v>6570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7960</v>
      </c>
      <c r="E261" s="617"/>
      <c r="F261" s="617"/>
      <c r="G261" s="617"/>
      <c r="H261" s="617"/>
      <c r="I261" s="617"/>
      <c r="J261" s="617"/>
      <c r="K261" s="1692">
        <f>SUM(K259:K260)</f>
        <v>7960</v>
      </c>
      <c r="L261" s="1692">
        <f>SUM(L259:L260)</f>
        <v>6570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f>3035+2664</f>
        <v>5699</v>
      </c>
      <c r="E264" s="617"/>
      <c r="F264" s="617"/>
      <c r="G264" s="617"/>
      <c r="H264" s="617"/>
      <c r="I264" s="617"/>
      <c r="J264" s="617"/>
      <c r="K264" s="1694">
        <f t="shared" ref="K264:K269" si="22">D264</f>
        <v>5699</v>
      </c>
      <c r="L264" s="466">
        <v>4886</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f>7824+7404</f>
        <v>15228</v>
      </c>
      <c r="E266" s="617"/>
      <c r="F266" s="617"/>
      <c r="G266" s="617"/>
      <c r="H266" s="617"/>
      <c r="I266" s="617"/>
      <c r="J266" s="617"/>
      <c r="K266" s="1694">
        <f t="shared" si="22"/>
        <v>15228</v>
      </c>
      <c r="L266" s="466">
        <v>11958</v>
      </c>
    </row>
    <row r="267" spans="1:14" x14ac:dyDescent="0.2">
      <c r="A267" s="1526" t="s">
        <v>1010</v>
      </c>
      <c r="B267" s="615">
        <v>2550</v>
      </c>
      <c r="C267" s="617"/>
      <c r="D267" s="466">
        <f>2396+2097</f>
        <v>4493</v>
      </c>
      <c r="E267" s="617"/>
      <c r="F267" s="617"/>
      <c r="G267" s="617"/>
      <c r="H267" s="617"/>
      <c r="I267" s="617"/>
      <c r="J267" s="617"/>
      <c r="K267" s="1694">
        <f t="shared" si="22"/>
        <v>4493</v>
      </c>
      <c r="L267" s="466">
        <v>7658</v>
      </c>
    </row>
    <row r="268" spans="1:14" x14ac:dyDescent="0.2">
      <c r="A268" s="1526" t="s">
        <v>102</v>
      </c>
      <c r="B268" s="615">
        <v>2560</v>
      </c>
      <c r="C268" s="617"/>
      <c r="D268" s="466">
        <f>2858+2661</f>
        <v>5519</v>
      </c>
      <c r="E268" s="617"/>
      <c r="F268" s="617"/>
      <c r="G268" s="617"/>
      <c r="H268" s="617"/>
      <c r="I268" s="617"/>
      <c r="J268" s="617"/>
      <c r="K268" s="1694">
        <f t="shared" si="22"/>
        <v>5519</v>
      </c>
      <c r="L268" s="466">
        <v>4856</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30939</v>
      </c>
      <c r="E270" s="617"/>
      <c r="F270" s="617"/>
      <c r="G270" s="617"/>
      <c r="H270" s="617"/>
      <c r="I270" s="617"/>
      <c r="J270" s="617"/>
      <c r="K270" s="1692">
        <f>SUM(K263:K269)</f>
        <v>30939</v>
      </c>
      <c r="L270" s="1692">
        <f>SUM(L263:L269)</f>
        <v>29358</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62796</v>
      </c>
      <c r="E279" s="617"/>
      <c r="F279" s="617"/>
      <c r="G279" s="617"/>
      <c r="H279" s="617"/>
      <c r="I279" s="617"/>
      <c r="J279" s="617"/>
      <c r="K279" s="1699">
        <f>SUM(K238,K243,K257,K261,K270,K277,K278)</f>
        <v>62796</v>
      </c>
      <c r="L279" s="1699">
        <f>SUM(L238,L243,L257,L261,L270,L277,L278)</f>
        <v>68491</v>
      </c>
    </row>
    <row r="280" spans="1:12" ht="15.75" customHeight="1" thickTop="1" thickBot="1" x14ac:dyDescent="0.25">
      <c r="A280" s="1646" t="s">
        <v>930</v>
      </c>
      <c r="B280" s="1635">
        <v>3000</v>
      </c>
      <c r="C280" s="617"/>
      <c r="D280" s="576">
        <f>3258+2880</f>
        <v>6138</v>
      </c>
      <c r="E280" s="617"/>
      <c r="F280" s="617"/>
      <c r="G280" s="617"/>
      <c r="H280" s="617"/>
      <c r="I280" s="617"/>
      <c r="J280" s="617"/>
      <c r="K280" s="1701">
        <f>D280</f>
        <v>6138</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2">
        <f>SUM(D229,D279,D280,D285)</f>
        <v>132224</v>
      </c>
      <c r="E295" s="617"/>
      <c r="F295" s="617"/>
      <c r="G295" s="617"/>
      <c r="H295" s="1692">
        <f>H293</f>
        <v>0</v>
      </c>
      <c r="I295" s="617"/>
      <c r="J295" s="617"/>
      <c r="K295" s="1692">
        <f>SUM(K229,K279,K280,K285,K293,K294)</f>
        <v>132224</v>
      </c>
      <c r="L295" s="1692">
        <f>SUM(L229,L279,L280,L285,L293,L294)</f>
        <v>132613</v>
      </c>
    </row>
    <row r="296" spans="1:14" ht="13.5" thickTop="1" x14ac:dyDescent="0.2">
      <c r="A296" s="2173" t="s">
        <v>1053</v>
      </c>
      <c r="B296" s="2174"/>
      <c r="C296" s="617"/>
      <c r="D296" s="619"/>
      <c r="E296" s="617"/>
      <c r="F296" s="617"/>
      <c r="G296" s="617"/>
      <c r="H296" s="688"/>
      <c r="I296" s="617"/>
      <c r="J296" s="617"/>
      <c r="K296" s="1706">
        <f>'Revenues 9-14'!G275-'Expenditures 15-22'!K295</f>
        <v>23760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14899</v>
      </c>
      <c r="F320" s="467"/>
      <c r="G320" s="467"/>
      <c r="H320" s="467"/>
      <c r="I320" s="467"/>
      <c r="J320" s="467"/>
      <c r="K320" s="1693">
        <f t="shared" ref="K320:K327" si="24">SUM(C320:J320)</f>
        <v>14899</v>
      </c>
      <c r="L320" s="467">
        <v>20000</v>
      </c>
      <c r="M320" s="666"/>
      <c r="N320" s="666"/>
    </row>
    <row r="321" spans="1:14" s="675" customFormat="1" x14ac:dyDescent="0.2">
      <c r="A321" s="1541" t="s">
        <v>318</v>
      </c>
      <c r="B321" s="698" t="s">
        <v>301</v>
      </c>
      <c r="C321" s="467"/>
      <c r="D321" s="467"/>
      <c r="E321" s="467">
        <v>18565</v>
      </c>
      <c r="F321" s="467"/>
      <c r="G321" s="467"/>
      <c r="H321" s="467"/>
      <c r="I321" s="467"/>
      <c r="J321" s="467"/>
      <c r="K321" s="1693">
        <f t="shared" si="24"/>
        <v>18565</v>
      </c>
      <c r="L321" s="467">
        <v>3500</v>
      </c>
      <c r="M321" s="666"/>
      <c r="N321" s="666"/>
    </row>
    <row r="322" spans="1:14" s="675" customFormat="1" x14ac:dyDescent="0.2">
      <c r="A322" s="1541" t="s">
        <v>256</v>
      </c>
      <c r="B322" s="698" t="s">
        <v>302</v>
      </c>
      <c r="C322" s="467"/>
      <c r="D322" s="467"/>
      <c r="E322" s="467">
        <v>740</v>
      </c>
      <c r="F322" s="467"/>
      <c r="G322" s="467"/>
      <c r="H322" s="467"/>
      <c r="I322" s="467"/>
      <c r="J322" s="467"/>
      <c r="K322" s="1693">
        <f t="shared" si="24"/>
        <v>740</v>
      </c>
      <c r="L322" s="467">
        <v>750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f>19395+35539</f>
        <v>54934</v>
      </c>
      <c r="D325" s="467">
        <v>5423</v>
      </c>
      <c r="E325" s="467">
        <v>2297</v>
      </c>
      <c r="F325" s="467"/>
      <c r="G325" s="467"/>
      <c r="H325" s="467"/>
      <c r="I325" s="467"/>
      <c r="J325" s="467"/>
      <c r="K325" s="1693">
        <f t="shared" si="24"/>
        <v>62654</v>
      </c>
      <c r="L325" s="467">
        <v>62846</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2500</v>
      </c>
      <c r="M327" s="666"/>
      <c r="N327" s="666"/>
    </row>
    <row r="328" spans="1:14" s="675" customFormat="1" x14ac:dyDescent="0.2">
      <c r="A328" s="1542" t="s">
        <v>492</v>
      </c>
      <c r="B328" s="691" t="s">
        <v>1194</v>
      </c>
      <c r="C328" s="474"/>
      <c r="D328" s="474"/>
      <c r="E328" s="474">
        <v>18488</v>
      </c>
      <c r="F328" s="474"/>
      <c r="G328" s="474"/>
      <c r="H328" s="474"/>
      <c r="I328" s="474"/>
      <c r="J328" s="474"/>
      <c r="K328" s="1721">
        <f>SUM(C328:J328)</f>
        <v>18488</v>
      </c>
      <c r="L328" s="474">
        <v>18500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54934</v>
      </c>
      <c r="D330" s="1692">
        <f t="shared" ref="D330:J330" si="25">SUM(D319:D329)</f>
        <v>5423</v>
      </c>
      <c r="E330" s="1692">
        <f t="shared" si="25"/>
        <v>54989</v>
      </c>
      <c r="F330" s="1692">
        <f t="shared" si="25"/>
        <v>0</v>
      </c>
      <c r="G330" s="1692">
        <f t="shared" si="25"/>
        <v>0</v>
      </c>
      <c r="H330" s="1692">
        <f t="shared" si="25"/>
        <v>0</v>
      </c>
      <c r="I330" s="1692">
        <f t="shared" si="25"/>
        <v>0</v>
      </c>
      <c r="J330" s="1692">
        <f t="shared" si="25"/>
        <v>0</v>
      </c>
      <c r="K330" s="1692">
        <f>SUM(K319:K329)</f>
        <v>115346</v>
      </c>
      <c r="L330" s="1692">
        <f>SUM(L319:L329)</f>
        <v>108096</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54934</v>
      </c>
      <c r="D342" s="1692">
        <f>SUM(D330)</f>
        <v>5423</v>
      </c>
      <c r="E342" s="1692">
        <f>SUM(E330)</f>
        <v>54989</v>
      </c>
      <c r="F342" s="1692">
        <f>SUM(F330)</f>
        <v>0</v>
      </c>
      <c r="G342" s="1692">
        <f>SUM(G330)</f>
        <v>0</v>
      </c>
      <c r="H342" s="1692">
        <f>SUM(H330,H334,H340)</f>
        <v>0</v>
      </c>
      <c r="I342" s="1692">
        <f>SUM(I330)</f>
        <v>0</v>
      </c>
      <c r="J342" s="1692">
        <f>SUM(J330)</f>
        <v>0</v>
      </c>
      <c r="K342" s="1692">
        <f>SUM(K330,K334,K340)</f>
        <v>115346</v>
      </c>
      <c r="L342" s="1699">
        <f>SUM(L330,L340,L341)</f>
        <v>108096</v>
      </c>
    </row>
    <row r="343" spans="1:14" ht="12.75" customHeight="1" thickTop="1" x14ac:dyDescent="0.2">
      <c r="A343" s="2186" t="s">
        <v>1053</v>
      </c>
      <c r="B343" s="2187"/>
      <c r="C343" s="617"/>
      <c r="D343" s="617"/>
      <c r="E343" s="617"/>
      <c r="F343" s="617"/>
      <c r="G343" s="617"/>
      <c r="H343" s="617"/>
      <c r="I343" s="617"/>
      <c r="J343" s="617"/>
      <c r="K343" s="1706">
        <f>'Revenues 9-14'!J275-'Expenditures 15-22'!K342</f>
        <v>-34820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1833</v>
      </c>
      <c r="F349" s="466"/>
      <c r="G349" s="466"/>
      <c r="H349" s="466"/>
      <c r="I349" s="467"/>
      <c r="J349" s="467"/>
      <c r="K349" s="1693">
        <f>SUM(C349:J349)</f>
        <v>1833</v>
      </c>
      <c r="L349" s="466">
        <v>3500</v>
      </c>
    </row>
    <row r="350" spans="1:14" ht="12.75" customHeight="1" thickBot="1" x14ac:dyDescent="0.25">
      <c r="A350" s="1690" t="s">
        <v>743</v>
      </c>
      <c r="B350" s="1691" t="s">
        <v>35</v>
      </c>
      <c r="C350" s="1692">
        <f>SUM(C348:C349)</f>
        <v>0</v>
      </c>
      <c r="D350" s="1692">
        <f t="shared" ref="D350:L350" si="26">SUM(D348:D349)</f>
        <v>0</v>
      </c>
      <c r="E350" s="1692">
        <f t="shared" si="26"/>
        <v>1833</v>
      </c>
      <c r="F350" s="1692">
        <f t="shared" si="26"/>
        <v>0</v>
      </c>
      <c r="G350" s="1692">
        <f t="shared" si="26"/>
        <v>0</v>
      </c>
      <c r="H350" s="1692">
        <f t="shared" si="26"/>
        <v>0</v>
      </c>
      <c r="I350" s="1692">
        <f t="shared" si="26"/>
        <v>0</v>
      </c>
      <c r="J350" s="1692">
        <f t="shared" si="26"/>
        <v>0</v>
      </c>
      <c r="K350" s="1692">
        <f t="shared" si="26"/>
        <v>1833</v>
      </c>
      <c r="L350" s="1692">
        <f t="shared" si="26"/>
        <v>3500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1833</v>
      </c>
      <c r="F352" s="1692">
        <f t="shared" si="27"/>
        <v>0</v>
      </c>
      <c r="G352" s="1692">
        <f t="shared" si="27"/>
        <v>0</v>
      </c>
      <c r="H352" s="1692">
        <f t="shared" si="27"/>
        <v>0</v>
      </c>
      <c r="I352" s="1692">
        <f t="shared" si="27"/>
        <v>0</v>
      </c>
      <c r="J352" s="1692">
        <f t="shared" si="27"/>
        <v>0</v>
      </c>
      <c r="K352" s="1692">
        <f t="shared" si="27"/>
        <v>1833</v>
      </c>
      <c r="L352" s="1692">
        <f t="shared" si="27"/>
        <v>3500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1833</v>
      </c>
      <c r="F367" s="1692">
        <f t="shared" si="28"/>
        <v>0</v>
      </c>
      <c r="G367" s="1692">
        <f t="shared" si="28"/>
        <v>0</v>
      </c>
      <c r="H367" s="1692">
        <f t="shared" si="28"/>
        <v>0</v>
      </c>
      <c r="I367" s="1692">
        <f t="shared" si="28"/>
        <v>0</v>
      </c>
      <c r="J367" s="1692">
        <f t="shared" si="28"/>
        <v>0</v>
      </c>
      <c r="K367" s="1692">
        <f t="shared" si="28"/>
        <v>1833</v>
      </c>
      <c r="L367" s="1692">
        <f t="shared" si="28"/>
        <v>3500</v>
      </c>
    </row>
    <row r="368" spans="1:14" ht="13.5" thickTop="1" x14ac:dyDescent="0.2">
      <c r="A368" s="2173" t="s">
        <v>1053</v>
      </c>
      <c r="B368" s="2174"/>
      <c r="C368" s="655"/>
      <c r="D368" s="655"/>
      <c r="E368" s="627"/>
      <c r="F368" s="627"/>
      <c r="G368" s="627"/>
      <c r="H368" s="627"/>
      <c r="I368" s="627"/>
      <c r="J368" s="624"/>
      <c r="K368" s="1693">
        <f>'Revenues 9-14'!K275-'Expenditures 15-22'!K367</f>
        <v>1775</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2018-09-19T20:30:38Z</cp:lastPrinted>
  <dcterms:created xsi:type="dcterms:W3CDTF">2003-10-29T19:06:34Z</dcterms:created>
  <dcterms:modified xsi:type="dcterms:W3CDTF">2018-10-15T20:45:57Z</dcterms:modified>
</cp:coreProperties>
</file>