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14">'Contracts Paid in CY 29'!$A$1:$G$37</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iterate="1"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J85" i="28"/>
  <c r="B7758" i="106" s="1"/>
  <c r="D7758" i="106" s="1"/>
  <c r="J88" i="28"/>
  <c r="K6" i="29"/>
  <c r="B7763" i="106" s="1"/>
  <c r="B7762" i="106"/>
  <c r="K12" i="12"/>
  <c r="B7719" i="106" s="1"/>
  <c r="D7719" i="106" s="1"/>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L127" i="29"/>
  <c r="L129" i="29" s="1"/>
  <c r="L139" i="29"/>
  <c r="L149" i="29"/>
  <c r="I7" i="145"/>
  <c r="I6" i="145"/>
  <c r="D78" i="36"/>
  <c r="K75" i="29"/>
  <c r="K130" i="29"/>
  <c r="D14" i="4" s="1"/>
  <c r="B2570" i="106" s="1"/>
  <c r="D2570" i="106" s="1"/>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B2978" i="106" s="1"/>
  <c r="D2978" i="106" s="1"/>
  <c r="K93" i="29"/>
  <c r="B6997" i="106" s="1"/>
  <c r="D6997" i="106" s="1"/>
  <c r="K94" i="29"/>
  <c r="B6999" i="106" s="1"/>
  <c r="D6999" i="106" s="1"/>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B7088" i="106" s="1"/>
  <c r="D7088" i="106" s="1"/>
  <c r="K252" i="29"/>
  <c r="B7090" i="106" s="1"/>
  <c r="D7090" i="106" s="1"/>
  <c r="K253" i="29"/>
  <c r="B7092" i="106" s="1"/>
  <c r="D7092" i="106" s="1"/>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6" i="106"/>
  <c r="D7086" i="106" s="1"/>
  <c r="B7087" i="106"/>
  <c r="D7087" i="106" s="1"/>
  <c r="B7089" i="106"/>
  <c r="D7089" i="106" s="1"/>
  <c r="B7091" i="106"/>
  <c r="D7091"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E26" i="108"/>
  <c r="G26" i="108"/>
  <c r="E27" i="108"/>
  <c r="G27" i="108"/>
  <c r="F31" i="108"/>
  <c r="F37" i="108"/>
  <c r="G28" i="108"/>
  <c r="D31"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F41" i="34"/>
  <c r="C42" i="34"/>
  <c r="D42" i="34"/>
  <c r="C43" i="34"/>
  <c r="D43" i="34"/>
  <c r="C44" i="34"/>
  <c r="D44" i="34"/>
  <c r="C45" i="34"/>
  <c r="D45" i="34"/>
  <c r="F45" i="34"/>
  <c r="C46" i="34"/>
  <c r="D46" i="34"/>
  <c r="F46" i="34"/>
  <c r="C47" i="34"/>
  <c r="D47" i="34"/>
  <c r="C48" i="34"/>
  <c r="D48" i="34"/>
  <c r="C49" i="34"/>
  <c r="D49" i="34"/>
  <c r="F49" i="34"/>
  <c r="C50" i="34"/>
  <c r="D50" i="34"/>
  <c r="C51" i="34"/>
  <c r="D51" i="34"/>
  <c r="C52" i="34"/>
  <c r="F52" i="34"/>
  <c r="C53" i="34"/>
  <c r="D53" i="34"/>
  <c r="C56" i="34"/>
  <c r="C57" i="34"/>
  <c r="D57" i="34"/>
  <c r="C61" i="34"/>
  <c r="C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C14" i="4"/>
  <c r="B2558" i="106" s="1"/>
  <c r="D2558" i="106" s="1"/>
  <c r="B2633" i="106"/>
  <c r="D2633" i="106" s="1"/>
  <c r="N22" i="3"/>
  <c r="B283" i="106" s="1"/>
  <c r="D283" i="106" s="1"/>
  <c r="D7" i="118"/>
  <c r="D8" i="118"/>
  <c r="D9" i="118"/>
  <c r="H14" i="118"/>
  <c r="H19" i="118"/>
  <c r="H24" i="118"/>
  <c r="H29" i="118"/>
  <c r="D11" i="37"/>
  <c r="J22" i="37"/>
  <c r="L22" i="37"/>
  <c r="K24" i="12" l="1"/>
  <c r="B7733" i="106" s="1"/>
  <c r="D7733" i="106" s="1"/>
  <c r="H33" i="118"/>
  <c r="D24" i="37"/>
  <c r="B4270" i="106" s="1"/>
  <c r="D4270" i="106" s="1"/>
  <c r="D15" i="7"/>
  <c r="B1772" i="106" s="1"/>
  <c r="D1772" i="106" s="1"/>
  <c r="F67" i="34"/>
  <c r="G29" i="108"/>
  <c r="F26" i="108"/>
  <c r="E28" i="108"/>
  <c r="K26" i="12"/>
  <c r="B7743" i="106" s="1"/>
  <c r="D7743" i="106" s="1"/>
  <c r="L5" i="11"/>
  <c r="B2056" i="106" s="1"/>
  <c r="D2056" i="106" s="1"/>
  <c r="B2733" i="106"/>
  <c r="D2733" i="106" s="1"/>
  <c r="F62" i="34"/>
  <c r="G30" i="108"/>
  <c r="E30" i="108"/>
  <c r="D9" i="7"/>
  <c r="B1767" i="106" s="1"/>
  <c r="D1767" i="106" s="1"/>
  <c r="G5" i="4"/>
  <c r="B3409" i="106" s="1"/>
  <c r="D3409" i="106" s="1"/>
  <c r="B1995" i="106"/>
  <c r="D1995" i="106" s="1"/>
  <c r="F19" i="7"/>
  <c r="B1807" i="106" s="1"/>
  <c r="D1807" i="106" s="1"/>
  <c r="G14" i="4"/>
  <c r="B2609" i="106" s="1"/>
  <c r="D2609" i="106" s="1"/>
  <c r="F35" i="34"/>
  <c r="F72" i="34"/>
  <c r="F37" i="34"/>
  <c r="F71" i="34"/>
  <c r="E29" i="108"/>
  <c r="H112" i="29"/>
  <c r="B7018" i="106" s="1"/>
  <c r="D7018" i="106" s="1"/>
  <c r="F42" i="34"/>
  <c r="F50" i="34"/>
  <c r="J210" i="29"/>
  <c r="B7072" i="106" s="1"/>
  <c r="D7072" i="106" s="1"/>
  <c r="F69" i="34"/>
  <c r="F34" i="34"/>
  <c r="F64" i="34"/>
  <c r="G38" i="108"/>
  <c r="E38" i="108"/>
  <c r="B3619" i="106"/>
  <c r="D3619" i="106" s="1"/>
  <c r="B2724" i="106"/>
  <c r="D2724" i="106" s="1"/>
  <c r="D7" i="7"/>
  <c r="B1763" i="106" s="1"/>
  <c r="D1763" i="106" s="1"/>
  <c r="D5" i="4"/>
  <c r="B3406" i="106" s="1"/>
  <c r="D3406" i="106" s="1"/>
  <c r="G15" i="145"/>
  <c r="F172" i="5"/>
  <c r="B5644" i="106" s="1"/>
  <c r="D5644" i="106" s="1"/>
  <c r="C342" i="29"/>
  <c r="B7216" i="106" s="1"/>
  <c r="D7216" i="106" s="1"/>
  <c r="H342" i="29"/>
  <c r="B1223" i="106"/>
  <c r="D1223" i="106" s="1"/>
  <c r="B1746" i="106"/>
  <c r="D1746" i="106" s="1"/>
  <c r="F28" i="108"/>
  <c r="I210" i="29"/>
  <c r="G352" i="29"/>
  <c r="I342" i="29"/>
  <c r="B7222" i="106" s="1"/>
  <c r="D7222" i="106" s="1"/>
  <c r="K285" i="29"/>
  <c r="B3724" i="106" s="1"/>
  <c r="D3724" i="106" s="1"/>
  <c r="D5" i="7"/>
  <c r="B1761" i="106" s="1"/>
  <c r="D1761" i="106" s="1"/>
  <c r="D109" i="5"/>
  <c r="B5356" i="106" s="1"/>
  <c r="D5356" i="106" s="1"/>
  <c r="I274" i="5"/>
  <c r="B4435" i="106" s="1"/>
  <c r="D4435" i="106" s="1"/>
  <c r="F77" i="4"/>
  <c r="B3255" i="106" s="1"/>
  <c r="D3255" i="106" s="1"/>
  <c r="D27" i="108"/>
  <c r="F56" i="34"/>
  <c r="L367" i="29"/>
  <c r="D36" i="108"/>
  <c r="F36" i="108"/>
  <c r="B2805" i="106"/>
  <c r="D2805" i="106" s="1"/>
  <c r="L312" i="29"/>
  <c r="K184" i="29"/>
  <c r="F13" i="4" s="1"/>
  <c r="B2596" i="106" s="1"/>
  <c r="D2596" i="106" s="1"/>
  <c r="K350" i="29"/>
  <c r="K352" i="29" s="1"/>
  <c r="J274" i="5"/>
  <c r="B7054" i="106" s="1"/>
  <c r="D7054" i="106" s="1"/>
  <c r="F131" i="34"/>
  <c r="F106" i="34"/>
  <c r="D4" i="7"/>
  <c r="B1760" i="106" s="1"/>
  <c r="D1760" i="106" s="1"/>
  <c r="H109" i="5"/>
  <c r="B6025" i="106" s="1"/>
  <c r="D6025" i="106" s="1"/>
  <c r="F128" i="34"/>
  <c r="G109" i="5"/>
  <c r="B6024" i="106" s="1"/>
  <c r="D6024" i="106" s="1"/>
  <c r="H28" i="118"/>
  <c r="K28" i="118" s="1"/>
  <c r="O27" i="118" s="1"/>
  <c r="O29" i="118" s="1"/>
  <c r="D69" i="36"/>
  <c r="D68" i="36"/>
  <c r="H173" i="5"/>
  <c r="B5906" i="106" s="1"/>
  <c r="D5906" i="106" s="1"/>
  <c r="K173" i="5"/>
  <c r="K6" i="4" s="1"/>
  <c r="B3570" i="106" s="1"/>
  <c r="D3570" i="106" s="1"/>
  <c r="I173" i="5"/>
  <c r="B4216" i="106" s="1"/>
  <c r="D4216" i="106" s="1"/>
  <c r="D13" i="7"/>
  <c r="B3726" i="106" s="1"/>
  <c r="D3726" i="106" s="1"/>
  <c r="J41" i="3"/>
  <c r="B6216" i="106" s="1"/>
  <c r="D6216" i="106" s="1"/>
  <c r="D54" i="36"/>
  <c r="F111" i="34"/>
  <c r="B7041" i="106"/>
  <c r="D7041" i="106" s="1"/>
  <c r="B4414" i="106"/>
  <c r="D4414" i="106" s="1"/>
  <c r="E109" i="5"/>
  <c r="E4" i="4" s="1"/>
  <c r="B2630" i="106" s="1"/>
  <c r="D2630" i="106" s="1"/>
  <c r="B7034" i="106"/>
  <c r="D7034" i="106" s="1"/>
  <c r="J129" i="29"/>
  <c r="B7038" i="106" s="1"/>
  <c r="D7038" i="106" s="1"/>
  <c r="B6238" i="106"/>
  <c r="D6238" i="106" s="1"/>
  <c r="J77" i="4"/>
  <c r="B6262" i="106" s="1"/>
  <c r="D6262" i="106" s="1"/>
  <c r="H44" i="4"/>
  <c r="B3296" i="106" s="1"/>
  <c r="D3296" i="106" s="1"/>
  <c r="B6289" i="106"/>
  <c r="D6289" i="106" s="1"/>
  <c r="B1329" i="106"/>
  <c r="D1329" i="106" s="1"/>
  <c r="F61" i="34"/>
  <c r="C172" i="5"/>
  <c r="F127" i="34"/>
  <c r="C109" i="5"/>
  <c r="B5121" i="106" s="1"/>
  <c r="D5121" i="106" s="1"/>
  <c r="F36" i="34"/>
  <c r="G39" i="108"/>
  <c r="B7231" i="106"/>
  <c r="D7231" i="106" s="1"/>
  <c r="B3621" i="106"/>
  <c r="D3621" i="106" s="1"/>
  <c r="C367" i="29"/>
  <c r="K274" i="5"/>
  <c r="B6022" i="106" s="1"/>
  <c r="D6022" i="106" s="1"/>
  <c r="F130" i="34"/>
  <c r="B5161" i="106"/>
  <c r="D5161" i="106" s="1"/>
  <c r="L342" i="29"/>
  <c r="B3723" i="106"/>
  <c r="D3723" i="106" s="1"/>
  <c r="F21" i="8"/>
  <c r="B3689" i="106"/>
  <c r="D3689" i="106" s="1"/>
  <c r="K92" i="29"/>
  <c r="B2089" i="106" s="1"/>
  <c r="D2089" i="106" s="1"/>
  <c r="B6995" i="106"/>
  <c r="D6995" i="106" s="1"/>
  <c r="J367" i="29"/>
  <c r="B7245" i="106" s="1"/>
  <c r="D7245" i="106" s="1"/>
  <c r="B7235" i="106"/>
  <c r="D7235" i="106" s="1"/>
  <c r="B3649" i="106"/>
  <c r="D3649" i="106" s="1"/>
  <c r="G367" i="29"/>
  <c r="B3650" i="106" s="1"/>
  <c r="D3650" i="106" s="1"/>
  <c r="B3565" i="106"/>
  <c r="D3565" i="106" s="1"/>
  <c r="K41" i="3"/>
  <c r="D11" i="7"/>
  <c r="B1768" i="106" s="1"/>
  <c r="D1768" i="106" s="1"/>
  <c r="I26" i="12"/>
  <c r="B7741" i="106" s="1"/>
  <c r="D7741" i="106" s="1"/>
  <c r="I129" i="29"/>
  <c r="B7037" i="106" s="1"/>
  <c r="D7037" i="106" s="1"/>
  <c r="B3170" i="106"/>
  <c r="D3170" i="106" s="1"/>
  <c r="H76" i="4"/>
  <c r="B3298" i="106" s="1"/>
  <c r="D3298" i="106" s="1"/>
  <c r="F44" i="34"/>
  <c r="D12" i="7"/>
  <c r="B1769" i="106" s="1"/>
  <c r="D1769" i="106" s="1"/>
  <c r="F136" i="34"/>
  <c r="F14" i="4"/>
  <c r="B2597" i="106" s="1"/>
  <c r="D2597" i="106" s="1"/>
  <c r="G172" i="5"/>
  <c r="D17" i="7"/>
  <c r="B4104" i="106" s="1"/>
  <c r="D4104" i="106" s="1"/>
  <c r="B5096" i="106"/>
  <c r="D5096" i="106" s="1"/>
  <c r="L15" i="11"/>
  <c r="B3459" i="106" s="1"/>
  <c r="D3459" i="106" s="1"/>
  <c r="L13" i="11"/>
  <c r="B2060" i="106" s="1"/>
  <c r="D2060" i="106" s="1"/>
  <c r="D6103" i="106"/>
  <c r="H365" i="29"/>
  <c r="K76" i="4"/>
  <c r="B3586" i="106" s="1"/>
  <c r="D3586" i="106" s="1"/>
  <c r="G210" i="29"/>
  <c r="E174" i="29"/>
  <c r="B1309" i="106" s="1"/>
  <c r="D1309"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622" i="106"/>
  <c r="D3622"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5" i="106" l="1"/>
  <c r="D7250" i="106"/>
  <c r="D7256" i="106"/>
  <c r="D7251" i="106"/>
  <c r="D7253" i="106"/>
  <c r="D7252" i="106"/>
  <c r="D7254" i="106"/>
  <c r="L114" i="29"/>
  <c r="J7" i="4"/>
  <c r="B3628" i="106"/>
  <c r="D3628" i="106" s="1"/>
  <c r="J16" i="4"/>
  <c r="B6226" i="106" s="1"/>
  <c r="D6226" i="106" s="1"/>
  <c r="D41" i="108"/>
  <c r="E43" i="108" s="1"/>
  <c r="F41" i="108"/>
  <c r="G43" i="108" s="1"/>
  <c r="B6014" i="106"/>
  <c r="D6014" i="106" s="1"/>
  <c r="K365" i="29"/>
  <c r="K367" i="29" s="1"/>
  <c r="B3670" i="106"/>
  <c r="D3670" i="106" s="1"/>
  <c r="F173" i="5"/>
  <c r="F6" i="4" s="1"/>
  <c r="B2593" i="106" s="1"/>
  <c r="D2593" i="106" s="1"/>
  <c r="B7071" i="106"/>
  <c r="D7071" i="106" s="1"/>
  <c r="F66" i="34"/>
  <c r="F73" i="34"/>
  <c r="G15" i="4"/>
  <c r="B6032" i="106" s="1"/>
  <c r="D6032" i="106" s="1"/>
  <c r="B5527" i="106"/>
  <c r="D5527" i="106" s="1"/>
  <c r="K7" i="4"/>
  <c r="B3718" i="106" s="1"/>
  <c r="D3718" i="106" s="1"/>
  <c r="I7" i="4"/>
  <c r="B4444" i="106" s="1"/>
  <c r="D4444" i="106" s="1"/>
  <c r="D51" i="36"/>
  <c r="J151" i="29"/>
  <c r="B7052" i="106" s="1"/>
  <c r="D7052" i="106" s="1"/>
  <c r="D4" i="4"/>
  <c r="B2564" i="106" s="1"/>
  <c r="D2564" i="106" s="1"/>
  <c r="G4" i="4"/>
  <c r="B2603" i="106" s="1"/>
  <c r="D2603" i="106" s="1"/>
  <c r="C114" i="29"/>
  <c r="B757" i="106" s="1"/>
  <c r="D757" i="106" s="1"/>
  <c r="K13" i="4"/>
  <c r="B3572" i="106" s="1"/>
  <c r="D3572" i="106" s="1"/>
  <c r="B3672" i="106"/>
  <c r="D3672" i="106" s="1"/>
  <c r="B1381" i="106"/>
  <c r="D1381" i="106" s="1"/>
  <c r="H151" i="29"/>
  <c r="B1273" i="106" s="1"/>
  <c r="D1273" i="106" s="1"/>
  <c r="D19" i="7"/>
  <c r="B1775" i="106" s="1"/>
  <c r="D1775" i="106" s="1"/>
  <c r="B5914" i="106"/>
  <c r="D5914" i="106" s="1"/>
  <c r="L16" i="11"/>
  <c r="B2061" i="106" s="1"/>
  <c r="D2061" i="106" s="1"/>
  <c r="F274" i="5"/>
  <c r="F7" i="4" s="1"/>
  <c r="B2594" i="106" s="1"/>
  <c r="D2594" i="106" s="1"/>
  <c r="I6" i="4"/>
  <c r="B5011" i="106" s="1"/>
  <c r="D5011" i="106" s="1"/>
  <c r="H275" i="5"/>
  <c r="B5915" i="106" s="1"/>
  <c r="D5915" i="106" s="1"/>
  <c r="C4" i="4"/>
  <c r="B2551" i="106" s="1"/>
  <c r="D2551" i="106" s="1"/>
  <c r="H6" i="4"/>
  <c r="B2656" i="106" s="1"/>
  <c r="D2656" i="106" s="1"/>
  <c r="H4" i="4"/>
  <c r="H77" i="4"/>
  <c r="B3299" i="106" s="1"/>
  <c r="D3299" i="106" s="1"/>
  <c r="K77" i="4"/>
  <c r="B3587" i="106" s="1"/>
  <c r="D3587" i="106" s="1"/>
  <c r="D44" i="36"/>
  <c r="B3568" i="106"/>
  <c r="D3568" i="106" s="1"/>
  <c r="D52" i="36"/>
  <c r="I151" i="29"/>
  <c r="F59" i="34" s="1"/>
  <c r="B1879" i="106"/>
  <c r="D1879" i="106" s="1"/>
  <c r="H22" i="37"/>
  <c r="B5214" i="106"/>
  <c r="D5214" i="106" s="1"/>
  <c r="C173" i="5"/>
  <c r="D274" i="5"/>
  <c r="D7" i="4" s="1"/>
  <c r="K342" i="29"/>
  <c r="F13" i="34" s="1"/>
  <c r="B1365" i="106"/>
  <c r="D1365" i="106" s="1"/>
  <c r="F65" i="34"/>
  <c r="G173" i="5"/>
  <c r="B5770" i="106"/>
  <c r="D5770" i="106" s="1"/>
  <c r="H367" i="29"/>
  <c r="B3660" i="106" s="1"/>
  <c r="D3660" i="106" s="1"/>
  <c r="B7242" i="106"/>
  <c r="D724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F24" i="37" l="1"/>
  <c r="B7243" i="106"/>
  <c r="D7243" i="106" s="1"/>
  <c r="K16" i="4"/>
  <c r="B3574" i="106" s="1"/>
  <c r="D3574" i="106" s="1"/>
  <c r="B7051" i="106"/>
  <c r="D7051" i="106" s="1"/>
  <c r="B7224" i="106"/>
  <c r="D7224" i="106" s="1"/>
  <c r="B5507" i="106"/>
  <c r="D5507" i="106" s="1"/>
  <c r="B5719" i="106"/>
  <c r="D5719" i="106" s="1"/>
  <c r="B5653" i="106"/>
  <c r="D5653" i="106" s="1"/>
  <c r="E41" i="108"/>
  <c r="E44" i="108" s="1"/>
  <c r="E45" i="108" s="1"/>
  <c r="J8" i="4"/>
  <c r="B6223" i="106" s="1"/>
  <c r="D6223" i="106" s="1"/>
  <c r="F275" i="5"/>
  <c r="B5720" i="106" s="1"/>
  <c r="D5720" i="106" s="1"/>
  <c r="B2655" i="106"/>
  <c r="D2655" i="106" s="1"/>
  <c r="H8" i="4"/>
  <c r="G41" i="108"/>
  <c r="G44" i="108" s="1"/>
  <c r="G45" i="108" s="1"/>
  <c r="B5223" i="106"/>
  <c r="D5223" i="106" s="1"/>
  <c r="C6" i="4"/>
  <c r="B2553" i="106" s="1"/>
  <c r="D2553" i="106" s="1"/>
  <c r="B5778" i="106"/>
  <c r="D5778" i="106" s="1"/>
  <c r="G6" i="4"/>
  <c r="B2604" i="106" s="1"/>
  <c r="D2604" i="106" s="1"/>
  <c r="F8" i="4"/>
  <c r="B2595" i="106" s="1"/>
  <c r="D2595" i="106" s="1"/>
  <c r="J17" i="4"/>
  <c r="B6227" i="106" s="1"/>
  <c r="D6227" i="106" s="1"/>
  <c r="B1145" i="106"/>
  <c r="D114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0" i="4" l="1"/>
  <c r="B6225" i="106" s="1"/>
  <c r="D6225" i="106" s="1"/>
  <c r="F76" i="34"/>
  <c r="J19" i="4"/>
  <c r="B6229" i="106" s="1"/>
  <c r="D6229" i="106" s="1"/>
  <c r="F10" i="4"/>
  <c r="B4125" i="106" s="1"/>
  <c r="D4125" i="106" s="1"/>
  <c r="J20" i="4"/>
  <c r="B6230" i="106" s="1"/>
  <c r="D6230" i="106" s="1"/>
  <c r="D8" i="4"/>
  <c r="C8" i="146" s="1"/>
  <c r="B2658" i="106"/>
  <c r="D2658" i="106" s="1"/>
  <c r="H10" i="4"/>
  <c r="B4127" i="106" s="1"/>
  <c r="D4127"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l="1"/>
  <c r="D2568" i="106" s="1"/>
  <c r="H13" i="118"/>
  <c r="J78" i="4"/>
  <c r="J81" i="4" s="1"/>
  <c r="D10" i="4"/>
  <c r="B4123" i="106" s="1"/>
  <c r="D4123" i="106" s="1"/>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9" i="34" l="1"/>
  <c r="F79" i="34"/>
  <c r="D78" i="4"/>
  <c r="B3239" i="106" s="1"/>
  <c r="D3239" i="106" s="1"/>
  <c r="B6263" i="106"/>
  <c r="D6263"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D81" i="4"/>
  <c r="D82" i="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B1644" i="106"/>
  <c r="D1644" i="106" s="1"/>
  <c r="C11" i="14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<sst xmlns="http://schemas.openxmlformats.org/spreadsheetml/2006/main" count="5051" uniqueCount="2113">
  <si>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</si>
  <si>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</si>
  <si>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</si>
  <si>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</si>
  <si>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</si>
  <si>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</si>
  <si>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</si>
  <si>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</si>
  <si>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</si>
  <si>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</si>
  <si>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</si>
  <si>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</si>
  <si>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</si>
  <si>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</si>
  <si>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</si>
  <si>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</si>
  <si>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</si>
  <si>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</si>
  <si>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</si>
  <si>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</si>
  <si>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</si>
  <si>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</si>
  <si>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</si>
  <si>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</si>
  <si>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</si>
  <si>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</si>
  <si>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</si>
  <si>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</si>
  <si>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</si>
  <si>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</si>
  <si>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</si>
  <si>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</si>
  <si>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</si>
  <si>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</si>
  <si>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</si>
  <si>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</si>
  <si>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</si>
  <si>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</si>
  <si>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</si>
  <si>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</si>
  <si>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</si>
  <si>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</si>
  <si>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</si>
  <si>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</si>
  <si>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</si>
  <si>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</si>
  <si>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</si>
  <si>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</si>
  <si>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</si>
  <si>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</si>
  <si>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</si>
  <si>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</si>
  <si>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</si>
  <si>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</si>
  <si>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</si>
  <si>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</si>
  <si>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</si>
  <si>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</si>
  <si>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</si>
  <si>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</si>
  <si>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</si>
  <si>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</si>
  <si>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</si>
  <si>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</si>
  <si>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</si>
  <si>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</si>
  <si>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</si>
  <si>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</si>
  <si>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</si>
  <si>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</si>
  <si>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</si>
  <si>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</si>
  <si>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</si>
  <si>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</si>
  <si>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</si>
  <si>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</si>
  <si>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</si>
  <si>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</si>
  <si>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</si>
  <si>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</si>
  <si>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</si>
  <si>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</si>
  <si>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</si>
  <si>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</si>
  <si>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</si>
  <si>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</si>
  <si>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</si>
  <si>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</si>
  <si>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</si>
  <si>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</si>
  <si>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</si>
  <si>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</si>
  <si>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</si>
  <si>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</si>
  <si>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</si>
  <si>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</si>
  <si>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</si>
  <si>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</si>
  <si>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</si>
  <si>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</si>
  <si>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</si>
  <si>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</si>
  <si>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</si>
  <si>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</si>
  <si>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</si>
  <si>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</si>
  <si>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</si>
  <si>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</si>
  <si>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</si>
  <si>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</si>
  <si>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</si>
  <si>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</si>
  <si>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</si>
  <si>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</si>
  <si>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</si>
  <si>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</si>
  <si>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</si>
  <si>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</si>
  <si>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</si>
  <si>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</si>
  <si>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</si>
  <si>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</si>
  <si>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</si>
  <si>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</si>
  <si>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</si>
  <si>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</si>
  <si>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</si>
  <si>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</si>
  <si>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</si>
  <si>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</si>
  <si>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</si>
  <si>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</si>
  <si>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</si>
  <si>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</si>
  <si>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</si>
  <si>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</si>
  <si>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</si>
  <si>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</si>
  <si>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</si>
  <si>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</si>
  <si>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</si>
  <si>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</si>
  <si>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</si>
  <si>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</si>
  <si>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</si>
  <si>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</si>
  <si>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</si>
  <si>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</si>
  <si>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</si>
  <si>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</si>
  <si>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</si>
  <si>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</si>
  <si>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</si>
  <si>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</si>
  <si>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</si>
  <si>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</si>
  <si>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</si>
  <si>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</si>
  <si>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</si>
  <si>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</si>
  <si>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</si>
  <si>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</si>
  <si>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</si>
  <si>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</si>
  <si>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</si>
  <si>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</si>
  <si>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</si>
  <si>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</si>
  <si>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</si>
  <si>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</si>
  <si>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</si>
  <si>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</si>
  <si>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</si>
  <si>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</si>
  <si>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</si>
  <si>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</si>
  <si>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</si>
  <si>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</si>
  <si>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</si>
  <si>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</si>
  <si>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</si>
  <si>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</si>
  <si>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</si>
  <si>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</si>
  <si>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</si>
  <si>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</si>
  <si>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</si>
  <si>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</si>
  <si>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</si>
  <si>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</si>
  <si>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</si>
  <si>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</si>
  <si>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</si>
  <si>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</si>
  <si>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</si>
  <si>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</si>
  <si>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</si>
  <si>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</si>
  <si>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</si>
  <si>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</si>
  <si>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</si>
  <si>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</si>
  <si>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</si>
  <si>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</si>
  <si>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</si>
  <si>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</si>
  <si>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</si>
  <si>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</si>
  <si>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</si>
  <si>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</si>
  <si>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</si>
  <si>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</si>
  <si>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</si>
  <si>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</si>
  <si>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</si>
  <si>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</si>
  <si>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</si>
  <si>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</si>
  <si>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</si>
  <si>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</si>
  <si>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</si>
  <si>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</si>
  <si>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</si>
  <si>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</si>
  <si>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</si>
  <si>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</si>
  <si>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</si>
  <si>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</si>
  <si>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</si>
  <si>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</si>
  <si>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</si>
  <si>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</si>
  <si>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</si>
  <si>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</si>
  <si>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</si>
  <si>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</si>
  <si>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</si>
  <si>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</si>
  <si>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</si>
  <si>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</si>
  <si>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</si>
  <si>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</si>
  <si>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</si>
  <si>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</si>
  <si>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</si>
  <si>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</si>
  <si>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</si>
  <si>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</si>
  <si>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</si>
  <si>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</si>
  <si>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</si>
  <si>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</si>
  <si>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</si>
  <si>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</si>
  <si>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</si>
  <si>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</si>
  <si>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</si>
  <si>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</si>
  <si>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</si>
  <si>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</si>
  <si>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</si>
  <si>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</si>
  <si>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</si>
  <si>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</si>
  <si>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</si>
  <si>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</si>
  <si>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</si>
  <si>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</si>
  <si>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</si>
  <si>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</si>
  <si>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</si>
  <si>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</si>
  <si>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</si>
  <si>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</si>
  <si>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</si>
  <si>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</si>
  <si>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</si>
  <si>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</si>
  <si>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</si>
  <si>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</si>
  <si>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</si>
  <si>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</si>
  <si>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</si>
  <si>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</si>
  <si>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</si>
  <si>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</si>
  <si>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</si>
  <si>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</si>
  <si>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</si>
  <si>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</si>
  <si>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</si>
  <si>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</si>
  <si>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</si>
  <si>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</si>
  <si>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</si>
  <si>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</si>
  <si>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</si>
  <si>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</si>
  <si>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</si>
  <si>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</si>
  <si>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</si>
  <si>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</si>
  <si>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</si>
  <si>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</si>
  <si>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</si>
  <si>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</si>
  <si>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</si>
  <si>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</si>
  <si>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</si>
  <si>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</si>
  <si>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</si>
  <si>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</si>
  <si>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</si>
  <si>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</si>
  <si>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</si>
  <si>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</si>
  <si>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</si>
  <si>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</si>
  <si>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</si>
  <si>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</si>
  <si>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</si>
  <si>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</si>
  <si>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</si>
  <si>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</si>
  <si>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</si>
  <si>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</si>
  <si>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</si>
  <si>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</si>
  <si>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</si>
  <si>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</si>
  <si>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</si>
  <si>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</si>
  <si>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</si>
  <si>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</si>
  <si>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</si>
  <si>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</si>
  <si>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</si>
  <si>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</si>
  <si>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</si>
  <si>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</si>
  <si>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</si>
  <si>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</si>
  <si>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</si>
  <si>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</si>
  <si>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</si>
  <si>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</si>
  <si>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</si>
  <si>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</si>
  <si>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</si>
  <si>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</si>
  <si>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</si>
  <si>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</si>
  <si>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</si>
  <si>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</si>
  <si>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</si>
  <si>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</si>
  <si>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</si>
  <si>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</si>
  <si>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</si>
  <si>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</si>
  <si>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</si>
  <si>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</si>
  <si>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</si>
  <si>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</si>
  <si>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</si>
  <si>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</si>
  <si>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</si>
  <si>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</si>
  <si>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</si>
  <si>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</si>
  <si>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</si>
  <si>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</si>
  <si>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</si>
  <si>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</si>
  <si>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</si>
  <si>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</si>
  <si>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</si>
  <si>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</si>
  <si>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</si>
  <si>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</si>
  <si>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</si>
  <si>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</si>
  <si>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</si>
  <si>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</si>
  <si>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</si>
  <si>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</si>
  <si>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</si>
  <si>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</si>
  <si>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</si>
  <si>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</si>
  <si>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</si>
  <si>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</si>
  <si>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</si>
  <si>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</si>
  <si>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</si>
  <si>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</si>
  <si>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</si>
  <si>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</si>
  <si>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</si>
  <si>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</si>
  <si>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</si>
  <si>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</si>
  <si>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</si>
  <si>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</si>
  <si>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</si>
  <si>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</si>
  <si>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</si>
  <si>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</si>
  <si>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</si>
  <si>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</si>
  <si>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</si>
  <si>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</si>
  <si>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</si>
  <si>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</si>
  <si>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</si>
  <si>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</si>
  <si>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</si>
  <si>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</si>
  <si>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</si>
  <si>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</si>
  <si>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</si>
  <si>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</si>
  <si>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</si>
  <si>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</si>
  <si>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</si>
  <si>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</si>
  <si>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</si>
  <si>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</si>
  <si>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</si>
  <si>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</si>
  <si>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</si>
  <si>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</si>
  <si>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</si>
  <si>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</si>
  <si>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</si>
  <si>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</si>
  <si>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</si>
  <si>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</si>
  <si>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</si>
  <si>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</si>
  <si>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</si>
  <si>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</si>
  <si>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</si>
  <si>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</si>
  <si>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</si>
  <si>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</si>
  <si>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</si>
  <si>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</si>
  <si>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</si>
  <si>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</si>
  <si>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</si>
  <si>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</si>
  <si>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</si>
  <si>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</si>
  <si>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</si>
  <si>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</si>
  <si>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</si>
  <si>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</si>
  <si>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</si>
  <si>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</si>
  <si>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</si>
  <si>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</si>
  <si>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</si>
  <si>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</si>
  <si>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</si>
  <si>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</si>
  <si>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</si>
  <si>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</si>
  <si>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</si>
  <si>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</si>
  <si>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</si>
  <si>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</si>
  <si>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</si>
  <si>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</si>
  <si>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</si>
  <si>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</si>
  <si>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</si>
  <si>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</si>
  <si>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</si>
  <si>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</si>
  <si>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</si>
  <si>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</si>
  <si>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</si>
  <si>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</si>
  <si>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</si>
  <si>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</si>
  <si>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</si>
  <si>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</si>
  <si>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</si>
  <si>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</si>
  <si>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</si>
  <si>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</si>
  <si>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</si>
  <si>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</si>
  <si>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</si>
  <si>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</si>
  <si>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</si>
  <si>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</si>
  <si>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</si>
  <si>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</si>
  <si>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</si>
  <si>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</si>
  <si>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</si>
  <si>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</si>
  <si>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</si>
  <si>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</si>
  <si>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</si>
  <si>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</si>
  <si>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</si>
  <si>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</si>
  <si>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</si>
  <si>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</si>
  <si>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</si>
  <si>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</si>
  <si>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</si>
  <si>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</si>
  <si>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</si>
  <si>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</si>
  <si>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</si>
  <si>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</si>
  <si>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</si>
  <si>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</si>
  <si>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</si>
  <si>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</si>
  <si>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</si>
  <si>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</si>
  <si>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</si>
  <si>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</si>
  <si>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</si>
  <si>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</si>
  <si>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</si>
  <si>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</si>
  <si>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</si>
  <si>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</si>
  <si>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</si>
  <si>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</si>
  <si>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</si>
  <si>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</si>
  <si>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</si>
  <si>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</si>
  <si>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</si>
  <si>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</si>
  <si>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</si>
  <si>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</si>
  <si>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</si>
  <si>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</si>
  <si>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</si>
  <si>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</si>
  <si>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</si>
  <si>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</si>
  <si>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</si>
  <si>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</si>
  <si>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</si>
  <si>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</si>
  <si>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</si>
  <si>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</si>
  <si>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</si>
  <si>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</si>
  <si>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</si>
  <si>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</si>
  <si>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</si>
  <si>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</si>
  <si>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</si>
  <si>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</si>
  <si>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</si>
  <si>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</si>
  <si>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</si>
  <si>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</si>
  <si>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</si>
  <si>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</si>
  <si>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</si>
  <si>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</si>
  <si>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</si>
  <si>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</si>
  <si>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</si>
  <si>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</si>
  <si>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</si>
  <si>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</si>
  <si>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</si>
  <si>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</si>
  <si>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</si>
  <si>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</si>
  <si>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</si>
  <si>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</si>
  <si>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</si>
  <si>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</si>
  <si>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</si>
  <si>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</si>
  <si>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</si>
  <si>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</si>
  <si>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</si>
  <si>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</si>
  <si>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</si>
  <si>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</si>
  <si>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</si>
  <si>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</si>
  <si>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</si>
  <si>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</si>
  <si>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</si>
  <si>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</si>
  <si>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</si>
  <si>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</si>
  <si>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</si>
  <si>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</si>
  <si>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</si>
  <si>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</si>
  <si>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</si>
  <si>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</si>
  <si>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</si>
  <si>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</si>
  <si>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</si>
  <si>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</si>
  <si>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</si>
  <si>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</si>
  <si>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</si>
  <si>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</si>
  <si>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</si>
  <si>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</si>
  <si>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</si>
  <si>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</si>
  <si>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</si>
  <si>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</si>
  <si>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</si>
  <si>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</si>
  <si>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</si>
  <si>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</si>
  <si>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</si>
  <si>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</si>
  <si>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</si>
  <si>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</si>
  <si>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</si>
  <si>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</si>
  <si>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</si>
  <si>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</si>
  <si>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</si>
  <si>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</si>
  <si>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</si>
  <si>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</si>
  <si>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</si>
  <si>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</si>
  <si>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</si>
  <si>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</si>
  <si>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</si>
  <si>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</si>
  <si>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</si>
  <si>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</si>
  <si>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</si>
  <si>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</si>
  <si>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</si>
  <si>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</si>
  <si>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</si>
  <si>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</si>
  <si>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</si>
  <si>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</si>
  <si>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</si>
  <si>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</si>
  <si>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</si>
  <si>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</si>
  <si>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</si>
  <si>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</si>
  <si>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</si>
  <si>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</si>
  <si>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</si>
  <si>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</si>
  <si>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</si>
  <si>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</si>
  <si>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</si>
  <si>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</si>
  <si>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</si>
  <si>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</si>
  <si>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</si>
  <si>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</si>
  <si>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</si>
  <si>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</si>
  <si>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</si>
  <si>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</si>
  <si>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</si>
  <si>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</si>
  <si>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</si>
  <si>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</si>
  <si>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</si>
  <si>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</si>
  <si>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</si>
  <si>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</si>
  <si>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</si>
  <si>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</si>
  <si>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</si>
  <si>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</si>
  <si>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</si>
  <si>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</si>
  <si>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</si>
  <si>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</si>
  <si>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</si>
  <si>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</si>
  <si>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</si>
  <si>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</si>
  <si>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</si>
  <si>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</si>
  <si>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</si>
  <si>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</si>
  <si>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</si>
  <si>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</si>
  <si>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</si>
  <si>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</si>
  <si>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</si>
  <si>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</si>
  <si>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</si>
  <si>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</si>
  <si>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</si>
  <si>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</si>
  <si>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</si>
  <si>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</si>
  <si>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</si>
  <si>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</si>
  <si>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</si>
  <si>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</si>
  <si>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</si>
  <si>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</si>
  <si>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</si>
  <si>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</si>
  <si>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</si>
  <si>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</si>
  <si>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</si>
  <si>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</si>
  <si>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</si>
  <si>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</si>
  <si>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</si>
  <si>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</si>
  <si>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</si>
  <si>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</si>
  <si>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</si>
  <si>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</si>
  <si>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</si>
  <si>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</si>
  <si>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</si>
  <si>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</si>
  <si>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</si>
  <si>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</si>
  <si>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</si>
  <si>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</si>
  <si>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</si>
  <si>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</si>
  <si>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</si>
  <si>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</si>
  <si>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</si>
  <si>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</si>
  <si>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</si>
  <si>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</si>
  <si>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</si>
  <si>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</si>
  <si>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</si>
  <si>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</si>
  <si>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</si>
  <si>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</si>
  <si>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</si>
  <si>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</si>
  <si>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</si>
  <si>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</si>
  <si>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</si>
  <si>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</si>
  <si>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</si>
  <si>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</si>
  <si>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</si>
  <si>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</si>
  <si>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</si>
  <si>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</si>
  <si>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</si>
  <si>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</si>
  <si>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</si>
  <si>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</si>
  <si>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</si>
  <si>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</si>
  <si>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</si>
  <si>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</si>
  <si>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</si>
  <si>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</si>
  <si>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</si>
  <si>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</si>
  <si>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</si>
  <si>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</si>
  <si>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</si>
  <si>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</si>
  <si>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</si>
  <si>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</si>
  <si>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</si>
  <si>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</si>
  <si>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</si>
  <si>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</si>
  <si>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</si>
  <si>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</si>
  <si>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</si>
  <si>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</si>
  <si>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</si>
  <si>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</si>
  <si>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</si>
  <si>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</si>
  <si>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</si>
  <si>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</si>
  <si>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</si>
  <si>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</si>
  <si>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</si>
  <si>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</si>
  <si>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</si>
  <si>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</si>
  <si>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</si>
  <si>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</si>
  <si>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</si>
  <si>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</si>
  <si>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</si>
  <si>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</si>
  <si>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</si>
  <si>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</si>
  <si>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</si>
  <si>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</si>
  <si>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</si>
  <si>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</si>
  <si>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</si>
  <si>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</si>
  <si>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</si>
  <si>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</si>
  <si>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</si>
  <si>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</si>
  <si>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</si>
  <si>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</si>
  <si>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</si>
  <si>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</si>
  <si>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</si>
  <si>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</si>
  <si>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</si>
  <si>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</si>
  <si>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</si>
  <si>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</si>
  <si>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</si>
  <si>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</si>
  <si>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</si>
  <si>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</si>
  <si>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</si>
  <si>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</si>
  <si>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</si>
  <si>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</si>
  <si>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</si>
  <si>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</si>
  <si>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</si>
  <si>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</si>
  <si>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</si>
  <si>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</si>
  <si>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</si>
  <si>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</si>
  <si>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</si>
  <si>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</si>
  <si>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</si>
  <si>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</si>
  <si>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</si>
  <si>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</si>
  <si>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</si>
  <si>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</si>
  <si>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</si>
  <si>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</si>
  <si>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</si>
  <si>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</si>
  <si>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</si>
  <si>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</si>
  <si>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</si>
  <si>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</si>
  <si>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</si>
  <si>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</si>
  <si>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</si>
  <si>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</si>
  <si>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</si>
  <si>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</si>
  <si>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</si>
  <si>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</si>
  <si>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</si>
  <si>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</si>
  <si>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</si>
  <si>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</si>
  <si>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</si>
  <si>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</si>
  <si>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</si>
  <si>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</si>
  <si>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</si>
  <si>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</si>
  <si>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</si>
  <si>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</si>
  <si>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</si>
  <si>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</si>
  <si>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</si>
  <si>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</si>
  <si>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</si>
  <si>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</si>
  <si>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</si>
  <si>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</si>
  <si>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</si>
  <si>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</si>
  <si>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</si>
  <si>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</si>
  <si>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</si>
  <si>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</si>
  <si>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</si>
  <si>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</si>
  <si>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</si>
  <si>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</si>
  <si>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</si>
  <si>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</si>
  <si>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</si>
  <si>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</si>
  <si>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</si>
  <si>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</si>
  <si>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</si>
  <si>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</si>
  <si>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</si>
  <si>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</si>
  <si>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</si>
  <si>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</si>
  <si>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</si>
  <si>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</si>
  <si>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</si>
  <si>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</si>
  <si>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</si>
  <si>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</si>
  <si>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</si>
  <si>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</si>
  <si>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</si>
  <si>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</si>
  <si>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</si>
  <si>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</si>
  <si>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</si>
  <si>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</si>
  <si>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</si>
  <si>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</si>
  <si>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</si>
  <si>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</si>
  <si>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</si>
  <si>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</si>
  <si>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</si>
  <si>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</si>
  <si>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</si>
  <si>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</si>
  <si>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</si>
  <si>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</si>
  <si>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</si>
  <si>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</si>
  <si>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</si>
  <si>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</si>
  <si>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</si>
  <si>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</si>
  <si>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</si>
  <si>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</si>
  <si>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</si>
  <si>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</si>
  <si>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</si>
  <si>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</si>
  <si>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</si>
  <si>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</si>
  <si>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</si>
  <si>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</si>
  <si>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</si>
  <si>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</si>
  <si>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</si>
  <si>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</si>
  <si>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</si>
  <si>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</si>
  <si>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</si>
  <si>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</si>
  <si>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</si>
  <si>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</si>
  <si>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</si>
  <si>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</si>
  <si>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</si>
  <si>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</si>
  <si>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</si>
  <si>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</si>
  <si>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</si>
  <si>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</si>
  <si>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</si>
  <si>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</si>
  <si>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</si>
  <si>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</si>
  <si>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</si>
  <si>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</si>
  <si>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</si>
  <si>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</si>
  <si>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</si>
  <si>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</si>
  <si>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</si>
  <si>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</si>
  <si>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</si>
  <si>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</si>
  <si>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</si>
  <si>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</si>
  <si>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</si>
  <si>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</si>
  <si>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</si>
  <si>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</si>
  <si>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</si>
  <si>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</si>
  <si>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</si>
  <si>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</si>
  <si>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</si>
  <si>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</si>
  <si>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</si>
  <si>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</si>
  <si>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</si>
  <si>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</si>
  <si>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</si>
  <si>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</si>
  <si>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</si>
  <si>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</si>
  <si>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</si>
  <si>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</si>
  <si>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</si>
  <si>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</si>
  <si>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</si>
  <si>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</si>
  <si>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</si>
  <si>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</si>
  <si>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</si>
  <si>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</si>
  <si>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</si>
  <si>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</si>
  <si>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</si>
  <si>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</si>
  <si>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</si>
  <si>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</si>
  <si>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</si>
  <si>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</si>
  <si>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</si>
  <si>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</si>
  <si>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</si>
  <si>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</si>
  <si>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</si>
  <si>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</si>
  <si>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</si>
  <si>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</si>
  <si>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</si>
  <si>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</si>
  <si>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</si>
  <si>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</si>
  <si>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</si>
  <si>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</si>
  <si>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</si>
  <si>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</si>
  <si>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</si>
  <si>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</si>
  <si>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</si>
  <si>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</si>
  <si>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</si>
  <si>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</si>
  <si>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</si>
  <si>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</si>
  <si>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</si>
  <si>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</si>
  <si>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</si>
  <si>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</si>
  <si>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</si>
  <si>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</si>
  <si>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</si>
  <si>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</si>
  <si>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</si>
  <si>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</si>
  <si>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</si>
  <si>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</si>
  <si>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</si>
  <si>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</si>
  <si>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</si>
  <si>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</si>
  <si>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</si>
  <si>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</si>
  <si>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</si>
  <si>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</si>
  <si>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</si>
  <si>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</si>
  <si>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</si>
  <si>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</si>
  <si>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</si>
  <si>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</si>
  <si>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</si>
  <si>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</si>
  <si>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</si>
  <si>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</si>
  <si>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</si>
  <si>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</si>
  <si>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</si>
  <si>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</si>
  <si>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</si>
  <si>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</si>
  <si>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</si>
  <si>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</si>
  <si>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</si>
  <si>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</si>
  <si>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</si>
  <si>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</si>
  <si>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</si>
  <si>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</si>
  <si>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</si>
  <si>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</si>
  <si>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</si>
  <si>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</si>
  <si>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</si>
  <si>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</si>
  <si>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</si>
  <si>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</si>
  <si>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</si>
  <si>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</si>
  <si>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</si>
  <si>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</si>
  <si>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</si>
  <si>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</si>
  <si>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</si>
  <si>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</si>
  <si>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</si>
  <si>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</si>
  <si>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</si>
  <si>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</si>
  <si>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</si>
  <si>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</si>
  <si>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</si>
  <si>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</si>
  <si>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</si>
  <si>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</si>
  <si>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</si>
  <si>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</si>
  <si>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</si>
  <si>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</si>
  <si>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</si>
  <si>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</si>
  <si>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</si>
  <si>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</si>
  <si>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</si>
  <si>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</si>
  <si>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</si>
  <si>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</si>
  <si>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</si>
  <si>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</si>
  <si>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</si>
  <si>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</si>
  <si>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</si>
  <si>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</si>
  <si>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</si>
  <si>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</si>
  <si>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</si>
  <si>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</si>
  <si>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</si>
  <si>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</si>
  <si>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</si>
  <si>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</si>
  <si>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</si>
  <si>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</si>
  <si>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</si>
  <si>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</si>
  <si>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</si>
  <si>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</si>
  <si>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</si>
  <si>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</si>
  <si>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</si>
  <si>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</si>
  <si>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</si>
  <si>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</si>
  <si>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</si>
  <si>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</si>
  <si>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</si>
  <si>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</si>
  <si>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</si>
  <si>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</si>
  <si>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</si>
  <si>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</si>
  <si>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</si>
  <si>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</si>
  <si>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</si>
  <si>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</si>
  <si>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</si>
  <si>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</si>
  <si>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</si>
  <si>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</si>
  <si>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</si>
  <si>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</si>
  <si>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</si>
  <si>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</si>
  <si>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</si>
  <si>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</si>
  <si>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</si>
  <si>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</si>
  <si>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</si>
  <si>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</si>
  <si>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</si>
  <si>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</si>
  <si>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</si>
  <si>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</si>
  <si>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</si>
  <si>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</si>
  <si>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</si>
  <si>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</si>
  <si>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</si>
  <si>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</si>
  <si>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</si>
  <si>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</si>
  <si>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</si>
  <si>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</si>
  <si>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</si>
  <si>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</si>
  <si>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</si>
  <si>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</si>
  <si>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</si>
  <si>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</si>
  <si>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</si>
  <si>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</si>
  <si>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</si>
  <si>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</si>
  <si>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</si>
  <si>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</si>
  <si>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</si>
  <si>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</si>
  <si>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</si>
  <si>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</si>
  <si>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</si>
  <si>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</si>
  <si>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</si>
  <si>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</si>
  <si>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</si>
  <si>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</si>
  <si>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</si>
  <si>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</si>
  <si>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</si>
  <si>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</si>
  <si>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</si>
  <si>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</si>
  <si>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</si>
  <si>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</si>
  <si>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</si>
  <si>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</si>
  <si>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</si>
  <si>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</si>
  <si>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</si>
  <si>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</si>
  <si>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</si>
  <si>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</si>
  <si>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</si>
  <si>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</si>
  <si>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</si>
  <si>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</si>
  <si>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</si>
  <si>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</si>
  <si>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</si>
  <si>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</si>
  <si>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</si>
  <si>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</si>
  <si>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</si>
  <si>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</si>
  <si>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</si>
  <si>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</si>
  <si>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</si>
  <si>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</si>
  <si>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</si>
  <si>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</si>
  <si>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</si>
  <si>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</si>
  <si>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</si>
  <si>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</si>
  <si>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</si>
  <si>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</si>
  <si>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</si>
  <si>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</si>
  <si>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</si>
  <si>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</si>
  <si>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</si>
  <si>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</si>
  <si>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</si>
  <si>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</si>
  <si>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</si>
  <si>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</si>
  <si>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</si>
  <si>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</si>
  <si>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</si>
  <si>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</si>
  <si>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</si>
  <si>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</si>
  <si>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</si>
  <si>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</si>
  <si>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</si>
  <si>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</si>
  <si>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</si>
  <si>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</si>
  <si>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</si>
  <si>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</si>
  <si>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</si>
  <si>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</si>
  <si>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</si>
  <si>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</si>
  <si>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</si>
  <si>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</si>
  <si>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</si>
  <si>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</si>
  <si>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</si>
  <si>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</si>
  <si>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</si>
  <si>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</si>
  <si>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</si>
  <si>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</si>
  <si>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</si>
  <si>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</si>
  <si>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</si>
  <si>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</si>
  <si>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</si>
  <si>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</si>
  <si>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</si>
  <si>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</si>
  <si>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</si>
  <si>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</si>
  <si>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</si>
  <si>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</si>
  <si>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</si>
  <si>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</si>
  <si>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</si>
  <si>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</si>
  <si>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</si>
  <si>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</si>
  <si>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</si>
  <si>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</si>
  <si>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</si>
  <si>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</si>
  <si>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</si>
  <si>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</si>
  <si>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</si>
  <si>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</si>
  <si>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</si>
  <si>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</si>
  <si>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</si>
  <si>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</si>
  <si>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</si>
  <si>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</si>
  <si>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</si>
  <si>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</si>
  <si>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</si>
  <si>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</si>
  <si>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</si>
  <si>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</si>
  <si>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</si>
  <si>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</si>
  <si>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</si>
  <si>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</si>
  <si>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</si>
  <si>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</si>
  <si>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</si>
  <si>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</si>
  <si>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</si>
  <si>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</si>
  <si>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</si>
  <si>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</si>
  <si>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</si>
  <si>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</si>
  <si>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</si>
  <si>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</si>
  <si>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</si>
  <si>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</si>
  <si>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</si>
  <si>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</si>
  <si>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</si>
  <si>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</si>
  <si>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</si>
  <si>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</si>
  <si>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</si>
  <si>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</si>
  <si>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</si>
  <si>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</si>
  <si>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</si>
  <si>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</si>
  <si>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</si>
  <si>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</si>
  <si>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</si>
  <si>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</si>
  <si>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</si>
  <si>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</si>
  <si>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</si>
  <si>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</si>
  <si>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</si>
  <si>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</si>
  <si>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</si>
  <si>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</si>
  <si>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</si>
  <si>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</si>
  <si>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</si>
  <si>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</si>
  <si>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</si>
  <si>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</si>
  <si>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</si>
  <si>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</si>
  <si>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</si>
  <si>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</si>
  <si>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</si>
  <si>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</si>
  <si>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</si>
  <si>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</si>
  <si>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</si>
  <si>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</si>
  <si>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</si>
  <si>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</si>
  <si>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</si>
  <si>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</si>
  <si>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</si>
  <si>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</si>
  <si>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</si>
  <si>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</si>
  <si>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</si>
  <si>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</si>
  <si>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</si>
  <si>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</si>
  <si>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</si>
  <si>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</si>
  <si>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</si>
  <si>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</si>
  <si>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</si>
  <si>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</si>
  <si>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</si>
  <si>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</si>
  <si>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</si>
  <si>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</si>
  <si>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</si>
  <si>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</si>
  <si>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</si>
  <si>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</si>
  <si>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</si>
  <si>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</si>
  <si>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</si>
  <si>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</si>
  <si>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</si>
  <si>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</si>
  <si>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</si>
  <si>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</si>
  <si>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</si>
  <si>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</si>
  <si>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</si>
  <si>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</si>
  <si>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</si>
  <si>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</si>
  <si>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</si>
  <si>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</si>
  <si>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</si>
  <si>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</si>
  <si>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</si>
  <si>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</si>
  <si>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</si>
  <si>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</si>
  <si>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</si>
  <si>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</si>
  <si>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</si>
  <si>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</si>
  <si>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</si>
  <si>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</si>
  <si>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</si>
  <si>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</si>
  <si>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</si>
  <si>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</si>
  <si>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</si>
  <si>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</si>
  <si>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</si>
  <si>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</si>
  <si>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</si>
  <si>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</si>
  <si>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</si>
  <si>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</si>
  <si>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</si>
  <si>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</si>
  <si>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</si>
  <si>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</si>
  <si>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</si>
  <si>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</si>
  <si>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</si>
  <si>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</si>
  <si>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</si>
  <si>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</si>
  <si>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</si>
  <si>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</si>
  <si>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</si>
  <si>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</si>
  <si>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</si>
  <si>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</si>
  <si>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</si>
  <si>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</si>
  <si>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</si>
  <si>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</si>
  <si>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</si>
  <si>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</si>
  <si>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</si>
  <si>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</si>
  <si>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</si>
  <si>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</si>
  <si>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</si>
  <si>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</si>
  <si>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</si>
  <si>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</si>
  <si>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</si>
  <si>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</si>
  <si>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</si>
  <si>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</si>
  <si>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</si>
  <si>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</si>
  <si>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</si>
  <si>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</si>
  <si>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</si>
  <si>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</si>
  <si>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</si>
  <si>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</si>
  <si>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</si>
  <si>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</si>
  <si>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</si>
  <si>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</si>
  <si>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</si>
  <si>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</si>
  <si>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</si>
  <si>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</si>
  <si>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</si>
  <si>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</si>
  <si>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</si>
  <si>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</si>
  <si>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</si>
  <si>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</si>
  <si>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</si>
  <si>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</si>
  <si>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</si>
  <si>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</si>
  <si>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</si>
  <si>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</si>
  <si>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</si>
  <si>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</si>
  <si>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</si>
  <si>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</si>
  <si>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</si>
  <si>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</si>
  <si>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</si>
  <si>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</si>
  <si>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</si>
  <si>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</si>
  <si>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</si>
  <si>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</si>
  <si>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</si>
  <si>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</si>
  <si>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</si>
  <si>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</si>
  <si>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</si>
  <si>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</si>
  <si>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</si>
  <si>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</si>
  <si>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</si>
  <si>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</si>
  <si>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</si>
  <si>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</si>
  <si>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</si>
  <si>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</si>
  <si>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</si>
  <si>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</si>
  <si>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</si>
  <si>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</si>
  <si>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</si>
  <si>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</si>
  <si>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</si>
  <si>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</si>
  <si>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</si>
  <si>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</si>
  <si>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</si>
  <si>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</si>
  <si>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</si>
  <si>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</si>
  <si>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</si>
  <si>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</si>
  <si>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</si>
  <si>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</si>
  <si>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</si>
  <si>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</si>
  <si>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</si>
  <si>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</si>
  <si>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</si>
  <si>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</si>
  <si>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</si>
  <si>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</si>
  <si>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</si>
  <si>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</si>
  <si>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</si>
  <si>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</si>
  <si>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</si>
  <si>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</si>
  <si>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</si>
  <si>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</si>
  <si>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</si>
  <si>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</si>
  <si>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</si>
  <si>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</si>
  <si>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</si>
  <si>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</si>
  <si>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</si>
  <si>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</si>
  <si>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</si>
  <si>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</si>
  <si>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</si>
  <si>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</si>
  <si>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</si>
  <si>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</si>
  <si>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</si>
  <si>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</si>
  <si>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</si>
  <si>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</si>
  <si>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</si>
  <si>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</si>
  <si>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</si>
  <si>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</si>
  <si>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</si>
  <si>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</si>
  <si>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</si>
  <si>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</si>
  <si>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</si>
  <si>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</si>
  <si>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</si>
  <si>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</si>
  <si>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</si>
  <si>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</si>
  <si>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</si>
  <si>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</si>
  <si>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</si>
  <si>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</si>
  <si>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</si>
  <si>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</si>
  <si>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</si>
  <si>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</si>
  <si>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</si>
  <si>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</si>
  <si>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</si>
  <si>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</si>
  <si>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</si>
  <si>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</si>
  <si>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</si>
  <si>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</si>
  <si>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</si>
  <si>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</si>
  <si>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</si>
  <si>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</si>
  <si>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</si>
  <si>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</si>
  <si>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</si>
  <si>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</si>
  <si>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</si>
  <si>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</si>
  <si>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</si>
  <si>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</si>
  <si>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</si>
  <si>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</si>
  <si>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</si>
  <si>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</si>
  <si>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</si>
  <si>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</si>
  <si>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</si>
  <si>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</si>
  <si>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</si>
  <si>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</si>
  <si>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</si>
  <si>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</si>
  <si>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</si>
  <si>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</si>
  <si>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</si>
  <si>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</si>
  <si>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</si>
  <si>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</si>
  <si>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</si>
  <si>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</si>
  <si>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</si>
  <si>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</si>
  <si>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</si>
  <si>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</si>
  <si>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</si>
  <si>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</si>
  <si>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</si>
  <si>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</si>
  <si>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</si>
  <si>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</si>
  <si>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</si>
  <si>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</si>
  <si>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</si>
  <si>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</si>
  <si>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</si>
  <si>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</si>
  <si>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</si>
  <si>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</si>
  <si>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</si>
  <si>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</si>
  <si>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</si>
  <si>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</si>
  <si>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</si>
  <si>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</si>
  <si>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</si>
  <si>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</si>
  <si>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</si>
  <si>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</si>
  <si>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</si>
  <si>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</si>
  <si>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</si>
  <si>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</si>
  <si>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</si>
  <si>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</si>
  <si>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</si>
  <si>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</si>
  <si>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</si>
  <si>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</si>
  <si>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</si>
  <si>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</si>
  <si>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</si>
  <si>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</si>
  <si>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</si>
  <si>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</si>
  <si>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</si>
  <si>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</si>
  <si>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</si>
  <si>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</si>
  <si>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</si>
  <si>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</si>
  <si>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</si>
  <si>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</si>
  <si>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</si>
  <si>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</si>
  <si>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</si>
  <si>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</si>
  <si>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</si>
  <si>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</si>
  <si>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</si>
  <si>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</si>
  <si>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</si>
  <si>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</si>
  <si>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</si>
  <si>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</si>
  <si>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</si>
  <si>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</si>
  <si>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</si>
  <si>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</si>
  <si>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</si>
  <si>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</si>
  <si>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</si>
  <si>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</si>
  <si>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</si>
  <si>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</si>
  <si>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</si>
  <si>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</si>
  <si>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</si>
  <si>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</si>
  <si>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</si>
  <si>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</si>
  <si>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</si>
  <si>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</si>
  <si>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</si>
  <si>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</si>
  <si>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</si>
  <si>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</si>
  <si>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</si>
  <si>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</si>
  <si>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</si>
  <si>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</si>
  <si>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</si>
  <si>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</si>
  <si>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</si>
  <si>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</si>
  <si>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</si>
  <si>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</si>
  <si>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</si>
  <si>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</si>
  <si>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</si>
  <si>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</si>
  <si>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</si>
  <si>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</si>
  <si>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</si>
  <si>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</si>
  <si>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</si>
  <si>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</si>
  <si>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</si>
  <si>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</si>
  <si>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</si>
  <si>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</si>
  <si>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</si>
  <si>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</si>
  <si>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</si>
  <si>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</si>
  <si>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</si>
  <si>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</si>
  <si>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</si>
  <si>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</si>
  <si>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</si>
  <si>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</si>
  <si>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</si>
  <si>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</si>
  <si>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</si>
  <si>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</si>
  <si>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</si>
  <si>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</si>
  <si>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</si>
  <si>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</si>
  <si>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</si>
  <si>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</si>
  <si>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</si>
  <si>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</si>
  <si>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</si>
  <si>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</si>
  <si>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</si>
  <si>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</si>
  <si>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</si>
  <si>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</si>
  <si>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</si>
  <si>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</si>
  <si>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</si>
  <si>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</si>
  <si>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</si>
  <si>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</si>
  <si>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</si>
  <si>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</si>
  <si>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</si>
  <si>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</si>
  <si>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</si>
  <si>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</si>
  <si>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</si>
  <si>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</si>
  <si>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</si>
  <si>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</si>
  <si>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</si>
  <si>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</si>
  <si>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</si>
  <si>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</si>
  <si>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</si>
  <si>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</si>
  <si>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</si>
  <si>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</si>
  <si>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</si>
  <si>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</si>
  <si>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</si>
  <si>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</si>
  <si>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</si>
  <si>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</si>
  <si>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</si>
  <si>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</si>
  <si>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</si>
  <si>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</si>
  <si>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</si>
  <si>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</si>
  <si>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</si>
  <si>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</si>
  <si>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</si>
  <si>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</si>
  <si>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</si>
  <si>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</si>
  <si>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</si>
  <si>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</si>
  <si>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</si>
  <si>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</si>
  <si>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</si>
  <si>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</si>
  <si>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</si>
  <si>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</si>
  <si>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</si>
  <si>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</si>
  <si>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</si>
  <si>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</si>
  <si>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</si>
  <si>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</si>
  <si>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</si>
  <si>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</si>
  <si>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</si>
  <si>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</si>
  <si>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</si>
  <si>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</si>
  <si>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</si>
  <si>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</si>
  <si>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</si>
  <si>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</si>
  <si>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</si>
  <si>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</si>
  <si>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</si>
  <si>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</si>
  <si>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</si>
  <si>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</si>
  <si>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</si>
  <si>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</si>
  <si>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</si>
  <si>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</si>
  <si>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</si>
  <si>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</si>
  <si>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</si>
  <si>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</si>
  <si>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</si>
  <si>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</si>
  <si>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</si>
  <si>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</si>
  <si>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</si>
  <si>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</si>
  <si>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</si>
  <si>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</si>
  <si>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</si>
  <si>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</si>
  <si>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</si>
  <si>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</si>
  <si>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</si>
  <si>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</si>
  <si>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</si>
  <si>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</si>
  <si>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</si>
  <si>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</si>
  <si>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</si>
  <si>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</si>
  <si>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</si>
  <si>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</si>
  <si>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</si>
  <si>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</si>
  <si>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</si>
  <si>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</si>
  <si>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</si>
  <si>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</si>
  <si>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</si>
  <si>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</si>
  <si>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</si>
  <si>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</si>
  <si>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</si>
  <si>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</si>
  <si>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</si>
  <si>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</si>
  <si>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</si>
  <si>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</si>
  <si>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</si>
  <si>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</si>
  <si>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</si>
  <si>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</si>
  <si>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</si>
  <si>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</si>
  <si>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</si>
  <si>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</si>
  <si>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</si>
  <si>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</si>
  <si>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</si>
  <si>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</si>
  <si>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</si>
  <si>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</si>
  <si>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</si>
  <si>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</si>
  <si>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</si>
  <si>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</si>
  <si>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</si>
  <si>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</si>
  <si>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</si>
  <si>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</si>
  <si>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</si>
  <si>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</si>
  <si>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</si>
  <si>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</si>
  <si>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</si>
  <si>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</si>
  <si>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</si>
  <si>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</si>
  <si>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</si>
  <si>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</si>
  <si>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</si>
  <si>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</si>
  <si>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</si>
  <si>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</si>
  <si>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</si>
  <si>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</si>
  <si>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</si>
  <si>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</si>
  <si>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</si>
  <si>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</si>
  <si>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</si>
  <si>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</si>
  <si>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</si>
  <si>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</si>
  <si>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</si>
  <si>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</si>
  <si>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</si>
  <si>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</si>
  <si>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</si>
  <si>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</si>
  <si>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</si>
  <si>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</si>
  <si>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</si>
  <si>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</si>
  <si>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</si>
  <si>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</si>
  <si>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</si>
  <si>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</si>
  <si>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</si>
  <si>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</si>
  <si>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</si>
  <si>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</si>
  <si>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</si>
  <si>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</si>
  <si>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</si>
  <si>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</si>
  <si>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</si>
  <si>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</si>
  <si>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</si>
  <si>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</si>
  <si>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</si>
  <si>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</si>
  <si>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</si>
  <si>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</si>
  <si>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</si>
  <si>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</si>
  <si>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</si>
  <si>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</si>
  <si>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</si>
  <si>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</si>
  <si>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</si>
  <si>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</si>
  <si>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</si>
  <si>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</si>
  <si>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</si>
  <si>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</si>
  <si>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</si>
  <si>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</si>
  <si>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</si>
  <si>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</si>
  <si>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</si>
  <si>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</si>
  <si>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</si>
  <si>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</si>
  <si>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</si>
  <si>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</si>
  <si>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</si>
  <si>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</si>
  <si>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</si>
  <si>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</si>
  <si>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</si>
  <si>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</si>
  <si>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</si>
  <si>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</si>
  <si>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</si>
  <si>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</si>
  <si>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</si>
  <si>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</si>
  <si>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</si>
  <si>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</si>
  <si>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</si>
  <si>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</si>
  <si>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</si>
  <si>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</si>
  <si>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</si>
  <si>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</si>
  <si>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</si>
  <si>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</si>
  <si>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</si>
  <si>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</si>
  <si>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</si>
  <si>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</si>
  <si>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</si>
  <si>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</si>
  <si>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</si>
  <si>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</si>
  <si>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</si>
  <si>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</si>
  <si>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</si>
  <si>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</si>
  <si>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</si>
  <si>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</si>
  <si>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</si>
  <si>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</si>
  <si>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</si>
  <si>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</si>
  <si>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</si>
  <si>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</si>
  <si>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</si>
  <si>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</si>
  <si>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</si>
  <si>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</si>
  <si>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</si>
  <si>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</si>
  <si>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</si>
  <si>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</si>
  <si>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</si>
  <si>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</si>
  <si>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</si>
  <si>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</si>
  <si>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</si>
  <si>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</si>
  <si>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</si>
  <si>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</si>
  <si>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</si>
  <si>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</si>
  <si>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</si>
  <si>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</si>
  <si>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Dennis G. Koch &amp; Associates LLC</t>
  </si>
  <si>
    <t>Hancock</t>
  </si>
  <si>
    <t>Dennis G. Koch</t>
  </si>
  <si>
    <t>1706 N 16th Street</t>
  </si>
  <si>
    <t>Quincy</t>
  </si>
  <si>
    <t>IL</t>
  </si>
  <si>
    <t>217-224-8484</t>
  </si>
  <si>
    <t>217-224-0504</t>
  </si>
  <si>
    <t>yurkoja@hhs328.com</t>
  </si>
  <si>
    <t>066-004856</t>
  </si>
  <si>
    <t>dgkoch@dgkochcpa.com</t>
  </si>
  <si>
    <t>John Meixner</t>
  </si>
  <si>
    <t>jmeixner@roe26.net</t>
  </si>
  <si>
    <t>309-837-4821</t>
  </si>
  <si>
    <t>309-837-2887</t>
  </si>
  <si>
    <t>West Central Purchasing Coop</t>
  </si>
  <si>
    <t>None</t>
  </si>
  <si>
    <t>Dennis G Koch &amp; Associates LLC, CPAs</t>
  </si>
  <si>
    <t>404 W. Main St</t>
  </si>
  <si>
    <t>La Harpe</t>
  </si>
  <si>
    <t>Jo Campbell</t>
  </si>
  <si>
    <t>jcampbell@laharpeeagles.com</t>
  </si>
  <si>
    <t>217-659-7739</t>
  </si>
  <si>
    <t>217-659-7730</t>
  </si>
  <si>
    <t>Life Safety/Working Cash GO Bonds</t>
  </si>
  <si>
    <t>1&amp;4</t>
  </si>
  <si>
    <t>Western Area School Health Benefit Plan</t>
  </si>
  <si>
    <t>Prairie States Insurance Cooperative</t>
  </si>
  <si>
    <t>Dallas ESD #327</t>
  </si>
  <si>
    <t>West Central Illinois Special Education Cooperative</t>
  </si>
  <si>
    <t>Dallas ESD #327, Illini West High School</t>
  </si>
  <si>
    <t>Dallas ESD #327 (Sports)</t>
  </si>
  <si>
    <t>x</t>
  </si>
  <si>
    <t>The opinion on the Annual Financial Report is modified for the omission of information require by GASB Statement 45</t>
  </si>
  <si>
    <t>La Harpe CSD 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</si>
</sst>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1091046</xdr:colOff>
          <xdr:row>4</xdr:row>
          <xdr:rowOff>0</xdr:rowOff>
        </xdr:from>
        <xdr:to>
          <xdr:col>1</xdr:col>
          <xdr:colOff>1982933</xdr:colOff>
          <xdr:row>7</xdr:row>
          <xdr:rowOff>161925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123825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123825</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26034347004</v>
      </c>
      <c r="B13" s="2003"/>
      <c r="C13" s="2003"/>
      <c r="D13" s="2003"/>
      <c r="E13" s="2003"/>
      <c r="F13" s="2003"/>
      <c r="G13" s="2003"/>
      <c r="H13" s="2004"/>
      <c r="I13" s="31"/>
      <c r="J13" s="30"/>
      <c r="K13" s="28"/>
      <c r="L13" s="30"/>
      <c r="M13" s="30"/>
      <c r="N13" s="30"/>
      <c r="O13" s="30"/>
      <c r="P13" s="30"/>
      <c r="Q13" s="30"/>
      <c r="R13" s="30"/>
      <c r="S13" s="30"/>
      <c r="T13" s="2007" t="s">
        <v>2078</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2079</v>
      </c>
      <c r="B15" s="2005"/>
      <c r="C15" s="2005"/>
      <c r="D15" s="2005"/>
      <c r="E15" s="2005"/>
      <c r="F15" s="2005"/>
      <c r="G15" s="2005"/>
      <c r="H15" s="2006"/>
      <c r="T15" s="1968" t="s">
        <v>2080</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2112</v>
      </c>
      <c r="B17" s="2030"/>
      <c r="C17" s="2030"/>
      <c r="D17" s="2030"/>
      <c r="E17" s="2030"/>
      <c r="F17" s="2030"/>
      <c r="G17" s="2030"/>
      <c r="H17" s="2031"/>
      <c r="T17" s="2017" t="s">
        <v>2081</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2096</v>
      </c>
      <c r="B19" s="2001"/>
      <c r="C19" s="2001"/>
      <c r="D19" s="2001"/>
      <c r="E19" s="2001"/>
      <c r="F19" s="2001"/>
      <c r="G19" s="2001"/>
      <c r="H19" s="1999"/>
      <c r="I19" s="30"/>
      <c r="J19" s="99"/>
      <c r="K19" s="40"/>
      <c r="L19" s="38"/>
      <c r="M19" s="112" t="s">
        <v>333</v>
      </c>
      <c r="P19" s="27"/>
      <c r="Q19" s="27"/>
      <c r="R19" s="27"/>
      <c r="S19" s="31"/>
      <c r="T19" s="2000" t="s">
        <v>2082</v>
      </c>
      <c r="U19" s="1998"/>
      <c r="V19" s="1998"/>
      <c r="W19" s="1999"/>
      <c r="X19" s="2015" t="s">
        <v>2083</v>
      </c>
      <c r="Y19" s="2016"/>
      <c r="Z19" s="2013">
        <v>62301</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2097</v>
      </c>
      <c r="B21" s="1998"/>
      <c r="C21" s="1998"/>
      <c r="D21" s="1998"/>
      <c r="E21" s="1998"/>
      <c r="F21" s="1998"/>
      <c r="G21" s="1998"/>
      <c r="H21" s="1999"/>
      <c r="I21" s="2023" t="s">
        <v>699</v>
      </c>
      <c r="J21" s="1986"/>
      <c r="K21" s="1986"/>
      <c r="L21" s="1986"/>
      <c r="M21" s="1986"/>
      <c r="N21" s="1986"/>
      <c r="O21" s="1986"/>
      <c r="P21" s="1986"/>
      <c r="Q21" s="1986"/>
      <c r="R21" s="1986"/>
      <c r="S21" s="1987"/>
      <c r="T21" s="1965" t="s">
        <v>2084</v>
      </c>
      <c r="U21" s="1966"/>
      <c r="V21" s="1966"/>
      <c r="W21" s="1966"/>
      <c r="X21" s="1979" t="s">
        <v>2085</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2086</v>
      </c>
      <c r="B23" s="2021"/>
      <c r="C23" s="2021"/>
      <c r="D23" s="2021"/>
      <c r="E23" s="2021"/>
      <c r="F23" s="2021"/>
      <c r="G23" s="2021"/>
      <c r="H23" s="2022"/>
      <c r="T23" s="1960" t="s">
        <v>2087</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62330</v>
      </c>
      <c r="B25" s="1998"/>
      <c r="C25" s="1998"/>
      <c r="D25" s="1998"/>
      <c r="E25" s="1998"/>
      <c r="F25" s="1998"/>
      <c r="G25" s="1998"/>
      <c r="H25" s="1999"/>
      <c r="I25" s="113"/>
      <c r="J25" s="2064"/>
      <c r="K25" s="2064"/>
      <c r="L25" s="2064"/>
      <c r="M25" s="2064"/>
      <c r="N25" s="2064"/>
      <c r="O25" s="2064"/>
      <c r="P25" s="2064"/>
      <c r="Q25" s="2064"/>
      <c r="R25" s="2064"/>
      <c r="S25" s="2065"/>
      <c r="T25" s="1957" t="s">
        <v>2088</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2098</v>
      </c>
      <c r="B38" s="2030"/>
      <c r="C38" s="2030"/>
      <c r="D38" s="2030"/>
      <c r="E38" s="2030"/>
      <c r="F38" s="1998"/>
      <c r="G38" s="1998"/>
      <c r="H38" s="1999"/>
      <c r="I38" s="2049"/>
      <c r="J38" s="1969"/>
      <c r="K38" s="1969"/>
      <c r="L38" s="1969"/>
      <c r="M38" s="1969"/>
      <c r="N38" s="1969"/>
      <c r="O38" s="1969"/>
      <c r="P38" s="1970"/>
      <c r="Q38" s="1970"/>
      <c r="R38" s="1970"/>
      <c r="S38" s="1971"/>
      <c r="T38" s="1968" t="s">
        <v>2089</v>
      </c>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2099</v>
      </c>
      <c r="B40" s="2057"/>
      <c r="C40" s="2058"/>
      <c r="D40" s="2058"/>
      <c r="E40" s="2058"/>
      <c r="F40" s="2059"/>
      <c r="G40" s="2059"/>
      <c r="H40" s="2060"/>
      <c r="I40" s="1972"/>
      <c r="J40" s="1974"/>
      <c r="K40" s="1974"/>
      <c r="L40" s="1974"/>
      <c r="M40" s="1974"/>
      <c r="N40" s="1974"/>
      <c r="O40" s="1974"/>
      <c r="P40" s="1974"/>
      <c r="Q40" s="1974"/>
      <c r="R40" s="1974"/>
      <c r="S40" s="1975"/>
      <c r="T40" s="1972" t="s">
        <v>2090</v>
      </c>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2100</v>
      </c>
      <c r="B42" s="2047"/>
      <c r="C42" s="2048"/>
      <c r="D42" s="2061" t="s">
        <v>2101</v>
      </c>
      <c r="E42" s="2047"/>
      <c r="F42" s="2047"/>
      <c r="G42" s="2047"/>
      <c r="H42" s="2048"/>
      <c r="I42" s="1967"/>
      <c r="J42" s="1963"/>
      <c r="K42" s="1963"/>
      <c r="L42" s="1963"/>
      <c r="M42" s="1963"/>
      <c r="N42" s="1963"/>
      <c r="O42" s="1964"/>
      <c r="P42" s="1962"/>
      <c r="Q42" s="1963"/>
      <c r="R42" s="1963"/>
      <c r="S42" s="1964"/>
      <c r="T42" s="1967" t="s">
        <v>2091</v>
      </c>
      <c r="U42" s="1963"/>
      <c r="V42" s="1963"/>
      <c r="W42" s="1964"/>
      <c r="X42" s="1962" t="s">
        <v>2092</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0" zoomScale="110" zoomScaleNormal="110" workbookViewId="0">
      <selection activeCell="I6" sqref="I6:S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t="s">
        <v>2111</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2095</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45781043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1.7999999999999999E-2</v>
      </c>
      <c r="E10" s="356" t="s">
        <v>1062</v>
      </c>
      <c r="F10" s="355">
        <v>5.0000000000000001E-3</v>
      </c>
      <c r="G10" s="356" t="s">
        <v>1062</v>
      </c>
      <c r="H10" s="355">
        <v>1.1999999999999999E-3</v>
      </c>
      <c r="I10" s="356" t="s">
        <v>1063</v>
      </c>
      <c r="J10" s="1754">
        <f>ROUND(D10+F10+H10,5)</f>
        <v>2.4199999999999999E-2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2642911</v>
      </c>
      <c r="E16" s="356"/>
      <c r="F16" s="1755">
        <f>SUM('Acct Summary 7-8'!C17,'Acct Summary 7-8'!D17,'Acct Summary 7-8'!F17)</f>
        <v>2460672</v>
      </c>
      <c r="G16" s="356"/>
      <c r="H16" s="1755">
        <f>SUM(D16-F16)</f>
        <v>182239</v>
      </c>
      <c r="I16" s="222"/>
      <c r="J16" s="1755">
        <f>SUM('Acct Summary 7-8'!C81,'Acct Summary 7-8'!D81,'Acct Summary 7-8'!F81,'Acct Summary 7-8'!I81)</f>
        <v>292235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2110</v>
      </c>
      <c r="C31" s="367" t="s">
        <v>607</v>
      </c>
      <c r="D31" s="237" t="s">
        <v>1132</v>
      </c>
      <c r="E31" s="222"/>
      <c r="F31" s="222"/>
      <c r="G31" s="363"/>
      <c r="H31" s="1757">
        <f>IF(B31="X",(J7*0.069),IF(B32="X",(J7*0.138),"Enter x in a.or b."))</f>
        <v>3158891.9670000002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1960000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I6" sqref="I6:S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 Harpe CSD 347</v>
      </c>
      <c r="E7" s="391"/>
      <c r="G7" s="252"/>
      <c r="H7" s="387"/>
      <c r="I7" s="387"/>
      <c r="J7" s="387"/>
      <c r="K7" s="387"/>
      <c r="L7" s="329"/>
      <c r="M7" s="329"/>
      <c r="N7" s="329"/>
      <c r="O7" s="329"/>
      <c r="P7" s="329"/>
    </row>
    <row r="8" spans="1:18" ht="12.75" x14ac:dyDescent="0.2">
      <c r="A8" s="329"/>
      <c r="B8" s="329"/>
      <c r="C8" s="389" t="s">
        <v>1187</v>
      </c>
      <c r="D8" s="392">
        <f>COVER!A13</f>
        <v>26034347004</v>
      </c>
      <c r="E8" s="393"/>
      <c r="G8" s="329"/>
      <c r="H8" s="329"/>
      <c r="I8" s="329"/>
      <c r="J8" s="329"/>
      <c r="K8" s="329"/>
      <c r="L8" s="329"/>
      <c r="M8" s="329"/>
      <c r="N8" s="329"/>
      <c r="O8" s="329"/>
      <c r="P8" s="329"/>
    </row>
    <row r="9" spans="1:18" ht="12.75" x14ac:dyDescent="0.2">
      <c r="A9" s="329"/>
      <c r="B9" s="329"/>
      <c r="C9" s="389" t="s">
        <v>737</v>
      </c>
      <c r="D9" s="394" t="str">
        <f>COVER!A15</f>
        <v>Hancock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292235</v>
      </c>
      <c r="I12" s="404"/>
      <c r="J12" s="404"/>
      <c r="K12" s="405">
        <f>TRUNC((H12/H13*100000),5)/100000</f>
        <v>0.1105731521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2642911</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2460672</v>
      </c>
      <c r="I17" s="404"/>
      <c r="J17" s="416"/>
      <c r="K17" s="405">
        <f>TRUNC((H17/H18*100000),5)/100000</f>
        <v>0.93104610780000008</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2642911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292235</v>
      </c>
      <c r="I24" s="422"/>
      <c r="J24" s="422"/>
      <c r="K24" s="423">
        <f>TRUNC(((H24/H25*100000)/100000),2)</f>
        <v>42.75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6835.2</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941716.05451000005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1960000</v>
      </c>
      <c r="I32" s="420"/>
      <c r="J32" s="420"/>
      <c r="K32" s="423">
        <f>TRUNC(100-((((H32/H33*100))*100)/100),2)</f>
        <v>37.950000000000003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3158891.9670000002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I6" sqref="I6:S6"/>
      <selection pane="bottomLeft" activeCell="I6" sqref="I6:S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116076</v>
      </c>
      <c r="D4" s="466">
        <v>3852</v>
      </c>
      <c r="E4" s="466">
        <v>64721</v>
      </c>
      <c r="F4" s="466">
        <v>115987</v>
      </c>
      <c r="G4" s="466">
        <v>56205</v>
      </c>
      <c r="H4" s="466"/>
      <c r="I4" s="466">
        <v>56320</v>
      </c>
      <c r="J4" s="467">
        <v>51841</v>
      </c>
      <c r="K4" s="466">
        <v>98258</v>
      </c>
      <c r="L4" s="466">
        <v>15122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116076</v>
      </c>
      <c r="D13" s="1759">
        <f t="shared" ref="D13:L13" si="0">SUM(D4:D12)</f>
        <v>3852</v>
      </c>
      <c r="E13" s="1759">
        <f t="shared" si="0"/>
        <v>64721</v>
      </c>
      <c r="F13" s="1759">
        <f t="shared" si="0"/>
        <v>115987</v>
      </c>
      <c r="G13" s="1759">
        <f t="shared" si="0"/>
        <v>56205</v>
      </c>
      <c r="H13" s="1759">
        <f t="shared" si="0"/>
        <v>0</v>
      </c>
      <c r="I13" s="1759">
        <f t="shared" si="0"/>
        <v>56320</v>
      </c>
      <c r="J13" s="1759">
        <f t="shared" si="0"/>
        <v>51841</v>
      </c>
      <c r="K13" s="1759">
        <f t="shared" si="0"/>
        <v>98258</v>
      </c>
      <c r="L13" s="1759">
        <f t="shared" si="0"/>
        <v>15122</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3233424</v>
      </c>
      <c r="N17" s="484"/>
    </row>
    <row r="18" spans="1:14" s="485" customFormat="1" ht="12.75" customHeight="1" x14ac:dyDescent="0.2">
      <c r="A18" s="482" t="s">
        <v>1471</v>
      </c>
      <c r="B18" s="483">
        <v>240</v>
      </c>
      <c r="C18" s="477"/>
      <c r="D18" s="477"/>
      <c r="E18" s="477"/>
      <c r="F18" s="477"/>
      <c r="G18" s="477"/>
      <c r="H18" s="477"/>
      <c r="I18" s="477"/>
      <c r="J18" s="477"/>
      <c r="K18" s="477"/>
      <c r="L18" s="477"/>
      <c r="M18" s="467">
        <v>0</v>
      </c>
      <c r="N18" s="484"/>
    </row>
    <row r="19" spans="1:14" s="485" customFormat="1" ht="12.75" customHeight="1" x14ac:dyDescent="0.2">
      <c r="A19" s="482" t="s">
        <v>1472</v>
      </c>
      <c r="B19" s="483">
        <v>250</v>
      </c>
      <c r="C19" s="477"/>
      <c r="D19" s="477"/>
      <c r="E19" s="477"/>
      <c r="F19" s="477"/>
      <c r="G19" s="477"/>
      <c r="H19" s="477"/>
      <c r="I19" s="477"/>
      <c r="J19" s="477"/>
      <c r="K19" s="477"/>
      <c r="L19" s="477"/>
      <c r="M19" s="467">
        <v>471418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64721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1895279</v>
      </c>
    </row>
    <row r="23" spans="1:14" ht="13.5" customHeight="1" thickBot="1" x14ac:dyDescent="0.25">
      <c r="A23" s="1758" t="s">
        <v>664</v>
      </c>
      <c r="B23" s="1763"/>
      <c r="C23" s="468"/>
      <c r="D23" s="468"/>
      <c r="E23" s="468"/>
      <c r="F23" s="468"/>
      <c r="G23" s="468"/>
      <c r="H23" s="468"/>
      <c r="I23" s="468"/>
      <c r="J23" s="468"/>
      <c r="K23" s="468"/>
      <c r="L23" s="468"/>
      <c r="M23" s="1710">
        <f>SUM(M15:M22)</f>
        <v>3704842</v>
      </c>
      <c r="N23" s="1710">
        <f>SUM(N21:N22)</f>
        <v>1960000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15122</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15122</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1960000</v>
      </c>
    </row>
    <row r="37" spans="1:14" ht="13.5" thickBot="1" x14ac:dyDescent="0.25">
      <c r="A37" s="1758" t="s">
        <v>674</v>
      </c>
      <c r="B37" s="1763"/>
      <c r="C37" s="477"/>
      <c r="D37" s="477"/>
      <c r="E37" s="477"/>
      <c r="F37" s="477"/>
      <c r="G37" s="477"/>
      <c r="H37" s="477"/>
      <c r="I37" s="477"/>
      <c r="J37" s="477"/>
      <c r="K37" s="477"/>
      <c r="L37" s="480"/>
      <c r="M37" s="468"/>
      <c r="N37" s="1710">
        <f>SUM(N36:N36)</f>
        <v>1960000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116076</v>
      </c>
      <c r="D39" s="466">
        <v>3852</v>
      </c>
      <c r="E39" s="466">
        <v>64721</v>
      </c>
      <c r="F39" s="466">
        <v>115987</v>
      </c>
      <c r="G39" s="466">
        <v>56205</v>
      </c>
      <c r="H39" s="466"/>
      <c r="I39" s="466">
        <v>56320</v>
      </c>
      <c r="J39" s="467">
        <v>51841</v>
      </c>
      <c r="K39" s="466">
        <v>98258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3704842</v>
      </c>
      <c r="N40" s="497"/>
    </row>
    <row r="41" spans="1:14" ht="13.5" customHeight="1" thickBot="1" x14ac:dyDescent="0.25">
      <c r="A41" s="1758" t="s">
        <v>676</v>
      </c>
      <c r="B41" s="1728"/>
      <c r="C41" s="1710">
        <f>(SUM(C34,C37,C38,C39))</f>
        <v>116076</v>
      </c>
      <c r="D41" s="1710">
        <f t="shared" ref="D41:L41" si="2">SUM(D34,D37,D38:D39)</f>
        <v>3852</v>
      </c>
      <c r="E41" s="1710">
        <f t="shared" si="2"/>
        <v>64721</v>
      </c>
      <c r="F41" s="1710">
        <f t="shared" si="2"/>
        <v>115987</v>
      </c>
      <c r="G41" s="1710">
        <f t="shared" si="2"/>
        <v>56205</v>
      </c>
      <c r="H41" s="1710">
        <f t="shared" si="2"/>
        <v>0</v>
      </c>
      <c r="I41" s="1710">
        <f t="shared" si="2"/>
        <v>56320</v>
      </c>
      <c r="J41" s="1710">
        <f t="shared" si="2"/>
        <v>51841</v>
      </c>
      <c r="K41" s="1710">
        <f t="shared" si="2"/>
        <v>98258</v>
      </c>
      <c r="L41" s="1710">
        <f t="shared" si="2"/>
        <v>15122</v>
      </c>
      <c r="M41" s="1710">
        <f>SUM(M40)</f>
        <v>3704842</v>
      </c>
      <c r="N41" s="1710">
        <f>SUM(N37)</f>
        <v>1960000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1" activePane="bottomLeft" state="frozenSplit"/>
      <selection activeCell="I6" sqref="I6:S6"/>
      <selection pane="bottomLeft" activeCell="I6" sqref="I6:S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1345210</v>
      </c>
      <c r="D4" s="1764">
        <f>'Revenues 9-14'!D109</f>
        <v>217290</v>
      </c>
      <c r="E4" s="1764">
        <f>'Revenues 9-14'!E109</f>
        <v>221582</v>
      </c>
      <c r="F4" s="1764">
        <f>'Revenues 9-14'!F109</f>
        <v>52130</v>
      </c>
      <c r="G4" s="1764">
        <f>'Revenues 9-14'!G109</f>
        <v>120923</v>
      </c>
      <c r="H4" s="1764">
        <f>'Revenues 9-14'!H109</f>
        <v>0</v>
      </c>
      <c r="I4" s="1764">
        <f>'Revenues 9-14'!I109</f>
        <v>21720</v>
      </c>
      <c r="J4" s="1764">
        <f>'Revenues 9-14'!J109</f>
        <v>168189</v>
      </c>
      <c r="K4" s="1764">
        <f>'Revenues 9-14'!K109</f>
        <v>21719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646779</v>
      </c>
      <c r="D6" s="1765">
        <f>'Revenues 9-14'!D173</f>
        <v>10000</v>
      </c>
      <c r="E6" s="1765">
        <f>'Revenues 9-14'!E173</f>
        <v>0</v>
      </c>
      <c r="F6" s="1765">
        <f>'Revenues 9-14'!F173</f>
        <v>195666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154116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2146105</v>
      </c>
      <c r="D8" s="1710">
        <f t="shared" ref="D8:K8" si="0">SUM(D4:D7)</f>
        <v>227290</v>
      </c>
      <c r="E8" s="1710">
        <f t="shared" si="0"/>
        <v>221582</v>
      </c>
      <c r="F8" s="1710">
        <f t="shared" si="0"/>
        <v>247796</v>
      </c>
      <c r="G8" s="1710">
        <f t="shared" si="0"/>
        <v>120923</v>
      </c>
      <c r="H8" s="1710">
        <f t="shared" si="0"/>
        <v>0</v>
      </c>
      <c r="I8" s="1710">
        <f t="shared" si="0"/>
        <v>21720</v>
      </c>
      <c r="J8" s="1710">
        <f t="shared" si="0"/>
        <v>168189</v>
      </c>
      <c r="K8" s="1710">
        <f t="shared" si="0"/>
        <v>21719</v>
      </c>
      <c r="L8" s="347"/>
    </row>
    <row r="9" spans="1:13" ht="15.75" thickTop="1" x14ac:dyDescent="0.2">
      <c r="A9" s="514" t="s">
        <v>1752</v>
      </c>
      <c r="B9" s="515">
        <v>3998</v>
      </c>
      <c r="C9" s="481">
        <v>785733</v>
      </c>
      <c r="D9" s="516"/>
      <c r="E9" s="481"/>
      <c r="F9" s="481"/>
      <c r="G9" s="517"/>
      <c r="H9" s="481"/>
      <c r="I9" s="509" t="s">
        <v>1231</v>
      </c>
      <c r="J9" s="478"/>
      <c r="K9" s="481"/>
      <c r="L9" s="347"/>
    </row>
    <row r="10" spans="1:13" s="519" customFormat="1" ht="13.5" thickBot="1" x14ac:dyDescent="0.25">
      <c r="A10" s="1758" t="s">
        <v>1235</v>
      </c>
      <c r="B10" s="1731"/>
      <c r="C10" s="1710">
        <f>SUM(C8:C9)</f>
        <v>2931838</v>
      </c>
      <c r="D10" s="1710">
        <f t="shared" ref="D10:K10" si="1">SUM(D8:D9)</f>
        <v>227290</v>
      </c>
      <c r="E10" s="1710">
        <f t="shared" si="1"/>
        <v>221582</v>
      </c>
      <c r="F10" s="1710">
        <f t="shared" si="1"/>
        <v>247796</v>
      </c>
      <c r="G10" s="1710">
        <f t="shared" si="1"/>
        <v>120923</v>
      </c>
      <c r="H10" s="1710">
        <f t="shared" si="1"/>
        <v>0</v>
      </c>
      <c r="I10" s="1710">
        <f t="shared" si="1"/>
        <v>21720</v>
      </c>
      <c r="J10" s="1710">
        <f t="shared" si="1"/>
        <v>168189</v>
      </c>
      <c r="K10" s="1710">
        <f t="shared" si="1"/>
        <v>21719</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1317787</v>
      </c>
      <c r="D12" s="520" t="s">
        <v>1231</v>
      </c>
      <c r="E12" s="468" t="s">
        <v>1231</v>
      </c>
      <c r="F12" s="468" t="s">
        <v>1231</v>
      </c>
      <c r="G12" s="1764">
        <f>'Expenditures 15-22'!K229</f>
        <v>43552</v>
      </c>
      <c r="H12" s="521"/>
      <c r="I12" s="468" t="s">
        <v>1231</v>
      </c>
      <c r="J12" s="468" t="s">
        <v>1231</v>
      </c>
      <c r="K12" s="521" t="s">
        <v>1231</v>
      </c>
      <c r="L12" s="347"/>
    </row>
    <row r="13" spans="1:13" ht="15.75" customHeight="1" x14ac:dyDescent="0.2">
      <c r="A13" s="1598" t="s">
        <v>477</v>
      </c>
      <c r="B13" s="1600">
        <v>2000</v>
      </c>
      <c r="C13" s="1765">
        <f>'Expenditures 15-22'!K74</f>
        <v>603290</v>
      </c>
      <c r="D13" s="1765">
        <f>'Expenditures 15-22'!K129</f>
        <v>232082</v>
      </c>
      <c r="E13" s="469" t="s">
        <v>1231</v>
      </c>
      <c r="F13" s="1765">
        <f>'Expenditures 15-22'!K184</f>
        <v>249047</v>
      </c>
      <c r="G13" s="1765">
        <f>'Expenditures 15-22'!K279</f>
        <v>74611</v>
      </c>
      <c r="H13" s="1765">
        <f>'Expenditures 15-22'!K303</f>
        <v>0</v>
      </c>
      <c r="I13" s="468" t="s">
        <v>1231</v>
      </c>
      <c r="J13" s="1765">
        <f>'Expenditures 15-22'!K330</f>
        <v>163908</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58466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218315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1979543</v>
      </c>
      <c r="D17" s="1710">
        <f t="shared" si="2"/>
        <v>232082</v>
      </c>
      <c r="E17" s="1710">
        <f t="shared" si="2"/>
        <v>218315</v>
      </c>
      <c r="F17" s="1710">
        <f t="shared" si="2"/>
        <v>249047</v>
      </c>
      <c r="G17" s="1710">
        <f t="shared" si="2"/>
        <v>118163</v>
      </c>
      <c r="H17" s="1710">
        <f t="shared" si="2"/>
        <v>0</v>
      </c>
      <c r="I17" s="468"/>
      <c r="J17" s="1710">
        <f>SUM(J12:J16)</f>
        <v>163908</v>
      </c>
      <c r="K17" s="1710">
        <f>SUM(K12:K16)</f>
        <v>0</v>
      </c>
      <c r="L17" s="347"/>
    </row>
    <row r="18" spans="1:12" ht="15" customHeight="1" thickTop="1" x14ac:dyDescent="0.2">
      <c r="A18" s="1766" t="s">
        <v>1753</v>
      </c>
      <c r="B18" s="1767">
        <v>4180</v>
      </c>
      <c r="C18" s="1764">
        <f t="shared" ref="C18:H18" si="3">C9</f>
        <v>785733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2765276</v>
      </c>
      <c r="D19" s="1710">
        <f t="shared" si="4"/>
        <v>232082</v>
      </c>
      <c r="E19" s="1710">
        <f t="shared" si="4"/>
        <v>218315</v>
      </c>
      <c r="F19" s="1710">
        <f t="shared" si="4"/>
        <v>249047</v>
      </c>
      <c r="G19" s="1710">
        <f t="shared" si="4"/>
        <v>118163</v>
      </c>
      <c r="H19" s="1710">
        <f t="shared" si="4"/>
        <v>0</v>
      </c>
      <c r="I19" s="468"/>
      <c r="J19" s="1710">
        <f>SUM(J17:J18)</f>
        <v>163908</v>
      </c>
      <c r="K19" s="1710">
        <f>SUM(K17:K18)</f>
        <v>0</v>
      </c>
      <c r="L19" s="347"/>
    </row>
    <row r="20" spans="1:12" ht="16.5" thickTop="1" thickBot="1" x14ac:dyDescent="0.25">
      <c r="A20" s="2142" t="s">
        <v>1754</v>
      </c>
      <c r="B20" s="2143"/>
      <c r="C20" s="1768">
        <f>C8-C17</f>
        <v>166562</v>
      </c>
      <c r="D20" s="1768">
        <f t="shared" ref="D20:K20" si="5">D8-D17</f>
        <v>-4792</v>
      </c>
      <c r="E20" s="1768">
        <f t="shared" si="5"/>
        <v>3267</v>
      </c>
      <c r="F20" s="1768">
        <f t="shared" si="5"/>
        <v>-1251</v>
      </c>
      <c r="G20" s="1768">
        <f t="shared" si="5"/>
        <v>2760</v>
      </c>
      <c r="H20" s="1768">
        <f t="shared" si="5"/>
        <v>0</v>
      </c>
      <c r="I20" s="1768">
        <f t="shared" si="5"/>
        <v>21720</v>
      </c>
      <c r="J20" s="1768">
        <f t="shared" si="5"/>
        <v>4281</v>
      </c>
      <c r="K20" s="1768">
        <f t="shared" si="5"/>
        <v>21719</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32000</v>
      </c>
      <c r="D26" s="467">
        <v>32000</v>
      </c>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32000</v>
      </c>
      <c r="D44" s="1725">
        <f t="shared" ref="D44:K44" si="6">SUM(D24:D43)</f>
        <v>32000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64000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64000</v>
      </c>
      <c r="J76" s="1725">
        <f t="shared" si="7"/>
        <v>0</v>
      </c>
      <c r="K76" s="1725">
        <f t="shared" si="7"/>
        <v>0</v>
      </c>
      <c r="L76" s="524"/>
    </row>
    <row r="77" spans="1:12" ht="14.25" thickTop="1" thickBot="1" x14ac:dyDescent="0.25">
      <c r="A77" s="2134" t="s">
        <v>1239</v>
      </c>
      <c r="B77" s="2135"/>
      <c r="C77" s="1725">
        <f t="shared" ref="C77:K77" si="8">C44-C76</f>
        <v>32000</v>
      </c>
      <c r="D77" s="1725">
        <f t="shared" si="8"/>
        <v>32000</v>
      </c>
      <c r="E77" s="1725">
        <f t="shared" si="8"/>
        <v>0</v>
      </c>
      <c r="F77" s="1725">
        <f t="shared" si="8"/>
        <v>0</v>
      </c>
      <c r="G77" s="1725">
        <f t="shared" si="8"/>
        <v>0</v>
      </c>
      <c r="H77" s="1725">
        <f t="shared" si="8"/>
        <v>0</v>
      </c>
      <c r="I77" s="1725">
        <f t="shared" si="8"/>
        <v>-64000</v>
      </c>
      <c r="J77" s="1725">
        <f t="shared" si="8"/>
        <v>0</v>
      </c>
      <c r="K77" s="1725">
        <f t="shared" si="8"/>
        <v>0</v>
      </c>
      <c r="L77" s="347"/>
    </row>
    <row r="78" spans="1:12" ht="21.75" customHeight="1" thickTop="1" thickBot="1" x14ac:dyDescent="0.25">
      <c r="A78" s="2138" t="s">
        <v>618</v>
      </c>
      <c r="B78" s="2139"/>
      <c r="C78" s="1724">
        <f t="shared" ref="C78:K78" si="9">C20+C77</f>
        <v>198562</v>
      </c>
      <c r="D78" s="1724">
        <f t="shared" si="9"/>
        <v>27208</v>
      </c>
      <c r="E78" s="1724">
        <f t="shared" si="9"/>
        <v>3267</v>
      </c>
      <c r="F78" s="1724">
        <f t="shared" si="9"/>
        <v>-1251</v>
      </c>
      <c r="G78" s="1724">
        <f t="shared" si="9"/>
        <v>2760</v>
      </c>
      <c r="H78" s="1724">
        <f t="shared" si="9"/>
        <v>0</v>
      </c>
      <c r="I78" s="1724">
        <f t="shared" si="9"/>
        <v>-42280</v>
      </c>
      <c r="J78" s="1724">
        <f t="shared" si="9"/>
        <v>4281</v>
      </c>
      <c r="K78" s="1724">
        <f t="shared" si="9"/>
        <v>21719</v>
      </c>
      <c r="L78" s="533"/>
    </row>
    <row r="79" spans="1:12" ht="13.5" thickTop="1" x14ac:dyDescent="0.2">
      <c r="A79" s="1516" t="s">
        <v>2071</v>
      </c>
      <c r="B79" s="534"/>
      <c r="C79" s="478">
        <v>-82486</v>
      </c>
      <c r="D79" s="535">
        <v>-23356</v>
      </c>
      <c r="E79" s="535">
        <v>61454</v>
      </c>
      <c r="F79" s="535">
        <v>117238</v>
      </c>
      <c r="G79" s="535">
        <v>53445</v>
      </c>
      <c r="H79" s="535">
        <v>0</v>
      </c>
      <c r="I79" s="535">
        <v>98600</v>
      </c>
      <c r="J79" s="535">
        <v>47560</v>
      </c>
      <c r="K79" s="535">
        <v>76539</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2072</v>
      </c>
      <c r="B81" s="2137"/>
      <c r="C81" s="1710">
        <f>(SUM(C78:C80))</f>
        <v>116076</v>
      </c>
      <c r="D81" s="1710">
        <f>SUM(D78:D80)</f>
        <v>3852</v>
      </c>
      <c r="E81" s="1710">
        <f t="shared" ref="E81:K81" si="10">SUM(E78:E80)</f>
        <v>64721</v>
      </c>
      <c r="F81" s="1710">
        <f t="shared" si="10"/>
        <v>115987</v>
      </c>
      <c r="G81" s="1710">
        <f t="shared" si="10"/>
        <v>56205</v>
      </c>
      <c r="H81" s="1710">
        <f t="shared" si="10"/>
        <v>0</v>
      </c>
      <c r="I81" s="1710">
        <f t="shared" si="10"/>
        <v>56320</v>
      </c>
      <c r="J81" s="1710">
        <f t="shared" si="10"/>
        <v>51841</v>
      </c>
      <c r="K81" s="1710">
        <f t="shared" si="10"/>
        <v>98258</v>
      </c>
      <c r="L81" s="347"/>
    </row>
    <row r="82" spans="1:12" ht="0.75" customHeight="1" thickTop="1" thickBot="1" x14ac:dyDescent="0.25">
      <c r="A82" s="536" t="s">
        <v>361</v>
      </c>
      <c r="B82" s="537"/>
      <c r="C82" s="538">
        <f>(C81-C79)</f>
        <v>198562</v>
      </c>
      <c r="D82" s="538">
        <f t="shared" ref="D82:K82" si="11">(D81-D79)</f>
        <v>27208</v>
      </c>
      <c r="E82" s="538">
        <f t="shared" si="11"/>
        <v>3267</v>
      </c>
      <c r="F82" s="538">
        <f t="shared" si="11"/>
        <v>-1251</v>
      </c>
      <c r="G82" s="538">
        <f t="shared" si="11"/>
        <v>2760</v>
      </c>
      <c r="H82" s="538">
        <f t="shared" si="11"/>
        <v>0</v>
      </c>
      <c r="I82" s="538">
        <f t="shared" si="11"/>
        <v>-42280</v>
      </c>
      <c r="J82" s="538">
        <f t="shared" si="11"/>
        <v>4281</v>
      </c>
      <c r="K82" s="538">
        <f t="shared" si="11"/>
        <v>21719</v>
      </c>
    </row>
    <row r="83" spans="1:12" ht="14.25" hidden="1" thickTop="1" thickBot="1" x14ac:dyDescent="0.25">
      <c r="A83" s="539" t="s">
        <v>362</v>
      </c>
      <c r="B83" s="464"/>
      <c r="C83" s="540">
        <f>C82/C81</f>
        <v>1.7106206278645026</v>
      </c>
      <c r="D83" s="540">
        <f t="shared" ref="D83:K83" si="12">D82/D81</f>
        <v>7.0633437175493254</v>
      </c>
      <c r="E83" s="540">
        <f t="shared" si="12"/>
        <v>5.0478206455400874E-2</v>
      </c>
      <c r="F83" s="540">
        <f t="shared" si="12"/>
        <v>-1.0785691499909473E-2</v>
      </c>
      <c r="G83" s="540">
        <f t="shared" si="12"/>
        <v>4.9105951427808915E-2</v>
      </c>
      <c r="H83" s="540" t="e">
        <f t="shared" si="12"/>
        <v>#DIV/0!</v>
      </c>
      <c r="I83" s="540">
        <f t="shared" si="12"/>
        <v>-0.75071022727272729</v>
      </c>
      <c r="J83" s="540">
        <f t="shared" si="12"/>
        <v>8.2579425551204649E-2</v>
      </c>
      <c r="K83" s="540">
        <f t="shared" si="12"/>
        <v>0.22104052596226262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I6" sqref="I6:S6"/>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781342</v>
      </c>
      <c r="D5" s="481">
        <v>217039</v>
      </c>
      <c r="E5" s="466">
        <v>221420</v>
      </c>
      <c r="F5" s="548">
        <v>52089</v>
      </c>
      <c r="G5" s="466">
        <v>65910</v>
      </c>
      <c r="H5" s="466"/>
      <c r="I5" s="466">
        <v>21704</v>
      </c>
      <c r="J5" s="467">
        <v>168065</v>
      </c>
      <c r="K5" s="466">
        <v>21704</v>
      </c>
    </row>
    <row r="6" spans="1:12" ht="15" x14ac:dyDescent="0.2">
      <c r="A6" s="463" t="s">
        <v>1761</v>
      </c>
      <c r="B6" s="470">
        <v>1130</v>
      </c>
      <c r="C6" s="466">
        <v>21704</v>
      </c>
      <c r="D6" s="466"/>
      <c r="E6" s="475"/>
      <c r="F6" s="475"/>
      <c r="G6" s="468"/>
      <c r="H6" s="468"/>
      <c r="I6" s="468"/>
      <c r="J6" s="468"/>
      <c r="K6" s="468"/>
    </row>
    <row r="7" spans="1:12" x14ac:dyDescent="0.2">
      <c r="A7" s="463" t="s">
        <v>112</v>
      </c>
      <c r="B7" s="549">
        <v>1140</v>
      </c>
      <c r="C7" s="466">
        <v>17364</v>
      </c>
      <c r="D7" s="466"/>
      <c r="E7" s="468"/>
      <c r="F7" s="467"/>
      <c r="G7" s="467"/>
      <c r="H7" s="467"/>
      <c r="I7" s="468"/>
      <c r="J7" s="468"/>
      <c r="K7" s="468"/>
    </row>
    <row r="8" spans="1:12" x14ac:dyDescent="0.2">
      <c r="A8" s="463" t="s">
        <v>433</v>
      </c>
      <c r="B8" s="470">
        <v>1150</v>
      </c>
      <c r="C8" s="475"/>
      <c r="D8" s="475"/>
      <c r="E8" s="477"/>
      <c r="F8" s="477"/>
      <c r="G8" s="481">
        <v>54923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820410</v>
      </c>
      <c r="D12" s="1729">
        <f t="shared" si="0"/>
        <v>217039</v>
      </c>
      <c r="E12" s="1729">
        <f t="shared" si="0"/>
        <v>221420</v>
      </c>
      <c r="F12" s="1729">
        <f t="shared" si="0"/>
        <v>52089</v>
      </c>
      <c r="G12" s="1729">
        <f t="shared" si="0"/>
        <v>120833</v>
      </c>
      <c r="H12" s="1729">
        <f t="shared" si="0"/>
        <v>0</v>
      </c>
      <c r="I12" s="1729">
        <f t="shared" si="0"/>
        <v>21704</v>
      </c>
      <c r="J12" s="1729">
        <f t="shared" si="0"/>
        <v>168065</v>
      </c>
      <c r="K12" s="1710">
        <f t="shared" si="0"/>
        <v>21704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546</v>
      </c>
      <c r="D14" s="466">
        <v>145</v>
      </c>
      <c r="E14" s="466">
        <v>148</v>
      </c>
      <c r="F14" s="466">
        <v>35</v>
      </c>
      <c r="G14" s="466">
        <v>80</v>
      </c>
      <c r="H14" s="466"/>
      <c r="I14" s="466">
        <v>14</v>
      </c>
      <c r="J14" s="467">
        <v>112</v>
      </c>
      <c r="K14" s="466">
        <v>14</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48595</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49141</v>
      </c>
      <c r="D18" s="1732">
        <f t="shared" ref="D18:K18" si="1">SUM(D14:D17)</f>
        <v>145</v>
      </c>
      <c r="E18" s="1732">
        <f t="shared" si="1"/>
        <v>148</v>
      </c>
      <c r="F18" s="1732">
        <f t="shared" si="1"/>
        <v>35</v>
      </c>
      <c r="G18" s="1732">
        <f t="shared" si="1"/>
        <v>80</v>
      </c>
      <c r="H18" s="1732">
        <f t="shared" si="1"/>
        <v>0</v>
      </c>
      <c r="I18" s="1732">
        <f t="shared" si="1"/>
        <v>14</v>
      </c>
      <c r="J18" s="1732">
        <f t="shared" si="1"/>
        <v>112</v>
      </c>
      <c r="K18" s="1733">
        <f t="shared" si="1"/>
        <v>14</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4416</v>
      </c>
      <c r="D65" s="466">
        <v>16</v>
      </c>
      <c r="E65" s="466">
        <v>14</v>
      </c>
      <c r="F65" s="467">
        <v>6</v>
      </c>
      <c r="G65" s="466">
        <v>10</v>
      </c>
      <c r="H65" s="466"/>
      <c r="I65" s="466">
        <v>2</v>
      </c>
      <c r="J65" s="467">
        <v>12</v>
      </c>
      <c r="K65" s="466">
        <v>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4416</v>
      </c>
      <c r="D67" s="1710">
        <f t="shared" ref="D67:K67" si="2">SUM(D65:D66)</f>
        <v>16</v>
      </c>
      <c r="E67" s="1710">
        <f t="shared" si="2"/>
        <v>14</v>
      </c>
      <c r="F67" s="1710">
        <f t="shared" si="2"/>
        <v>6</v>
      </c>
      <c r="G67" s="1710">
        <f t="shared" si="2"/>
        <v>10</v>
      </c>
      <c r="H67" s="1710">
        <f t="shared" si="2"/>
        <v>0</v>
      </c>
      <c r="I67" s="1710">
        <f t="shared" si="2"/>
        <v>2</v>
      </c>
      <c r="J67" s="1710">
        <f t="shared" si="2"/>
        <v>12</v>
      </c>
      <c r="K67" s="1710">
        <f t="shared" si="2"/>
        <v>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40913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40913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965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965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4105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4105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425260</v>
      </c>
      <c r="D107" s="466">
        <v>90</v>
      </c>
      <c r="E107" s="466"/>
      <c r="F107" s="466"/>
      <c r="G107" s="466"/>
      <c r="H107" s="466"/>
      <c r="I107" s="466"/>
      <c r="J107" s="467"/>
      <c r="K107" s="466"/>
    </row>
    <row r="108" spans="1:12" ht="12.75" customHeight="1" thickBot="1" x14ac:dyDescent="0.25">
      <c r="A108" s="1730" t="s">
        <v>508</v>
      </c>
      <c r="B108" s="1734"/>
      <c r="C108" s="1729">
        <f>SUM(C95:C107)</f>
        <v>425260</v>
      </c>
      <c r="D108" s="1729">
        <f t="shared" ref="D108:K108" si="3">SUM(D95:D107)</f>
        <v>90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1345210</v>
      </c>
      <c r="D109" s="1737">
        <f t="shared" si="4"/>
        <v>217290</v>
      </c>
      <c r="E109" s="1737">
        <f t="shared" si="4"/>
        <v>221582</v>
      </c>
      <c r="F109" s="1737">
        <f t="shared" si="4"/>
        <v>52130</v>
      </c>
      <c r="G109" s="1737">
        <f t="shared" si="4"/>
        <v>120923</v>
      </c>
      <c r="H109" s="1737">
        <f t="shared" si="4"/>
        <v>0</v>
      </c>
      <c r="I109" s="1737">
        <f t="shared" si="4"/>
        <v>21720</v>
      </c>
      <c r="J109" s="1737">
        <f t="shared" si="4"/>
        <v>168189</v>
      </c>
      <c r="K109" s="1724">
        <f t="shared" si="4"/>
        <v>21719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480586</v>
      </c>
      <c r="D117" s="481">
        <v>10000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480586</v>
      </c>
      <c r="D121" s="1729">
        <f t="shared" si="5"/>
        <v>10000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14434</v>
      </c>
      <c r="D125" s="561"/>
      <c r="E125" s="468"/>
      <c r="F125" s="466"/>
      <c r="G125" s="468"/>
      <c r="H125" s="468"/>
      <c r="I125" s="468"/>
      <c r="J125" s="468"/>
      <c r="K125" s="468"/>
    </row>
    <row r="126" spans="1:11" ht="12.75" customHeight="1" x14ac:dyDescent="0.2">
      <c r="A126" s="463" t="s">
        <v>922</v>
      </c>
      <c r="B126" s="562">
        <v>3110</v>
      </c>
      <c r="C126" s="551">
        <v>32593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47027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1357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93610</v>
      </c>
      <c r="G151" s="467"/>
      <c r="H151" s="468"/>
      <c r="I151" s="468"/>
      <c r="J151" s="468"/>
      <c r="K151" s="468"/>
    </row>
    <row r="152" spans="1:11" ht="12.75" customHeight="1" x14ac:dyDescent="0.2">
      <c r="A152" s="463" t="s">
        <v>1117</v>
      </c>
      <c r="B152" s="562">
        <v>3510</v>
      </c>
      <c r="C152" s="551"/>
      <c r="D152" s="466"/>
      <c r="E152" s="561"/>
      <c r="F152" s="466">
        <v>102056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195666</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117809</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166193</v>
      </c>
      <c r="D172" s="1744">
        <f t="shared" si="6"/>
        <v>0</v>
      </c>
      <c r="E172" s="1744">
        <f t="shared" si="6"/>
        <v>0</v>
      </c>
      <c r="F172" s="1744">
        <f t="shared" si="6"/>
        <v>195666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646779</v>
      </c>
      <c r="D173" s="1737">
        <f>SUM(D121,D172)</f>
        <v>10000</v>
      </c>
      <c r="E173" s="1737">
        <f>SUM(E121,E172)</f>
        <v>0</v>
      </c>
      <c r="F173" s="1737">
        <f t="shared" ref="F173:K173" si="7">SUM(F121,F172)</f>
        <v>195666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60008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23624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83632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40123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40123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1962</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1962</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8074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20325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154116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154116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2146105</v>
      </c>
      <c r="D275" s="1737">
        <f t="shared" si="12"/>
        <v>227290</v>
      </c>
      <c r="E275" s="1737">
        <f t="shared" si="12"/>
        <v>221582</v>
      </c>
      <c r="F275" s="1737">
        <f t="shared" si="12"/>
        <v>247796</v>
      </c>
      <c r="G275" s="1737">
        <f t="shared" si="12"/>
        <v>120923</v>
      </c>
      <c r="H275" s="1737">
        <f t="shared" si="12"/>
        <v>0</v>
      </c>
      <c r="I275" s="1737">
        <f t="shared" si="12"/>
        <v>21720</v>
      </c>
      <c r="J275" s="1737">
        <f t="shared" si="12"/>
        <v>168189</v>
      </c>
      <c r="K275" s="1724">
        <f t="shared" si="12"/>
        <v>21719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5" activePane="bottomLeft" state="frozen"/>
      <selection activeCell="I6" sqref="I6:S6"/>
      <selection pane="bottomLeft" activeCell="I6" sqref="I6:S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656229</v>
      </c>
      <c r="D5" s="466">
        <v>202471</v>
      </c>
      <c r="E5" s="466">
        <v>1111</v>
      </c>
      <c r="F5" s="466">
        <v>13235</v>
      </c>
      <c r="G5" s="466"/>
      <c r="H5" s="466"/>
      <c r="I5" s="467"/>
      <c r="J5" s="467"/>
      <c r="K5" s="1693">
        <f>SUM(C5:J5)</f>
        <v>873046</v>
      </c>
      <c r="L5" s="466">
        <v>916391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72542</v>
      </c>
      <c r="D7" s="467">
        <v>20278</v>
      </c>
      <c r="E7" s="467"/>
      <c r="F7" s="467">
        <v>5152</v>
      </c>
      <c r="G7" s="467"/>
      <c r="H7" s="467"/>
      <c r="I7" s="467"/>
      <c r="J7" s="467"/>
      <c r="K7" s="1693">
        <f t="shared" ref="K7:K32" si="0">SUM(C7:J7)</f>
        <v>97972</v>
      </c>
      <c r="L7" s="466">
        <v>86803</v>
      </c>
    </row>
    <row r="8" spans="1:14" x14ac:dyDescent="0.2">
      <c r="A8" s="1526" t="s">
        <v>166</v>
      </c>
      <c r="B8" s="615">
        <v>1200</v>
      </c>
      <c r="C8" s="466">
        <v>154414</v>
      </c>
      <c r="D8" s="466">
        <v>69865</v>
      </c>
      <c r="E8" s="466">
        <v>838</v>
      </c>
      <c r="F8" s="466">
        <v>139</v>
      </c>
      <c r="G8" s="466"/>
      <c r="H8" s="466"/>
      <c r="I8" s="467"/>
      <c r="J8" s="467"/>
      <c r="K8" s="1693">
        <f t="shared" si="0"/>
        <v>225256</v>
      </c>
      <c r="L8" s="466">
        <v>242836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24001</v>
      </c>
      <c r="D10" s="466">
        <v>6870</v>
      </c>
      <c r="E10" s="466"/>
      <c r="F10" s="466">
        <v>27888</v>
      </c>
      <c r="G10" s="466"/>
      <c r="H10" s="466"/>
      <c r="I10" s="467"/>
      <c r="J10" s="467"/>
      <c r="K10" s="1693">
        <f t="shared" si="0"/>
        <v>58759</v>
      </c>
      <c r="L10" s="466">
        <v>28436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v>2391</v>
      </c>
      <c r="F13" s="466">
        <v>46944</v>
      </c>
      <c r="G13" s="466"/>
      <c r="H13" s="466"/>
      <c r="I13" s="467"/>
      <c r="J13" s="467"/>
      <c r="K13" s="1693">
        <f t="shared" si="0"/>
        <v>49335</v>
      </c>
      <c r="L13" s="466">
        <v>49411</v>
      </c>
    </row>
    <row r="14" spans="1:14" x14ac:dyDescent="0.2">
      <c r="A14" s="1526" t="s">
        <v>1020</v>
      </c>
      <c r="B14" s="615">
        <v>1500</v>
      </c>
      <c r="C14" s="466">
        <v>12408</v>
      </c>
      <c r="D14" s="466">
        <v>312</v>
      </c>
      <c r="E14" s="466">
        <v>46</v>
      </c>
      <c r="F14" s="466">
        <v>175</v>
      </c>
      <c r="G14" s="466"/>
      <c r="H14" s="466">
        <v>478</v>
      </c>
      <c r="I14" s="467"/>
      <c r="J14" s="467"/>
      <c r="K14" s="1693">
        <f t="shared" si="0"/>
        <v>13419</v>
      </c>
      <c r="L14" s="466">
        <v>36287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919594</v>
      </c>
      <c r="D33" s="1692">
        <f t="shared" ref="D33:L33" si="1">SUM(D5:D32)</f>
        <v>299796</v>
      </c>
      <c r="E33" s="1692">
        <f t="shared" si="1"/>
        <v>4386</v>
      </c>
      <c r="F33" s="1692">
        <f t="shared" si="1"/>
        <v>93533</v>
      </c>
      <c r="G33" s="1692">
        <f t="shared" si="1"/>
        <v>0</v>
      </c>
      <c r="H33" s="1692">
        <f t="shared" si="1"/>
        <v>478</v>
      </c>
      <c r="I33" s="1692">
        <f t="shared" si="1"/>
        <v>0</v>
      </c>
      <c r="J33" s="1692">
        <f t="shared" si="1"/>
        <v>0</v>
      </c>
      <c r="K33" s="1692">
        <f t="shared" si="1"/>
        <v>1317787</v>
      </c>
      <c r="L33" s="1692">
        <f t="shared" si="1"/>
        <v>1360164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13228</v>
      </c>
      <c r="F36" s="481"/>
      <c r="G36" s="481"/>
      <c r="H36" s="481"/>
      <c r="I36" s="467"/>
      <c r="J36" s="467"/>
      <c r="K36" s="1693">
        <f t="shared" ref="K36:K41" si="2">SUM(C36:J36)</f>
        <v>13228</v>
      </c>
      <c r="L36" s="466">
        <v>13228</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1245</v>
      </c>
      <c r="F38" s="466">
        <v>72</v>
      </c>
      <c r="G38" s="466"/>
      <c r="H38" s="466"/>
      <c r="I38" s="467"/>
      <c r="J38" s="467"/>
      <c r="K38" s="1693">
        <f t="shared" si="2"/>
        <v>1317</v>
      </c>
      <c r="L38" s="466">
        <v>210</v>
      </c>
    </row>
    <row r="39" spans="1:14" x14ac:dyDescent="0.2">
      <c r="A39" s="1526" t="s">
        <v>208</v>
      </c>
      <c r="B39" s="615">
        <v>2140</v>
      </c>
      <c r="C39" s="466"/>
      <c r="D39" s="466"/>
      <c r="E39" s="466">
        <v>6000</v>
      </c>
      <c r="F39" s="466"/>
      <c r="G39" s="466"/>
      <c r="H39" s="466"/>
      <c r="I39" s="467"/>
      <c r="J39" s="467"/>
      <c r="K39" s="1693">
        <f t="shared" si="2"/>
        <v>6000</v>
      </c>
      <c r="L39" s="466">
        <v>5600</v>
      </c>
    </row>
    <row r="40" spans="1:14" x14ac:dyDescent="0.2">
      <c r="A40" s="1526" t="s">
        <v>209</v>
      </c>
      <c r="B40" s="615">
        <v>2150</v>
      </c>
      <c r="C40" s="466">
        <v>23363</v>
      </c>
      <c r="D40" s="466">
        <v>10450</v>
      </c>
      <c r="E40" s="466">
        <v>10367</v>
      </c>
      <c r="F40" s="466">
        <v>104</v>
      </c>
      <c r="G40" s="466"/>
      <c r="H40" s="466"/>
      <c r="I40" s="467"/>
      <c r="J40" s="467"/>
      <c r="K40" s="1693">
        <f t="shared" si="2"/>
        <v>44284</v>
      </c>
      <c r="L40" s="466">
        <v>41712</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23363</v>
      </c>
      <c r="D42" s="1692">
        <f t="shared" ref="D42:L42" si="3">SUM(D36:D41)</f>
        <v>10450</v>
      </c>
      <c r="E42" s="1692">
        <f t="shared" si="3"/>
        <v>30840</v>
      </c>
      <c r="F42" s="1692">
        <f t="shared" si="3"/>
        <v>176</v>
      </c>
      <c r="G42" s="1692">
        <f t="shared" si="3"/>
        <v>0</v>
      </c>
      <c r="H42" s="1692">
        <f t="shared" si="3"/>
        <v>0</v>
      </c>
      <c r="I42" s="1692">
        <f t="shared" si="3"/>
        <v>0</v>
      </c>
      <c r="J42" s="1692">
        <f t="shared" si="3"/>
        <v>0</v>
      </c>
      <c r="K42" s="1692">
        <f t="shared" si="3"/>
        <v>64829</v>
      </c>
      <c r="L42" s="1692">
        <f t="shared" si="3"/>
        <v>60750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1225</v>
      </c>
      <c r="D44" s="481">
        <v>18</v>
      </c>
      <c r="E44" s="481">
        <v>6641</v>
      </c>
      <c r="F44" s="481">
        <v>5583</v>
      </c>
      <c r="G44" s="481"/>
      <c r="H44" s="481"/>
      <c r="I44" s="467"/>
      <c r="J44" s="467"/>
      <c r="K44" s="1694">
        <f>SUM(C44:J44)</f>
        <v>13467</v>
      </c>
      <c r="L44" s="481">
        <v>11650</v>
      </c>
    </row>
    <row r="45" spans="1:14" x14ac:dyDescent="0.2">
      <c r="A45" s="1526" t="s">
        <v>869</v>
      </c>
      <c r="B45" s="615">
        <v>2220</v>
      </c>
      <c r="C45" s="466">
        <v>5608</v>
      </c>
      <c r="D45" s="466">
        <v>4780</v>
      </c>
      <c r="E45" s="466"/>
      <c r="F45" s="466">
        <v>2904</v>
      </c>
      <c r="G45" s="466"/>
      <c r="H45" s="466"/>
      <c r="I45" s="467"/>
      <c r="J45" s="467"/>
      <c r="K45" s="1694">
        <f>SUM(C45:J45)</f>
        <v>13292</v>
      </c>
      <c r="L45" s="466">
        <v>13682</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6833</v>
      </c>
      <c r="D47" s="1692">
        <f t="shared" ref="D47:K47" si="4">SUM(D44:D46)</f>
        <v>4798</v>
      </c>
      <c r="E47" s="1692">
        <f t="shared" si="4"/>
        <v>6641</v>
      </c>
      <c r="F47" s="1692">
        <f t="shared" si="4"/>
        <v>8487</v>
      </c>
      <c r="G47" s="1692">
        <f t="shared" si="4"/>
        <v>0</v>
      </c>
      <c r="H47" s="1692">
        <f t="shared" si="4"/>
        <v>0</v>
      </c>
      <c r="I47" s="1692">
        <f t="shared" si="4"/>
        <v>0</v>
      </c>
      <c r="J47" s="1692">
        <f t="shared" si="4"/>
        <v>0</v>
      </c>
      <c r="K47" s="1692">
        <f t="shared" si="4"/>
        <v>26759</v>
      </c>
      <c r="L47" s="1692">
        <f>SUM(L44:L46)</f>
        <v>25332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15016</v>
      </c>
      <c r="F49" s="481">
        <v>7117</v>
      </c>
      <c r="G49" s="481"/>
      <c r="H49" s="481">
        <v>9014</v>
      </c>
      <c r="I49" s="467"/>
      <c r="J49" s="467"/>
      <c r="K49" s="1694">
        <f>SUM(C49:J49)</f>
        <v>31147</v>
      </c>
      <c r="L49" s="481">
        <v>25351</v>
      </c>
    </row>
    <row r="50" spans="1:14" x14ac:dyDescent="0.2">
      <c r="A50" s="1526" t="s">
        <v>872</v>
      </c>
      <c r="B50" s="615">
        <v>2320</v>
      </c>
      <c r="C50" s="466">
        <v>72941</v>
      </c>
      <c r="D50" s="466">
        <v>22585</v>
      </c>
      <c r="E50" s="466">
        <v>2982</v>
      </c>
      <c r="F50" s="466">
        <v>1381</v>
      </c>
      <c r="G50" s="466"/>
      <c r="H50" s="466">
        <v>630</v>
      </c>
      <c r="I50" s="467"/>
      <c r="J50" s="467"/>
      <c r="K50" s="1694">
        <f>SUM(C50:J50)</f>
        <v>100519</v>
      </c>
      <c r="L50" s="466">
        <v>125167</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72941</v>
      </c>
      <c r="D53" s="1692">
        <f t="shared" ref="D53:L53" si="5">SUM(D49:D52)</f>
        <v>22585</v>
      </c>
      <c r="E53" s="1692">
        <f t="shared" si="5"/>
        <v>17998</v>
      </c>
      <c r="F53" s="1692">
        <f t="shared" si="5"/>
        <v>8498</v>
      </c>
      <c r="G53" s="1692">
        <f t="shared" si="5"/>
        <v>0</v>
      </c>
      <c r="H53" s="1692">
        <f t="shared" si="5"/>
        <v>9644</v>
      </c>
      <c r="I53" s="1692">
        <f t="shared" si="5"/>
        <v>0</v>
      </c>
      <c r="J53" s="1692">
        <f t="shared" si="5"/>
        <v>0</v>
      </c>
      <c r="K53" s="1692">
        <f t="shared" si="5"/>
        <v>131666</v>
      </c>
      <c r="L53" s="1692">
        <f t="shared" si="5"/>
        <v>150518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97095</v>
      </c>
      <c r="D55" s="481">
        <v>33939</v>
      </c>
      <c r="E55" s="481">
        <v>354</v>
      </c>
      <c r="F55" s="481">
        <v>417</v>
      </c>
      <c r="G55" s="481"/>
      <c r="H55" s="481">
        <v>485</v>
      </c>
      <c r="I55" s="467"/>
      <c r="J55" s="467"/>
      <c r="K55" s="1694">
        <f>SUM(C55:J55)</f>
        <v>132290</v>
      </c>
      <c r="L55" s="481">
        <v>148263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97095</v>
      </c>
      <c r="D57" s="1696">
        <f t="shared" ref="D57:K57" si="6">SUM(D55:D56)</f>
        <v>33939</v>
      </c>
      <c r="E57" s="1696">
        <f t="shared" si="6"/>
        <v>354</v>
      </c>
      <c r="F57" s="1696">
        <f t="shared" si="6"/>
        <v>417</v>
      </c>
      <c r="G57" s="1696">
        <f t="shared" si="6"/>
        <v>0</v>
      </c>
      <c r="H57" s="1696">
        <f t="shared" si="6"/>
        <v>485</v>
      </c>
      <c r="I57" s="1696">
        <f t="shared" si="6"/>
        <v>0</v>
      </c>
      <c r="J57" s="1696">
        <f t="shared" si="6"/>
        <v>0</v>
      </c>
      <c r="K57" s="1696">
        <f t="shared" si="6"/>
        <v>132290</v>
      </c>
      <c r="L57" s="1692">
        <f>SUM(L55:L56)</f>
        <v>148263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47018</v>
      </c>
      <c r="D59" s="481">
        <v>9845</v>
      </c>
      <c r="E59" s="481">
        <v>1169</v>
      </c>
      <c r="F59" s="481"/>
      <c r="G59" s="481"/>
      <c r="H59" s="481">
        <v>935</v>
      </c>
      <c r="I59" s="467"/>
      <c r="J59" s="467"/>
      <c r="K59" s="1694">
        <f t="shared" ref="K59:K64" si="7">SUM(C59:J59)</f>
        <v>58967</v>
      </c>
      <c r="L59" s="481">
        <v>56429</v>
      </c>
      <c r="M59" s="610"/>
      <c r="N59" s="610"/>
    </row>
    <row r="60" spans="1:14" s="343" customFormat="1" x14ac:dyDescent="0.2">
      <c r="A60" s="1526" t="s">
        <v>483</v>
      </c>
      <c r="B60" s="615">
        <v>2520</v>
      </c>
      <c r="C60" s="466"/>
      <c r="D60" s="466"/>
      <c r="E60" s="466">
        <v>10500</v>
      </c>
      <c r="F60" s="466"/>
      <c r="G60" s="466"/>
      <c r="H60" s="466"/>
      <c r="I60" s="467"/>
      <c r="J60" s="467"/>
      <c r="K60" s="1694">
        <f t="shared" si="7"/>
        <v>10500</v>
      </c>
      <c r="L60" s="466">
        <v>10500</v>
      </c>
      <c r="M60" s="610"/>
      <c r="N60" s="610"/>
    </row>
    <row r="61" spans="1:14" s="343" customFormat="1" x14ac:dyDescent="0.2">
      <c r="A61" s="1526" t="s">
        <v>206</v>
      </c>
      <c r="B61" s="615">
        <v>2540</v>
      </c>
      <c r="C61" s="466"/>
      <c r="D61" s="466"/>
      <c r="E61" s="466">
        <v>7410</v>
      </c>
      <c r="F61" s="466"/>
      <c r="G61" s="466"/>
      <c r="H61" s="466"/>
      <c r="I61" s="467"/>
      <c r="J61" s="467"/>
      <c r="K61" s="1694">
        <f t="shared" si="7"/>
        <v>7410</v>
      </c>
      <c r="L61" s="466">
        <v>8036</v>
      </c>
      <c r="M61" s="610"/>
      <c r="N61" s="610"/>
    </row>
    <row r="62" spans="1:14" s="343" customFormat="1" x14ac:dyDescent="0.2">
      <c r="A62" s="1526" t="s">
        <v>1010</v>
      </c>
      <c r="B62" s="615">
        <v>2550</v>
      </c>
      <c r="C62" s="466"/>
      <c r="D62" s="466"/>
      <c r="E62" s="466">
        <v>71</v>
      </c>
      <c r="F62" s="466"/>
      <c r="G62" s="466"/>
      <c r="H62" s="466"/>
      <c r="I62" s="467"/>
      <c r="J62" s="467"/>
      <c r="K62" s="1694">
        <f t="shared" si="7"/>
        <v>71</v>
      </c>
      <c r="L62" s="466">
        <v>294</v>
      </c>
      <c r="M62" s="610"/>
      <c r="N62" s="610"/>
    </row>
    <row r="63" spans="1:14" s="610" customFormat="1" x14ac:dyDescent="0.2">
      <c r="A63" s="1526" t="s">
        <v>102</v>
      </c>
      <c r="B63" s="615">
        <v>2560</v>
      </c>
      <c r="C63" s="466">
        <v>61024</v>
      </c>
      <c r="D63" s="466">
        <v>32068</v>
      </c>
      <c r="E63" s="466">
        <v>2246</v>
      </c>
      <c r="F63" s="466">
        <v>60195</v>
      </c>
      <c r="G63" s="466"/>
      <c r="H63" s="466">
        <v>13767</v>
      </c>
      <c r="I63" s="467"/>
      <c r="J63" s="467"/>
      <c r="K63" s="1694">
        <f t="shared" si="7"/>
        <v>169300</v>
      </c>
      <c r="L63" s="466">
        <v>184774</v>
      </c>
    </row>
    <row r="64" spans="1:14" s="610" customFormat="1" x14ac:dyDescent="0.2">
      <c r="A64" s="1531" t="s">
        <v>103</v>
      </c>
      <c r="B64" s="631">
        <v>2570</v>
      </c>
      <c r="C64" s="481"/>
      <c r="D64" s="481"/>
      <c r="E64" s="481"/>
      <c r="F64" s="481"/>
      <c r="G64" s="481"/>
      <c r="H64" s="481">
        <v>1498</v>
      </c>
      <c r="I64" s="467"/>
      <c r="J64" s="467"/>
      <c r="K64" s="1694">
        <f t="shared" si="7"/>
        <v>1498</v>
      </c>
      <c r="L64" s="481"/>
    </row>
    <row r="65" spans="1:14" s="343" customFormat="1" ht="12.75" customHeight="1" thickBot="1" x14ac:dyDescent="0.25">
      <c r="A65" s="1690" t="s">
        <v>743</v>
      </c>
      <c r="B65" s="1691" t="s">
        <v>35</v>
      </c>
      <c r="C65" s="1692">
        <f>SUM(C59:C64)</f>
        <v>108042</v>
      </c>
      <c r="D65" s="1692">
        <f t="shared" ref="D65:L65" si="8">SUM(D59:D64)</f>
        <v>41913</v>
      </c>
      <c r="E65" s="1692">
        <f t="shared" si="8"/>
        <v>21396</v>
      </c>
      <c r="F65" s="1692">
        <f t="shared" si="8"/>
        <v>60195</v>
      </c>
      <c r="G65" s="1692">
        <f t="shared" si="8"/>
        <v>0</v>
      </c>
      <c r="H65" s="1692">
        <f t="shared" si="8"/>
        <v>16200</v>
      </c>
      <c r="I65" s="1692">
        <f t="shared" si="8"/>
        <v>0</v>
      </c>
      <c r="J65" s="1692">
        <f t="shared" si="8"/>
        <v>0</v>
      </c>
      <c r="K65" s="1692">
        <f t="shared" si="8"/>
        <v>247746</v>
      </c>
      <c r="L65" s="1692">
        <f t="shared" si="8"/>
        <v>260033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308274</v>
      </c>
      <c r="D74" s="1699">
        <f t="shared" ref="D74:K74" si="10">SUM(D42,D47,D53,D57,D65,D72,D73)</f>
        <v>113685</v>
      </c>
      <c r="E74" s="1699">
        <f t="shared" si="10"/>
        <v>77229</v>
      </c>
      <c r="F74" s="1699">
        <f t="shared" si="10"/>
        <v>77773</v>
      </c>
      <c r="G74" s="1699">
        <f t="shared" si="10"/>
        <v>0</v>
      </c>
      <c r="H74" s="1699">
        <f t="shared" si="10"/>
        <v>26329</v>
      </c>
      <c r="I74" s="1699">
        <f t="shared" si="10"/>
        <v>0</v>
      </c>
      <c r="J74" s="1699">
        <f t="shared" si="10"/>
        <v>0</v>
      </c>
      <c r="K74" s="1699">
        <f t="shared" si="10"/>
        <v>603290</v>
      </c>
      <c r="L74" s="1699">
        <f>SUM(L42,L47,L53,L57,L65,L72,L73)</f>
        <v>644896</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58466</v>
      </c>
      <c r="F79" s="617"/>
      <c r="G79" s="617"/>
      <c r="H79" s="466"/>
      <c r="I79" s="477"/>
      <c r="J79" s="477"/>
      <c r="K79" s="1693">
        <f t="shared" si="11"/>
        <v>58466</v>
      </c>
      <c r="L79" s="466">
        <v>80000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58466</v>
      </c>
      <c r="F84" s="617"/>
      <c r="G84" s="617"/>
      <c r="H84" s="1692">
        <f>SUM(H78:H83)</f>
        <v>0</v>
      </c>
      <c r="I84" s="477"/>
      <c r="J84" s="477"/>
      <c r="K84" s="1692">
        <f>SUM(K78:K83)</f>
        <v>58466</v>
      </c>
      <c r="L84" s="1692">
        <f>SUM(L78:L83)</f>
        <v>80000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58466</v>
      </c>
      <c r="F102" s="617"/>
      <c r="G102" s="617"/>
      <c r="H102" s="1699">
        <f>SUM(H84,H92,H100,H101)</f>
        <v>0</v>
      </c>
      <c r="I102" s="477"/>
      <c r="J102" s="477"/>
      <c r="K102" s="1699">
        <f>SUM(K84,K92,K100,K101)</f>
        <v>58466</v>
      </c>
      <c r="L102" s="1699">
        <f>SUM(L84,L92,L100,L101)</f>
        <v>80000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1498</v>
      </c>
      <c r="M113" s="614"/>
      <c r="N113" s="614"/>
    </row>
    <row r="114" spans="1:14" ht="12.75" customHeight="1" thickTop="1" thickBot="1" x14ac:dyDescent="0.25">
      <c r="A114" s="1690" t="s">
        <v>50</v>
      </c>
      <c r="B114" s="1704"/>
      <c r="C114" s="1692">
        <f>SUM(C33,C74,C75,C102,C112,C113)</f>
        <v>1227868</v>
      </c>
      <c r="D114" s="1692">
        <f t="shared" ref="D114:K114" si="13">SUM(D33,D74,D75,D102,D112,D113)</f>
        <v>413481</v>
      </c>
      <c r="E114" s="1692">
        <f t="shared" si="13"/>
        <v>140081</v>
      </c>
      <c r="F114" s="1692">
        <f t="shared" si="13"/>
        <v>171306</v>
      </c>
      <c r="G114" s="1692">
        <f t="shared" si="13"/>
        <v>0</v>
      </c>
      <c r="H114" s="1692">
        <f>SUM(H33,H74,H75,H102,H112,H113)</f>
        <v>26807</v>
      </c>
      <c r="I114" s="1692">
        <f t="shared" si="13"/>
        <v>0</v>
      </c>
      <c r="J114" s="1692">
        <f t="shared" si="13"/>
        <v>0</v>
      </c>
      <c r="K114" s="1692">
        <f t="shared" si="13"/>
        <v>1979543</v>
      </c>
      <c r="L114" s="1692">
        <f>SUM(L33,L74,L75,L102,L112,L113)</f>
        <v>2086558</v>
      </c>
    </row>
    <row r="115" spans="1:14" ht="13.5" thickTop="1" x14ac:dyDescent="0.2">
      <c r="A115" s="2197" t="s">
        <v>1053</v>
      </c>
      <c r="B115" s="2198"/>
      <c r="C115" s="619"/>
      <c r="D115" s="619"/>
      <c r="E115" s="619"/>
      <c r="F115" s="619"/>
      <c r="G115" s="619"/>
      <c r="H115" s="619"/>
      <c r="I115" s="619"/>
      <c r="J115" s="619"/>
      <c r="K115" s="1706">
        <f>'Revenues 9-14'!C275-'Expenditures 15-22'!K114</f>
        <v>166562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78607</v>
      </c>
      <c r="D124" s="466">
        <v>19690</v>
      </c>
      <c r="E124" s="466">
        <v>112579</v>
      </c>
      <c r="F124" s="466">
        <v>15928</v>
      </c>
      <c r="G124" s="466">
        <v>5278</v>
      </c>
      <c r="H124" s="466"/>
      <c r="I124" s="467"/>
      <c r="J124" s="467"/>
      <c r="K124" s="1692">
        <f>SUM(C124:J124)</f>
        <v>232082</v>
      </c>
      <c r="L124" s="466">
        <v>225230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78607</v>
      </c>
      <c r="D127" s="1692">
        <f t="shared" ref="D127:L127" si="14">SUM(D122:D126)</f>
        <v>19690</v>
      </c>
      <c r="E127" s="1692">
        <f t="shared" si="14"/>
        <v>112579</v>
      </c>
      <c r="F127" s="1692">
        <f t="shared" si="14"/>
        <v>15928</v>
      </c>
      <c r="G127" s="1692">
        <f t="shared" si="14"/>
        <v>5278</v>
      </c>
      <c r="H127" s="1692">
        <f t="shared" si="14"/>
        <v>0</v>
      </c>
      <c r="I127" s="1692">
        <f t="shared" si="14"/>
        <v>0</v>
      </c>
      <c r="J127" s="1692">
        <f t="shared" si="14"/>
        <v>0</v>
      </c>
      <c r="K127" s="1692">
        <f t="shared" si="14"/>
        <v>232082</v>
      </c>
      <c r="L127" s="1692">
        <f t="shared" si="14"/>
        <v>225230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78607</v>
      </c>
      <c r="D129" s="1699">
        <f t="shared" ref="D129:L129" si="15">SUM(D120,D127,D128)</f>
        <v>19690</v>
      </c>
      <c r="E129" s="1699">
        <f t="shared" si="15"/>
        <v>112579</v>
      </c>
      <c r="F129" s="1699">
        <f t="shared" si="15"/>
        <v>15928</v>
      </c>
      <c r="G129" s="1699">
        <f t="shared" si="15"/>
        <v>5278</v>
      </c>
      <c r="H129" s="1699">
        <f t="shared" si="15"/>
        <v>0</v>
      </c>
      <c r="I129" s="1699">
        <f t="shared" si="15"/>
        <v>0</v>
      </c>
      <c r="J129" s="1699">
        <f t="shared" si="15"/>
        <v>0</v>
      </c>
      <c r="K129" s="1699">
        <f t="shared" si="15"/>
        <v>232082</v>
      </c>
      <c r="L129" s="1699">
        <f t="shared" si="15"/>
        <v>225230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78607</v>
      </c>
      <c r="D151" s="1692">
        <f t="shared" ref="D151:K151" si="16">SUM(D129,D130,D139,D149,D150)</f>
        <v>19690</v>
      </c>
      <c r="E151" s="1692">
        <f t="shared" si="16"/>
        <v>112579</v>
      </c>
      <c r="F151" s="1692">
        <f t="shared" si="16"/>
        <v>15928</v>
      </c>
      <c r="G151" s="1692">
        <f t="shared" si="16"/>
        <v>5278</v>
      </c>
      <c r="H151" s="1692">
        <f t="shared" si="16"/>
        <v>0</v>
      </c>
      <c r="I151" s="1692">
        <f t="shared" si="16"/>
        <v>0</v>
      </c>
      <c r="J151" s="1692">
        <f t="shared" si="16"/>
        <v>0</v>
      </c>
      <c r="K151" s="1692">
        <f t="shared" si="16"/>
        <v>232082</v>
      </c>
      <c r="L151" s="1692">
        <f>SUM(L129,L130,L139,L149,L150)</f>
        <v>225230</v>
      </c>
    </row>
    <row r="152" spans="1:14" ht="12.75" customHeight="1" thickTop="1" x14ac:dyDescent="0.2">
      <c r="A152" s="2190" t="s">
        <v>1240</v>
      </c>
      <c r="B152" s="2191"/>
      <c r="C152" s="619"/>
      <c r="D152" s="619"/>
      <c r="E152" s="619"/>
      <c r="F152" s="619"/>
      <c r="G152" s="619"/>
      <c r="H152" s="619"/>
      <c r="I152" s="619"/>
      <c r="J152" s="617"/>
      <c r="K152" s="1706">
        <f>'Revenues 9-14'!D275-'Expenditures 15-22'!K151</f>
        <v>-4792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v>117815</v>
      </c>
      <c r="I166" s="617"/>
      <c r="J166" s="617"/>
      <c r="K166" s="1693">
        <f>SUM(C166:J166)</f>
        <v>117815</v>
      </c>
      <c r="L166" s="466">
        <v>117815</v>
      </c>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117815</v>
      </c>
      <c r="I168" s="617"/>
      <c r="J168" s="617"/>
      <c r="K168" s="1692">
        <f>SUM(K163:K167)</f>
        <v>117815</v>
      </c>
      <c r="L168" s="1692">
        <f>SUM(L163:L167)</f>
        <v>117815</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v>100000</v>
      </c>
      <c r="I170" s="617"/>
      <c r="J170" s="617"/>
      <c r="K170" s="1693">
        <f>SUM(C170:J170)</f>
        <v>100000</v>
      </c>
      <c r="L170" s="569">
        <v>100000</v>
      </c>
    </row>
    <row r="171" spans="1:14" ht="15.75" customHeight="1" x14ac:dyDescent="0.2">
      <c r="A171" s="622" t="s">
        <v>790</v>
      </c>
      <c r="B171" s="673" t="s">
        <v>86</v>
      </c>
      <c r="C171" s="617"/>
      <c r="D171" s="617"/>
      <c r="E171" s="466"/>
      <c r="F171" s="617"/>
      <c r="G171" s="617"/>
      <c r="H171" s="569">
        <v>500</v>
      </c>
      <c r="I171" s="477"/>
      <c r="J171" s="617"/>
      <c r="K171" s="1693">
        <f>SUM(C171:J171)</f>
        <v>500</v>
      </c>
      <c r="L171" s="569">
        <v>500</v>
      </c>
    </row>
    <row r="172" spans="1:14" ht="12.75" customHeight="1" thickBot="1" x14ac:dyDescent="0.25">
      <c r="A172" s="1690" t="s">
        <v>659</v>
      </c>
      <c r="B172" s="1691" t="s">
        <v>513</v>
      </c>
      <c r="C172" s="617"/>
      <c r="D172" s="617"/>
      <c r="E172" s="1699">
        <f>SUM(E168,E169,E170,E171)</f>
        <v>0</v>
      </c>
      <c r="F172" s="617"/>
      <c r="G172" s="617"/>
      <c r="H172" s="1699">
        <f>SUM(H168,H169,H170,H171)</f>
        <v>218315</v>
      </c>
      <c r="I172" s="639"/>
      <c r="J172" s="617"/>
      <c r="K172" s="1699">
        <f>SUM(K168,K169,K170,K171)</f>
        <v>218315</v>
      </c>
      <c r="L172" s="1699">
        <f>SUM(L168,L169,L170,L171)</f>
        <v>218315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218315</v>
      </c>
      <c r="I174" s="639"/>
      <c r="J174" s="617"/>
      <c r="K174" s="1699">
        <f>SUM(K160,K172,K173)</f>
        <v>218315</v>
      </c>
      <c r="L174" s="1699">
        <f>SUM(L160,L172,L173)</f>
        <v>218315</v>
      </c>
    </row>
    <row r="175" spans="1:14" ht="13.5" thickTop="1" x14ac:dyDescent="0.2">
      <c r="A175" s="2197" t="s">
        <v>1053</v>
      </c>
      <c r="B175" s="2198"/>
      <c r="C175" s="617"/>
      <c r="D175" s="617"/>
      <c r="E175" s="617"/>
      <c r="F175" s="617"/>
      <c r="G175" s="617"/>
      <c r="H175" s="619"/>
      <c r="I175" s="617"/>
      <c r="J175" s="617"/>
      <c r="K175" s="1706">
        <f>'Revenues 9-14'!E275-'Expenditures 15-22'!K174</f>
        <v>3267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111110</v>
      </c>
      <c r="D182" s="466">
        <v>15447</v>
      </c>
      <c r="E182" s="466">
        <v>14947</v>
      </c>
      <c r="F182" s="466">
        <v>19930</v>
      </c>
      <c r="G182" s="466">
        <v>85807</v>
      </c>
      <c r="H182" s="466">
        <v>1806</v>
      </c>
      <c r="I182" s="467"/>
      <c r="J182" s="467"/>
      <c r="K182" s="1693">
        <f>SUM(C182:J182)</f>
        <v>249047</v>
      </c>
      <c r="L182" s="466">
        <v>229001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111110</v>
      </c>
      <c r="D184" s="1699">
        <f t="shared" ref="D184:J184" si="17">SUM(D180,D182,D183)</f>
        <v>15447</v>
      </c>
      <c r="E184" s="1699">
        <f t="shared" si="17"/>
        <v>14947</v>
      </c>
      <c r="F184" s="1699">
        <f t="shared" si="17"/>
        <v>19930</v>
      </c>
      <c r="G184" s="1699">
        <f t="shared" si="17"/>
        <v>85807</v>
      </c>
      <c r="H184" s="1699">
        <f t="shared" si="17"/>
        <v>1806</v>
      </c>
      <c r="I184" s="1699">
        <f t="shared" si="17"/>
        <v>0</v>
      </c>
      <c r="J184" s="1699">
        <f t="shared" si="17"/>
        <v>0</v>
      </c>
      <c r="K184" s="1699">
        <f>SUM(K180,K182,K183)</f>
        <v>249047</v>
      </c>
      <c r="L184" s="1699">
        <f>SUM(L180, L182:L183)</f>
        <v>229001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111110</v>
      </c>
      <c r="D210" s="1692">
        <f>SUM(D184,D185)</f>
        <v>15447</v>
      </c>
      <c r="E210" s="1692">
        <f>SUM(E184,E185,E196)</f>
        <v>14947</v>
      </c>
      <c r="F210" s="1692">
        <f>SUM(F184,F185)</f>
        <v>19930</v>
      </c>
      <c r="G210" s="1692">
        <f>SUM(G184,G185)</f>
        <v>85807</v>
      </c>
      <c r="H210" s="1692">
        <f>SUM(H184,H185,H196,H208,H209)</f>
        <v>1806</v>
      </c>
      <c r="I210" s="1692">
        <f>SUM(I184,I185)</f>
        <v>0</v>
      </c>
      <c r="J210" s="1692">
        <f>SUM(J184,J185)</f>
        <v>0</v>
      </c>
      <c r="K210" s="1693">
        <f>SUM(K184,K185,K196,K208,K209)</f>
        <v>249047</v>
      </c>
      <c r="L210" s="1692">
        <f>SUM(L184,L185,L196,L208,L209)</f>
        <v>229001</v>
      </c>
    </row>
    <row r="211" spans="1:14" ht="13.5" thickTop="1" x14ac:dyDescent="0.2">
      <c r="A211" s="2197" t="s">
        <v>1053</v>
      </c>
      <c r="B211" s="2198"/>
      <c r="C211" s="619"/>
      <c r="D211" s="619"/>
      <c r="E211" s="619"/>
      <c r="F211" s="619"/>
      <c r="G211" s="619"/>
      <c r="H211" s="619"/>
      <c r="I211" s="617"/>
      <c r="J211" s="617"/>
      <c r="K211" s="1706">
        <f>'Revenues 9-14'!F275-'Expenditures 15-22'!K210</f>
        <v>-1251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19936</v>
      </c>
      <c r="E215" s="617"/>
      <c r="F215" s="617"/>
      <c r="G215" s="617"/>
      <c r="H215" s="617"/>
      <c r="I215" s="617"/>
      <c r="J215" s="617"/>
      <c r="K215" s="1693">
        <f>D215</f>
        <v>19936</v>
      </c>
      <c r="L215" s="466">
        <v>18016</v>
      </c>
    </row>
    <row r="216" spans="1:14" x14ac:dyDescent="0.2">
      <c r="A216" s="1526" t="s">
        <v>165</v>
      </c>
      <c r="B216" s="615" t="s">
        <v>1024</v>
      </c>
      <c r="C216" s="617"/>
      <c r="D216" s="467">
        <v>4236</v>
      </c>
      <c r="E216" s="617"/>
      <c r="F216" s="617"/>
      <c r="G216" s="617"/>
      <c r="H216" s="617"/>
      <c r="I216" s="617"/>
      <c r="J216" s="617"/>
      <c r="K216" s="1693">
        <f t="shared" ref="K216:K228" si="19">D216</f>
        <v>4236</v>
      </c>
      <c r="L216" s="466">
        <v>3756</v>
      </c>
    </row>
    <row r="217" spans="1:14" x14ac:dyDescent="0.2">
      <c r="A217" s="1526" t="s">
        <v>166</v>
      </c>
      <c r="B217" s="615">
        <v>1200</v>
      </c>
      <c r="C217" s="617"/>
      <c r="D217" s="466">
        <v>17706</v>
      </c>
      <c r="E217" s="617"/>
      <c r="F217" s="617"/>
      <c r="G217" s="617"/>
      <c r="H217" s="617"/>
      <c r="I217" s="617"/>
      <c r="J217" s="617"/>
      <c r="K217" s="1693">
        <f t="shared" si="19"/>
        <v>17706</v>
      </c>
      <c r="L217" s="466">
        <v>16492</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503</v>
      </c>
      <c r="E219" s="617"/>
      <c r="F219" s="617"/>
      <c r="G219" s="617"/>
      <c r="H219" s="617"/>
      <c r="I219" s="617"/>
      <c r="J219" s="617"/>
      <c r="K219" s="1693">
        <f t="shared" si="19"/>
        <v>503</v>
      </c>
      <c r="L219" s="466">
        <v>315</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1171</v>
      </c>
      <c r="E223" s="617"/>
      <c r="F223" s="617"/>
      <c r="G223" s="617"/>
      <c r="H223" s="617"/>
      <c r="I223" s="617"/>
      <c r="J223" s="617"/>
      <c r="K223" s="1693">
        <f t="shared" si="19"/>
        <v>1171</v>
      </c>
      <c r="L223" s="466">
        <v>920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43552</v>
      </c>
      <c r="E229" s="617"/>
      <c r="F229" s="617"/>
      <c r="G229" s="617"/>
      <c r="H229" s="617"/>
      <c r="I229" s="617"/>
      <c r="J229" s="617"/>
      <c r="K229" s="1692">
        <f>SUM(K215:K228)</f>
        <v>43552</v>
      </c>
      <c r="L229" s="1692">
        <f>SUM(L215:L228)</f>
        <v>39499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374</v>
      </c>
      <c r="E236" s="617"/>
      <c r="F236" s="617"/>
      <c r="G236" s="617"/>
      <c r="H236" s="617"/>
      <c r="I236" s="617"/>
      <c r="J236" s="617"/>
      <c r="K236" s="1693">
        <f t="shared" si="20"/>
        <v>374</v>
      </c>
      <c r="L236" s="466">
        <v>358</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374</v>
      </c>
      <c r="E238" s="617"/>
      <c r="F238" s="617"/>
      <c r="G238" s="617"/>
      <c r="H238" s="617"/>
      <c r="I238" s="617"/>
      <c r="J238" s="617"/>
      <c r="K238" s="1692">
        <f>SUM(K232:K237)</f>
        <v>374</v>
      </c>
      <c r="L238" s="1692">
        <f>SUM(L232:L237)</f>
        <v>358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18</v>
      </c>
      <c r="E240" s="617"/>
      <c r="F240" s="617"/>
      <c r="G240" s="617"/>
      <c r="H240" s="617"/>
      <c r="I240" s="617"/>
      <c r="J240" s="617"/>
      <c r="K240" s="1694">
        <f>D240</f>
        <v>18</v>
      </c>
      <c r="L240" s="481"/>
    </row>
    <row r="241" spans="1:12" x14ac:dyDescent="0.2">
      <c r="A241" s="1526" t="s">
        <v>869</v>
      </c>
      <c r="B241" s="615">
        <v>2220</v>
      </c>
      <c r="C241" s="617"/>
      <c r="D241" s="466">
        <v>1329</v>
      </c>
      <c r="E241" s="617"/>
      <c r="F241" s="617"/>
      <c r="G241" s="617"/>
      <c r="H241" s="617"/>
      <c r="I241" s="617"/>
      <c r="J241" s="617"/>
      <c r="K241" s="1694">
        <f>D241</f>
        <v>1329</v>
      </c>
      <c r="L241" s="466">
        <v>1233</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1347</v>
      </c>
      <c r="E243" s="617"/>
      <c r="F243" s="617"/>
      <c r="G243" s="617"/>
      <c r="H243" s="617"/>
      <c r="I243" s="617"/>
      <c r="J243" s="617"/>
      <c r="K243" s="1692">
        <f>SUM(K240:K242)</f>
        <v>1347</v>
      </c>
      <c r="L243" s="1692">
        <f>SUM(L240:L242)</f>
        <v>1233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10422</v>
      </c>
      <c r="E246" s="617"/>
      <c r="F246" s="617"/>
      <c r="G246" s="617"/>
      <c r="H246" s="617"/>
      <c r="I246" s="617"/>
      <c r="J246" s="617"/>
      <c r="K246" s="1694">
        <f t="shared" ref="K246:K256" si="21">D246</f>
        <v>10422</v>
      </c>
      <c r="L246" s="466">
        <v>11259</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10422</v>
      </c>
      <c r="E257" s="617"/>
      <c r="F257" s="617"/>
      <c r="G257" s="617"/>
      <c r="H257" s="617"/>
      <c r="I257" s="617"/>
      <c r="J257" s="617"/>
      <c r="K257" s="1692">
        <f>SUM(K245:K256)</f>
        <v>10422</v>
      </c>
      <c r="L257" s="1692">
        <f>SUM(L245:L256)</f>
        <v>11259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7072</v>
      </c>
      <c r="E259" s="617"/>
      <c r="F259" s="617"/>
      <c r="G259" s="617"/>
      <c r="H259" s="617"/>
      <c r="I259" s="617"/>
      <c r="J259" s="617"/>
      <c r="K259" s="1694">
        <f>D259</f>
        <v>7072</v>
      </c>
      <c r="L259" s="481">
        <v>6634</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7072</v>
      </c>
      <c r="E261" s="617"/>
      <c r="F261" s="617"/>
      <c r="G261" s="617"/>
      <c r="H261" s="617"/>
      <c r="I261" s="617"/>
      <c r="J261" s="617"/>
      <c r="K261" s="1692">
        <f>SUM(K259:K260)</f>
        <v>7072</v>
      </c>
      <c r="L261" s="1692">
        <f>SUM(L259:L260)</f>
        <v>6634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9996</v>
      </c>
      <c r="E263" s="617"/>
      <c r="F263" s="617"/>
      <c r="G263" s="617"/>
      <c r="H263" s="617"/>
      <c r="I263" s="617"/>
      <c r="J263" s="617"/>
      <c r="K263" s="1694">
        <f>D263</f>
        <v>9996</v>
      </c>
      <c r="L263" s="481">
        <v>9081</v>
      </c>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18497</v>
      </c>
      <c r="E266" s="617"/>
      <c r="F266" s="617"/>
      <c r="G266" s="617"/>
      <c r="H266" s="617"/>
      <c r="I266" s="617"/>
      <c r="J266" s="617"/>
      <c r="K266" s="1694">
        <f t="shared" si="22"/>
        <v>18497</v>
      </c>
      <c r="L266" s="466">
        <v>17060</v>
      </c>
    </row>
    <row r="267" spans="1:14" x14ac:dyDescent="0.2">
      <c r="A267" s="1526" t="s">
        <v>1010</v>
      </c>
      <c r="B267" s="615">
        <v>2550</v>
      </c>
      <c r="C267" s="617"/>
      <c r="D267" s="466">
        <v>12129</v>
      </c>
      <c r="E267" s="617"/>
      <c r="F267" s="617"/>
      <c r="G267" s="617"/>
      <c r="H267" s="617"/>
      <c r="I267" s="617"/>
      <c r="J267" s="617"/>
      <c r="K267" s="1694">
        <f t="shared" si="22"/>
        <v>12129</v>
      </c>
      <c r="L267" s="466">
        <v>13938</v>
      </c>
    </row>
    <row r="268" spans="1:14" x14ac:dyDescent="0.2">
      <c r="A268" s="1526" t="s">
        <v>102</v>
      </c>
      <c r="B268" s="615">
        <v>2560</v>
      </c>
      <c r="C268" s="617"/>
      <c r="D268" s="466">
        <v>14774</v>
      </c>
      <c r="E268" s="617"/>
      <c r="F268" s="617"/>
      <c r="G268" s="617"/>
      <c r="H268" s="617"/>
      <c r="I268" s="617"/>
      <c r="J268" s="617"/>
      <c r="K268" s="1694">
        <f t="shared" si="22"/>
        <v>14774</v>
      </c>
      <c r="L268" s="466">
        <v>15254</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55396</v>
      </c>
      <c r="E270" s="617"/>
      <c r="F270" s="617"/>
      <c r="G270" s="617"/>
      <c r="H270" s="617"/>
      <c r="I270" s="617"/>
      <c r="J270" s="617"/>
      <c r="K270" s="1692">
        <f>SUM(K263:K269)</f>
        <v>55396</v>
      </c>
      <c r="L270" s="1692">
        <f>SUM(L263:L269)</f>
        <v>55333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74611</v>
      </c>
      <c r="E279" s="617"/>
      <c r="F279" s="617"/>
      <c r="G279" s="617"/>
      <c r="H279" s="617"/>
      <c r="I279" s="617"/>
      <c r="J279" s="617"/>
      <c r="K279" s="1699">
        <f>SUM(K238,K243,K257,K261,K270,K277,K278)</f>
        <v>74611</v>
      </c>
      <c r="L279" s="1699">
        <f>SUM(L238,L243,L257,L261,L270,L277,L278)</f>
        <v>74817</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118163</v>
      </c>
      <c r="E295" s="617"/>
      <c r="F295" s="617"/>
      <c r="G295" s="617"/>
      <c r="H295" s="1692">
        <f>H293</f>
        <v>0</v>
      </c>
      <c r="I295" s="617"/>
      <c r="J295" s="617"/>
      <c r="K295" s="1692">
        <f>SUM(K229,K279,K280,K285,K293,K294)</f>
        <v>118163</v>
      </c>
      <c r="L295" s="1692">
        <f>SUM(L229,L279,L280,L285,L293,L294)</f>
        <v>114316</v>
      </c>
    </row>
    <row r="296" spans="1:14" ht="13.5" thickTop="1" x14ac:dyDescent="0.2">
      <c r="A296" s="2197" t="s">
        <v>1053</v>
      </c>
      <c r="B296" s="2198"/>
      <c r="C296" s="617"/>
      <c r="D296" s="619"/>
      <c r="E296" s="617"/>
      <c r="F296" s="617"/>
      <c r="G296" s="617"/>
      <c r="H296" s="688"/>
      <c r="I296" s="617"/>
      <c r="J296" s="617"/>
      <c r="K296" s="1706">
        <f>'Revenues 9-14'!G275-'Expenditures 15-22'!K295</f>
        <v>2760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15555</v>
      </c>
      <c r="F320" s="467"/>
      <c r="G320" s="467"/>
      <c r="H320" s="467"/>
      <c r="I320" s="467"/>
      <c r="J320" s="467"/>
      <c r="K320" s="1693">
        <f t="shared" ref="K320:K327" si="24">SUM(C320:J320)</f>
        <v>15555</v>
      </c>
      <c r="L320" s="467">
        <v>15759</v>
      </c>
      <c r="M320" s="666"/>
      <c r="N320" s="666"/>
    </row>
    <row r="321" spans="1:14" s="675" customFormat="1" x14ac:dyDescent="0.2">
      <c r="A321" s="1541" t="s">
        <v>318</v>
      </c>
      <c r="B321" s="698" t="s">
        <v>301</v>
      </c>
      <c r="C321" s="467"/>
      <c r="D321" s="467"/>
      <c r="E321" s="467">
        <v>5105</v>
      </c>
      <c r="F321" s="467"/>
      <c r="G321" s="467"/>
      <c r="H321" s="467"/>
      <c r="I321" s="467"/>
      <c r="J321" s="467"/>
      <c r="K321" s="1693">
        <f t="shared" si="24"/>
        <v>5105</v>
      </c>
      <c r="L321" s="467">
        <v>6947</v>
      </c>
      <c r="M321" s="666"/>
      <c r="N321" s="666"/>
    </row>
    <row r="322" spans="1:14" s="675" customFormat="1" x14ac:dyDescent="0.2">
      <c r="A322" s="1541" t="s">
        <v>256</v>
      </c>
      <c r="B322" s="698" t="s">
        <v>302</v>
      </c>
      <c r="C322" s="467"/>
      <c r="D322" s="467"/>
      <c r="E322" s="467">
        <v>25968</v>
      </c>
      <c r="F322" s="467"/>
      <c r="G322" s="467"/>
      <c r="H322" s="467"/>
      <c r="I322" s="467"/>
      <c r="J322" s="467"/>
      <c r="K322" s="1693">
        <f t="shared" si="24"/>
        <v>25968</v>
      </c>
      <c r="L322" s="467">
        <v>24531</v>
      </c>
      <c r="M322" s="666"/>
      <c r="N322" s="666"/>
    </row>
    <row r="323" spans="1:14" s="675" customFormat="1" x14ac:dyDescent="0.2">
      <c r="A323" s="1541" t="s">
        <v>726</v>
      </c>
      <c r="B323" s="698" t="s">
        <v>303</v>
      </c>
      <c r="C323" s="467">
        <v>117280</v>
      </c>
      <c r="D323" s="467"/>
      <c r="E323" s="467"/>
      <c r="F323" s="467"/>
      <c r="G323" s="467"/>
      <c r="H323" s="467"/>
      <c r="I323" s="467"/>
      <c r="J323" s="467"/>
      <c r="K323" s="1693">
        <f t="shared" si="24"/>
        <v>117280</v>
      </c>
      <c r="L323" s="467">
        <v>137912</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117280</v>
      </c>
      <c r="D330" s="1692">
        <f t="shared" ref="D330:J330" si="25">SUM(D319:D329)</f>
        <v>0</v>
      </c>
      <c r="E330" s="1692">
        <f t="shared" si="25"/>
        <v>46628</v>
      </c>
      <c r="F330" s="1692">
        <f t="shared" si="25"/>
        <v>0</v>
      </c>
      <c r="G330" s="1692">
        <f t="shared" si="25"/>
        <v>0</v>
      </c>
      <c r="H330" s="1692">
        <f t="shared" si="25"/>
        <v>0</v>
      </c>
      <c r="I330" s="1692">
        <f t="shared" si="25"/>
        <v>0</v>
      </c>
      <c r="J330" s="1692">
        <f t="shared" si="25"/>
        <v>0</v>
      </c>
      <c r="K330" s="1692">
        <f>SUM(K319:K329)</f>
        <v>163908</v>
      </c>
      <c r="L330" s="1692">
        <f>SUM(L319:L329)</f>
        <v>185149</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117280</v>
      </c>
      <c r="D342" s="1692">
        <f>SUM(D330)</f>
        <v>0</v>
      </c>
      <c r="E342" s="1692">
        <f>SUM(E330)</f>
        <v>46628</v>
      </c>
      <c r="F342" s="1692">
        <f>SUM(F330)</f>
        <v>0</v>
      </c>
      <c r="G342" s="1692">
        <f>SUM(G330)</f>
        <v>0</v>
      </c>
      <c r="H342" s="1692">
        <f>SUM(H330,H334,H340)</f>
        <v>0</v>
      </c>
      <c r="I342" s="1692">
        <f>SUM(I330)</f>
        <v>0</v>
      </c>
      <c r="J342" s="1692">
        <f>SUM(J330)</f>
        <v>0</v>
      </c>
      <c r="K342" s="1692">
        <f>SUM(K330,K334,K340)</f>
        <v>163908</v>
      </c>
      <c r="L342" s="1699">
        <f>SUM(L330,L340,L341)</f>
        <v>185149</v>
      </c>
    </row>
    <row r="343" spans="1:14" ht="12.75" customHeight="1" thickTop="1" x14ac:dyDescent="0.2">
      <c r="A343" s="2183" t="s">
        <v>1053</v>
      </c>
      <c r="B343" s="2184"/>
      <c r="C343" s="617"/>
      <c r="D343" s="617"/>
      <c r="E343" s="617"/>
      <c r="F343" s="617"/>
      <c r="G343" s="617"/>
      <c r="H343" s="617"/>
      <c r="I343" s="617"/>
      <c r="J343" s="617"/>
      <c r="K343" s="1706">
        <f>'Revenues 9-14'!J275-'Expenditures 15-22'!K342</f>
        <v>4281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7" t="s">
        <v>1053</v>
      </c>
      <c r="B368" s="2198"/>
      <c r="C368" s="655"/>
      <c r="D368" s="655"/>
      <c r="E368" s="627"/>
      <c r="F368" s="627"/>
      <c r="G368" s="627"/>
      <c r="H368" s="627"/>
      <c r="I368" s="627"/>
      <c r="J368" s="624"/>
      <c r="K368" s="1693">
        <f>'Revenues 9-14'!K275-'Expenditures 15-22'!K367</f>
        <v>21719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6" sqref="I6:S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2035</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781342</v>
      </c>
      <c r="C4" s="1546"/>
      <c r="D4" s="1774">
        <f>B4-C4</f>
        <v>781342</v>
      </c>
      <c r="E4" s="1546">
        <v>824058</v>
      </c>
      <c r="F4" s="1774">
        <f>E4-C4</f>
        <v>824058</v>
      </c>
    </row>
    <row r="5" spans="1:6" ht="13.7" customHeight="1" x14ac:dyDescent="0.2">
      <c r="A5" s="716" t="s">
        <v>925</v>
      </c>
      <c r="B5" s="1772">
        <f>'Revenues 9-14'!D5</f>
        <v>217039</v>
      </c>
      <c r="C5" s="585"/>
      <c r="D5" s="1775">
        <f t="shared" ref="D5:D18" si="0">B5-C5</f>
        <v>217039</v>
      </c>
      <c r="E5" s="585">
        <v>228905</v>
      </c>
      <c r="F5" s="1775">
        <f>E5-C5</f>
        <v>228905</v>
      </c>
    </row>
    <row r="6" spans="1:6" ht="13.7" customHeight="1" x14ac:dyDescent="0.2">
      <c r="A6" s="716" t="s">
        <v>431</v>
      </c>
      <c r="B6" s="1772">
        <f>'Revenues 9-14'!E5</f>
        <v>221420</v>
      </c>
      <c r="C6" s="585"/>
      <c r="D6" s="1775">
        <f t="shared" si="0"/>
        <v>221420</v>
      </c>
      <c r="E6" s="585">
        <v>221038</v>
      </c>
      <c r="F6" s="1775">
        <f t="shared" ref="F6:F18" si="1">E6-C6</f>
        <v>221038</v>
      </c>
    </row>
    <row r="7" spans="1:6" ht="13.7" customHeight="1" x14ac:dyDescent="0.2">
      <c r="A7" s="716" t="s">
        <v>157</v>
      </c>
      <c r="B7" s="1772">
        <f>'Revenues 9-14'!F5</f>
        <v>52089</v>
      </c>
      <c r="C7" s="585"/>
      <c r="D7" s="1775">
        <f t="shared" si="0"/>
        <v>52089</v>
      </c>
      <c r="E7" s="585">
        <v>54937</v>
      </c>
      <c r="F7" s="1775">
        <f t="shared" si="1"/>
        <v>54937</v>
      </c>
    </row>
    <row r="8" spans="1:6" ht="13.7" customHeight="1" x14ac:dyDescent="0.2">
      <c r="A8" s="716" t="s">
        <v>1241</v>
      </c>
      <c r="B8" s="1772">
        <f>'Revenues 9-14'!G5</f>
        <v>65910</v>
      </c>
      <c r="C8" s="585"/>
      <c r="D8" s="1775">
        <f t="shared" si="0"/>
        <v>65910</v>
      </c>
      <c r="E8" s="585">
        <v>66504</v>
      </c>
      <c r="F8" s="1775">
        <f t="shared" si="1"/>
        <v>66504</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21704</v>
      </c>
      <c r="C10" s="585"/>
      <c r="D10" s="1775">
        <f t="shared" si="0"/>
        <v>21704</v>
      </c>
      <c r="E10" s="585">
        <v>22891</v>
      </c>
      <c r="F10" s="1775">
        <f t="shared" si="1"/>
        <v>22891</v>
      </c>
    </row>
    <row r="11" spans="1:6" x14ac:dyDescent="0.2">
      <c r="A11" s="716" t="s">
        <v>429</v>
      </c>
      <c r="B11" s="1772">
        <f>'Revenues 9-14'!J5</f>
        <v>168065</v>
      </c>
      <c r="C11" s="585"/>
      <c r="D11" s="1775">
        <f t="shared" si="0"/>
        <v>168065</v>
      </c>
      <c r="E11" s="585">
        <v>176902</v>
      </c>
      <c r="F11" s="1775">
        <f t="shared" si="1"/>
        <v>176902</v>
      </c>
    </row>
    <row r="12" spans="1:6" ht="13.7" customHeight="1" x14ac:dyDescent="0.2">
      <c r="A12" s="716" t="s">
        <v>159</v>
      </c>
      <c r="B12" s="1772">
        <f>'Revenues 9-14'!K5</f>
        <v>21704</v>
      </c>
      <c r="C12" s="585"/>
      <c r="D12" s="1775">
        <f t="shared" si="0"/>
        <v>21704</v>
      </c>
      <c r="E12" s="585">
        <v>22891</v>
      </c>
      <c r="F12" s="1775">
        <f t="shared" si="1"/>
        <v>22891</v>
      </c>
    </row>
    <row r="13" spans="1:6" ht="13.7" customHeight="1" x14ac:dyDescent="0.2">
      <c r="A13" s="716" t="s">
        <v>993</v>
      </c>
      <c r="B13" s="1772">
        <f>SUM('Revenues 9-14'!C6:D6)</f>
        <v>21704</v>
      </c>
      <c r="C13" s="585"/>
      <c r="D13" s="1775">
        <f t="shared" si="0"/>
        <v>21704</v>
      </c>
      <c r="E13" s="585">
        <v>22891</v>
      </c>
      <c r="F13" s="1775">
        <f t="shared" si="1"/>
        <v>22891</v>
      </c>
    </row>
    <row r="14" spans="1:6" ht="13.7" customHeight="1" x14ac:dyDescent="0.2">
      <c r="A14" s="716" t="s">
        <v>430</v>
      </c>
      <c r="B14" s="1772">
        <f>SUM('Revenues 9-14'!C7:D7,'Revenues 9-14'!F7:H7)</f>
        <v>17364</v>
      </c>
      <c r="C14" s="585"/>
      <c r="D14" s="1775">
        <f t="shared" si="0"/>
        <v>17364</v>
      </c>
      <c r="E14" s="585">
        <v>18312</v>
      </c>
      <c r="F14" s="1775">
        <f t="shared" si="1"/>
        <v>18312</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54923</v>
      </c>
      <c r="C16" s="585"/>
      <c r="D16" s="1775">
        <f t="shared" si="0"/>
        <v>54923</v>
      </c>
      <c r="E16" s="585">
        <v>55419</v>
      </c>
      <c r="F16" s="1775">
        <f t="shared" si="1"/>
        <v>55419</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1643264</v>
      </c>
      <c r="C19" s="1773">
        <f>SUM(C4:C18)</f>
        <v>0</v>
      </c>
      <c r="D19" s="1773">
        <f>SUM(D4:D18)</f>
        <v>1643264</v>
      </c>
      <c r="E19" s="1773">
        <f>SUM(E4:E18)</f>
        <v>1714748</v>
      </c>
      <c r="F19" s="1773">
        <f>SUM(F4:F18)</f>
        <v>1714748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5" colorId="8" zoomScale="110" zoomScaleNormal="110" workbookViewId="0">
      <selection activeCell="I6" sqref="I6:S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2036</v>
      </c>
      <c r="D2" s="724" t="s">
        <v>2043</v>
      </c>
      <c r="E2" s="724" t="s">
        <v>2044</v>
      </c>
      <c r="F2" s="1909" t="s">
        <v>2037</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v>125000</v>
      </c>
      <c r="D6" s="585"/>
      <c r="E6" s="727">
        <v>125000</v>
      </c>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125000</v>
      </c>
      <c r="D15" s="1777">
        <f>SUM(D6:D14)</f>
        <v>0</v>
      </c>
      <c r="E15" s="1777">
        <f>SUM(E6:E14)</f>
        <v>125000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2102</v>
      </c>
      <c r="B31" s="734">
        <v>40603</v>
      </c>
      <c r="C31" s="735">
        <v>2500000</v>
      </c>
      <c r="D31" s="736" t="s">
        <v>2103</v>
      </c>
      <c r="E31" s="735">
        <v>2060000</v>
      </c>
      <c r="F31" s="735"/>
      <c r="G31" s="735"/>
      <c r="H31" s="735">
        <v>100000</v>
      </c>
      <c r="I31" s="1778">
        <f>((E31+F31)-H31)+G31</f>
        <v>1960000</v>
      </c>
      <c r="J31" s="735">
        <v>1895279</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2500000</v>
      </c>
      <c r="D49" s="746"/>
      <c r="E49" s="1778">
        <f t="shared" ref="E49:J49" si="2">SUM(E31:E48)</f>
        <v>2060000</v>
      </c>
      <c r="F49" s="1778">
        <f t="shared" si="2"/>
        <v>0</v>
      </c>
      <c r="G49" s="1778">
        <f t="shared" si="2"/>
        <v>0</v>
      </c>
      <c r="H49" s="1778">
        <f t="shared" si="2"/>
        <v>100000</v>
      </c>
      <c r="I49" s="1778">
        <f t="shared" si="2"/>
        <v>1960000</v>
      </c>
      <c r="J49" s="1778">
        <f t="shared" si="2"/>
        <v>1895279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6" sqref="I6:S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17364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17364</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17364</v>
      </c>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17364</v>
      </c>
      <c r="I23" s="1780">
        <f>SUM(I14:I16,I21,I22)</f>
        <v>0</v>
      </c>
      <c r="J23" s="1780">
        <f>SUM(J14:J16,J21,J22)</f>
        <v>0</v>
      </c>
      <c r="K23" s="1780">
        <f>SUM(K14:K16,K21,K22)</f>
        <v>0</v>
      </c>
    </row>
    <row r="24" spans="1:11" ht="14.25" thickTop="1" thickBot="1" x14ac:dyDescent="0.25">
      <c r="A24" s="2251" t="s">
        <v>2024</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6" sqref="I6:S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6375362</v>
      </c>
      <c r="D8" s="845">
        <v>5277</v>
      </c>
      <c r="E8" s="845"/>
      <c r="F8" s="1782">
        <f>(C8+D8)-E8</f>
        <v>6380639</v>
      </c>
      <c r="G8" s="844">
        <v>50</v>
      </c>
      <c r="H8" s="766">
        <v>3038635</v>
      </c>
      <c r="I8" s="766">
        <v>108581</v>
      </c>
      <c r="J8" s="766"/>
      <c r="K8" s="1791">
        <f>(H8+I8)-J8</f>
        <v>3147216</v>
      </c>
      <c r="L8" s="1791">
        <f>F8-K8</f>
        <v>3233423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2000</v>
      </c>
      <c r="D10" s="847"/>
      <c r="E10" s="847"/>
      <c r="F10" s="1786">
        <f>(C10+D10)-E10</f>
        <v>2000</v>
      </c>
      <c r="G10" s="844">
        <v>20</v>
      </c>
      <c r="H10" s="848">
        <v>2000</v>
      </c>
      <c r="I10" s="848"/>
      <c r="J10" s="848"/>
      <c r="K10" s="1791">
        <f>(H10+I10)-J10</f>
        <v>2000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101398</v>
      </c>
      <c r="D12" s="845"/>
      <c r="E12" s="845">
        <v>4178</v>
      </c>
      <c r="F12" s="1782">
        <f>(C12+D12)-E12</f>
        <v>97220</v>
      </c>
      <c r="G12" s="844">
        <v>10</v>
      </c>
      <c r="H12" s="766">
        <v>48819</v>
      </c>
      <c r="I12" s="766">
        <v>6509</v>
      </c>
      <c r="J12" s="766">
        <v>4178</v>
      </c>
      <c r="K12" s="1791">
        <f>(H12+I12)-J12</f>
        <v>51150</v>
      </c>
      <c r="L12" s="1791">
        <f>F12-K12</f>
        <v>46070</v>
      </c>
    </row>
    <row r="13" spans="1:14" ht="14.25" thickTop="1" thickBot="1" x14ac:dyDescent="0.25">
      <c r="A13" s="849" t="s">
        <v>1184</v>
      </c>
      <c r="B13" s="841">
        <v>252</v>
      </c>
      <c r="C13" s="845">
        <v>101092</v>
      </c>
      <c r="D13" s="845">
        <v>410781</v>
      </c>
      <c r="E13" s="845">
        <v>14630</v>
      </c>
      <c r="F13" s="1782">
        <f>(C13+D13)-E13</f>
        <v>497243</v>
      </c>
      <c r="G13" s="844">
        <v>5</v>
      </c>
      <c r="H13" s="766">
        <v>70181</v>
      </c>
      <c r="I13" s="766">
        <v>16343</v>
      </c>
      <c r="J13" s="766">
        <v>14630</v>
      </c>
      <c r="K13" s="1791">
        <f>(H13+I13)-J13</f>
        <v>71894</v>
      </c>
      <c r="L13" s="1791">
        <f>F13-K13</f>
        <v>425349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6579852</v>
      </c>
      <c r="D16" s="1782">
        <f>SUM(D3,D5:D6,D8:D10,D12:D15)</f>
        <v>416058</v>
      </c>
      <c r="E16" s="1782">
        <f>SUM(E3,E5:E6,E8:E10,E12:E15)</f>
        <v>18808</v>
      </c>
      <c r="F16" s="1782">
        <f>SUM(F3,F5:F6,F8:F10,F12:F15)</f>
        <v>6977102</v>
      </c>
      <c r="G16" s="844"/>
      <c r="H16" s="1782">
        <f>SUM(H3,H6,H8:H10,H12:H14,)</f>
        <v>3159635</v>
      </c>
      <c r="I16" s="1782">
        <f>SUM(I3,I6,I8:I10,I12:I14,)</f>
        <v>131433</v>
      </c>
      <c r="J16" s="1782">
        <f>SUM(J3,J6,J8:J10,J12:J14,)</f>
        <v>18808</v>
      </c>
      <c r="K16" s="1782">
        <f>(H16+I16)-J16</f>
        <v>3272260</v>
      </c>
      <c r="L16" s="1782">
        <f>F16-K16</f>
        <v>3704842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131433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I6" sqref="I6:S6"/>
      <selection pane="bottomLeft" activeCell="I6" sqref="I6:S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1979543</v>
      </c>
      <c r="G8" s="866"/>
    </row>
    <row r="9" spans="1:7" x14ac:dyDescent="0.2">
      <c r="A9" s="870" t="s">
        <v>480</v>
      </c>
      <c r="B9" s="871" t="s">
        <v>1988</v>
      </c>
      <c r="C9" s="872"/>
      <c r="D9" s="870" t="s">
        <v>522</v>
      </c>
      <c r="E9" s="869"/>
      <c r="F9" s="1935">
        <f>'Expenditures 15-22'!K151</f>
        <v>232082</v>
      </c>
      <c r="G9" s="873"/>
    </row>
    <row r="10" spans="1:7" x14ac:dyDescent="0.2">
      <c r="A10" s="870" t="s">
        <v>520</v>
      </c>
      <c r="B10" s="871" t="s">
        <v>1989</v>
      </c>
      <c r="C10" s="872"/>
      <c r="D10" s="870" t="s">
        <v>522</v>
      </c>
      <c r="E10" s="869"/>
      <c r="F10" s="1935">
        <f>'Expenditures 15-22'!K174</f>
        <v>218315</v>
      </c>
      <c r="G10" s="873"/>
    </row>
    <row r="11" spans="1:7" x14ac:dyDescent="0.2">
      <c r="A11" s="870" t="s">
        <v>481</v>
      </c>
      <c r="B11" s="871" t="s">
        <v>1990</v>
      </c>
      <c r="C11" s="872"/>
      <c r="D11" s="870" t="s">
        <v>522</v>
      </c>
      <c r="E11" s="869"/>
      <c r="F11" s="1935">
        <f>'Expenditures 15-22'!K210</f>
        <v>249047</v>
      </c>
      <c r="G11" s="873"/>
    </row>
    <row r="12" spans="1:7" x14ac:dyDescent="0.2">
      <c r="A12" s="870" t="s">
        <v>482</v>
      </c>
      <c r="B12" s="871" t="s">
        <v>1991</v>
      </c>
      <c r="C12" s="872"/>
      <c r="D12" s="870" t="s">
        <v>522</v>
      </c>
      <c r="E12" s="869"/>
      <c r="F12" s="1935">
        <f>'Expenditures 15-22'!K295</f>
        <v>118163</v>
      </c>
      <c r="G12" s="873"/>
    </row>
    <row r="13" spans="1:7" x14ac:dyDescent="0.2">
      <c r="A13" s="870" t="s">
        <v>108</v>
      </c>
      <c r="B13" s="871" t="s">
        <v>1992</v>
      </c>
      <c r="C13" s="872"/>
      <c r="D13" s="870" t="s">
        <v>522</v>
      </c>
      <c r="E13" s="869"/>
      <c r="F13" s="1935">
        <f>'Expenditures 15-22'!K342</f>
        <v>163908</v>
      </c>
      <c r="G13" s="874"/>
    </row>
    <row r="14" spans="1:7" ht="12" customHeight="1" thickBot="1" x14ac:dyDescent="0.25">
      <c r="A14" s="1792"/>
      <c r="B14" s="1793"/>
      <c r="C14" s="1794"/>
      <c r="D14" s="1795" t="s">
        <v>522</v>
      </c>
      <c r="E14" s="1796" t="s">
        <v>1015</v>
      </c>
      <c r="F14" s="1797">
        <f>SUM(F8:F13)</f>
        <v>2961058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97972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58466</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5278</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100000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85807</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4236</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351759</v>
      </c>
      <c r="G76" s="866"/>
    </row>
    <row r="77" spans="1:8" s="894" customFormat="1" ht="12" customHeight="1" thickTop="1" thickBot="1" x14ac:dyDescent="0.25">
      <c r="A77" s="1801"/>
      <c r="B77" s="1798"/>
      <c r="C77" s="1794"/>
      <c r="D77" s="1799" t="s">
        <v>2011</v>
      </c>
      <c r="E77" s="1796"/>
      <c r="F77" s="1802">
        <f>(F14-F76)</f>
        <v>2609299</v>
      </c>
      <c r="G77" s="870"/>
    </row>
    <row r="78" spans="1:8" s="894" customFormat="1" ht="12" customHeight="1" thickTop="1" x14ac:dyDescent="0.2">
      <c r="A78" s="1803"/>
      <c r="B78" s="1798"/>
      <c r="C78" s="1794"/>
      <c r="D78" s="1799" t="s">
        <v>2057</v>
      </c>
      <c r="E78" s="1796"/>
      <c r="F78" s="899">
        <v>199.45</v>
      </c>
      <c r="G78" s="900"/>
      <c r="H78" s="870"/>
    </row>
    <row r="79" spans="1:8" s="894" customFormat="1" ht="12" customHeight="1" thickBot="1" x14ac:dyDescent="0.25">
      <c r="A79" s="1804"/>
      <c r="B79" s="1798"/>
      <c r="C79" s="1794"/>
      <c r="D79" s="1799" t="s">
        <v>2012</v>
      </c>
      <c r="E79" s="1796" t="s">
        <v>1015</v>
      </c>
      <c r="F79" s="1805">
        <f>IF(F78&gt;0,F77/F78," Complete Line 78")</f>
        <v>13082.47179744297</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40913</v>
      </c>
      <c r="G94" s="913"/>
    </row>
    <row r="95" spans="1:7" x14ac:dyDescent="0.2">
      <c r="A95" s="909" t="s">
        <v>142</v>
      </c>
      <c r="B95" s="909" t="s">
        <v>177</v>
      </c>
      <c r="C95" s="911">
        <v>1700</v>
      </c>
      <c r="D95" s="919" t="str">
        <f>'Revenues 9-14'!A82</f>
        <v>Total District/School Activity Income</v>
      </c>
      <c r="E95" s="907"/>
      <c r="F95" s="1811">
        <f>SUM('Revenues 9-14'!C82,'Revenues 9-14'!D82)</f>
        <v>965</v>
      </c>
      <c r="G95" s="913"/>
    </row>
    <row r="96" spans="1:7" x14ac:dyDescent="0.2">
      <c r="A96" s="909" t="s">
        <v>479</v>
      </c>
      <c r="B96" s="909" t="s">
        <v>178</v>
      </c>
      <c r="C96" s="911">
        <f>'Revenues 9-14'!B84</f>
        <v>1811</v>
      </c>
      <c r="D96" s="912" t="str">
        <f>'Revenues 9-14'!A84</f>
        <v>Rentals - Regular Textbooks</v>
      </c>
      <c r="E96" s="907"/>
      <c r="F96" s="1811">
        <f>'Revenues 9-14'!C84</f>
        <v>4105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47027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1357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195666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83632</v>
      </c>
      <c r="G129" s="931"/>
    </row>
    <row r="130" spans="1:7" x14ac:dyDescent="0.2">
      <c r="A130" s="928" t="s">
        <v>689</v>
      </c>
      <c r="B130" s="928" t="s">
        <v>804</v>
      </c>
      <c r="C130" s="933">
        <v>4300</v>
      </c>
      <c r="D130" s="934" t="str">
        <f>'Revenues 9-14'!A211</f>
        <v>Total Title I</v>
      </c>
      <c r="E130" s="907"/>
      <c r="F130" s="1811">
        <f>SUM('Revenues 9-14'!C211,'Revenues 9-14'!D211,'Revenues 9-14'!F211,'Revenues 9-14'!G211)</f>
        <v>40123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1962</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8074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20325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444149</v>
      </c>
    </row>
    <row r="179" spans="1:7" ht="12" customHeight="1" x14ac:dyDescent="0.2">
      <c r="A179" s="1792"/>
      <c r="B179" s="1806"/>
      <c r="C179" s="1807"/>
      <c r="D179" s="1808" t="s">
        <v>2014</v>
      </c>
      <c r="E179" s="1809"/>
      <c r="F179" s="1811">
        <f>'PCTC-OEPP 27-28'!F77-F178</f>
        <v>2165150</v>
      </c>
    </row>
    <row r="180" spans="1:7" ht="12" customHeight="1" x14ac:dyDescent="0.2">
      <c r="A180" s="1792"/>
      <c r="B180" s="1806"/>
      <c r="C180" s="1807"/>
      <c r="D180" s="1808" t="s">
        <v>1924</v>
      </c>
      <c r="E180" s="1809"/>
      <c r="F180" s="1811">
        <f>'Cap Outlay Deprec 26'!I18</f>
        <v>131433</v>
      </c>
    </row>
    <row r="181" spans="1:7" ht="12" customHeight="1" x14ac:dyDescent="0.2">
      <c r="A181" s="1792"/>
      <c r="B181" s="1806"/>
      <c r="C181" s="1807"/>
      <c r="D181" s="1808" t="s">
        <v>2015</v>
      </c>
      <c r="E181" s="1809"/>
      <c r="F181" s="1811">
        <f>F179+F180</f>
        <v>2296583</v>
      </c>
    </row>
    <row r="182" spans="1:7" ht="12" customHeight="1" x14ac:dyDescent="0.2">
      <c r="A182" s="1792"/>
      <c r="B182" s="1812"/>
      <c r="C182" s="1807"/>
      <c r="D182" s="1808" t="str">
        <f>D78</f>
        <v>9 Month ADA from District Average Daily Attendance/Prior General State Aid Inquiry 2017-2018</v>
      </c>
      <c r="E182" s="1809"/>
      <c r="F182" s="1813">
        <f>'PCTC-OEPP 27-28'!F78</f>
        <v>199.45</v>
      </c>
      <c r="G182" s="931"/>
    </row>
    <row r="183" spans="1:7" ht="12" customHeight="1" thickBot="1" x14ac:dyDescent="0.25">
      <c r="A183" s="1792"/>
      <c r="B183" s="1812"/>
      <c r="C183" s="1807"/>
      <c r="D183" s="1808" t="s">
        <v>2016</v>
      </c>
      <c r="E183" s="1809" t="s">
        <v>1626</v>
      </c>
      <c r="F183" s="1814">
        <f>F181/F182</f>
        <v>11514.58009526197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I6" sqref="I6:S6"/>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2076</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2075</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956" t="s">
        <v>2094</v>
      </c>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I6" sqref="I6:S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3" t="s">
        <v>1944</v>
      </c>
      <c r="B11" s="2304"/>
      <c r="C11" s="2304"/>
      <c r="D11" s="2305"/>
      <c r="E11" s="978">
        <v>20248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1361339</v>
      </c>
      <c r="F19" s="1822"/>
      <c r="G19" s="1824">
        <f>'Expenditures 15-22'!K33-SUM('Expenditures 15-22'!G33,'Expenditures 15-22'!I33)+'Expenditures 15-22'!D229</f>
        <v>1361339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65203</v>
      </c>
      <c r="F21" s="1825"/>
      <c r="G21" s="1828">
        <f>'Expenditures 15-22'!K42-SUM('Expenditures 15-22'!G42,'Expenditures 15-22'!I42)+'Expenditures 15-22'!K120-SUM('Expenditures 15-22'!G120,'Expenditures 15-22'!I120)+'Expenditures 15-22'!K180-SUM('Expenditures 15-22'!G180,'Expenditures 15-22'!I180)+'Expenditures 15-22'!D238</f>
        <v>65203</v>
      </c>
      <c r="H21" s="988"/>
      <c r="I21" s="162"/>
    </row>
    <row r="22" spans="1:9" s="669" customFormat="1" ht="12" customHeight="1" x14ac:dyDescent="0.2">
      <c r="A22" s="995" t="s">
        <v>585</v>
      </c>
      <c r="B22" s="996"/>
      <c r="C22" s="994">
        <v>2200</v>
      </c>
      <c r="D22" s="1825"/>
      <c r="E22" s="1827">
        <f>'Expenditures 15-22'!K47-SUM('Expenditures 15-22'!G47,'Expenditures 15-22'!I47)+'Expenditures 15-22'!D243</f>
        <v>28106</v>
      </c>
      <c r="F22" s="1825"/>
      <c r="G22" s="1828">
        <f>'Expenditures 15-22'!K47-SUM('Expenditures 15-22'!G47,'Expenditures 15-22'!I47)+'Expenditures 15-22'!D243</f>
        <v>28106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305996</v>
      </c>
      <c r="F23" s="1825"/>
      <c r="G23" s="1827">
        <f>'Expenditures 15-22'!K53-SUM('Expenditures 15-22'!G53,'Expenditures 15-22'!I53)+'Expenditures 15-22'!D257+'Expenditures 15-22'!K330-SUM('Expenditures 15-22'!G330,'Expenditures 15-22'!I330)</f>
        <v>305996</v>
      </c>
      <c r="H23" s="988"/>
      <c r="I23" s="162"/>
    </row>
    <row r="24" spans="1:9" s="669" customFormat="1" ht="12" customHeight="1" x14ac:dyDescent="0.2">
      <c r="A24" s="995" t="s">
        <v>587</v>
      </c>
      <c r="B24" s="996"/>
      <c r="C24" s="994">
        <v>2400</v>
      </c>
      <c r="D24" s="1825"/>
      <c r="E24" s="1827">
        <f>'Expenditures 15-22'!K57-SUM('Expenditures 15-22'!G57,'Expenditures 15-22'!I57)+'Expenditures 15-22'!D261</f>
        <v>139362</v>
      </c>
      <c r="F24" s="1825"/>
      <c r="G24" s="1828">
        <f>'Expenditures 15-22'!K57-SUM('Expenditures 15-22'!G57,'Expenditures 15-22'!I57)+'Expenditures 15-22'!D261</f>
        <v>139362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68963</v>
      </c>
      <c r="E26" s="1827">
        <f>'Expenditures 15-22'!K122-SUM('Expenditures 15-22'!G122,'Expenditures 15-22'!I122)+E7</f>
        <v>0</v>
      </c>
      <c r="F26" s="1827">
        <f>'Expenditures 15-22'!K59-SUM('Expenditures 15-22'!G59,'Expenditures 15-22'!I59)+'Expenditures 15-22'!D263-E7</f>
        <v>68963</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10500</v>
      </c>
      <c r="E27" s="1827">
        <f>E8</f>
        <v>0</v>
      </c>
      <c r="F27" s="1827">
        <f>'Expenditures 15-22'!K60-SUM('Expenditures 15-22'!G60,'Expenditures 15-22'!I60)+'Expenditures 15-22'!D264-E8</f>
        <v>10500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252711</v>
      </c>
      <c r="F28" s="1829">
        <f>'Expenditures 15-22'!K61-SUM('Expenditures 15-22'!G61,'Expenditures 15-22'!I61)+'Expenditures 15-22'!K124-SUM('Expenditures 15-22'!G124,'Expenditures 15-22'!I124)+'Expenditures 15-22'!D266-E9</f>
        <v>252711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175440</v>
      </c>
      <c r="F29" s="1825"/>
      <c r="G29" s="1828">
        <f>'Expenditures 15-22'!K62-SUM('Expenditures 15-22'!G62,'Expenditures 15-22'!I62)+'Expenditures 15-22'!K125-SUM('Expenditures 15-22'!G125,'Expenditures 15-22'!I125)+'Expenditures 15-22'!K182-SUM('Expenditures 15-22'!G182,'Expenditures 15-22'!I182)+'Expenditures 15-22'!D267</f>
        <v>175440</v>
      </c>
      <c r="H29" s="986"/>
    </row>
    <row r="30" spans="1:9" ht="12" customHeight="1" x14ac:dyDescent="0.2">
      <c r="A30" s="995" t="s">
        <v>102</v>
      </c>
      <c r="B30" s="998"/>
      <c r="C30" s="994">
        <v>2560</v>
      </c>
      <c r="D30" s="1825"/>
      <c r="E30" s="1827">
        <f>'Expenditures 15-22'!K63-SUM('Expenditures 15-22'!G63,'Expenditures 15-22'!I63)+'Expenditures 15-22'!D268-E10</f>
        <v>184074</v>
      </c>
      <c r="F30" s="1825"/>
      <c r="G30" s="1827">
        <f>'Expenditures 15-22'!K63-SUM('Expenditures 15-22'!G63,'Expenditures 15-22'!I63)+'Expenditures 15-22'!D268-E10</f>
        <v>184074</v>
      </c>
    </row>
    <row r="31" spans="1:9" ht="12" customHeight="1" x14ac:dyDescent="0.2">
      <c r="A31" s="995" t="s">
        <v>103</v>
      </c>
      <c r="B31" s="998"/>
      <c r="C31" s="994">
        <v>2570</v>
      </c>
      <c r="D31" s="1827">
        <f>'Expenditures 15-22'!K64-SUM('Expenditures 15-22'!G64,'Expenditures 15-22'!I64)+'Expenditures 15-22'!D269-E12</f>
        <v>1498</v>
      </c>
      <c r="E31" s="1827">
        <f>E12</f>
        <v>0</v>
      </c>
      <c r="F31" s="1827">
        <f>'Expenditures 15-22'!K64-SUM('Expenditures 15-22'!G64,'Expenditures 15-22'!I64)+'Expenditures 15-22'!D269-E12</f>
        <v>1498</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80961</v>
      </c>
      <c r="E41" s="1829">
        <f>SUM(E19:E40)</f>
        <v>2512231</v>
      </c>
      <c r="F41" s="1829">
        <f>SUM(F19:F39)</f>
        <v>333672</v>
      </c>
      <c r="G41" s="1829">
        <f>SUM(G19:G40)</f>
        <v>2259520</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80961</v>
      </c>
      <c r="F43" s="1830" t="s">
        <v>495</v>
      </c>
      <c r="G43" s="1831">
        <f>F41</f>
        <v>333672</v>
      </c>
    </row>
    <row r="44" spans="1:7" ht="12" customHeight="1" x14ac:dyDescent="0.2">
      <c r="A44" s="988"/>
      <c r="B44" s="162"/>
      <c r="C44" s="1002"/>
      <c r="D44" s="1830" t="s">
        <v>494</v>
      </c>
      <c r="E44" s="1831">
        <f>E41</f>
        <v>2512231</v>
      </c>
      <c r="F44" s="1830" t="s">
        <v>494</v>
      </c>
      <c r="G44" s="1831">
        <f>G41</f>
        <v>2259520</v>
      </c>
    </row>
    <row r="45" spans="1:7" ht="12" customHeight="1" x14ac:dyDescent="0.2">
      <c r="A45" s="988"/>
      <c r="B45" s="162"/>
      <c r="C45" s="162"/>
      <c r="D45" s="1832" t="s">
        <v>1063</v>
      </c>
      <c r="E45" s="1833">
        <f>(E43/E44)</f>
        <v>3.2226733926935862E-2</v>
      </c>
      <c r="F45" s="1832" t="s">
        <v>1063</v>
      </c>
      <c r="G45" s="1833">
        <f>(G43/G44)</f>
        <v>0.14767384223197846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I6" sqref="I6:S6"/>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La Harpe CSD 347</v>
      </c>
      <c r="D6" s="2313"/>
      <c r="E6" s="2313"/>
      <c r="F6" s="1877"/>
    </row>
    <row r="7" spans="1:10" ht="11.25" customHeight="1" thickBot="1" x14ac:dyDescent="0.3">
      <c r="A7" s="1875"/>
      <c r="B7" s="1876"/>
      <c r="C7" s="2314">
        <f>COVER!A13</f>
        <v>26034347004</v>
      </c>
      <c r="D7" s="2314"/>
      <c r="E7" s="2314"/>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c r="F14" s="1892" t="s">
        <v>2104</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c r="F19" s="1892" t="s">
        <v>2105</v>
      </c>
      <c r="H19" s="1903">
        <f t="shared" si="0"/>
        <v>5</v>
      </c>
      <c r="I19" s="1903">
        <f t="shared" si="1"/>
        <v>5</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t="s">
        <v>2077</v>
      </c>
      <c r="D23" s="1890" t="s">
        <v>2077</v>
      </c>
      <c r="E23" s="1893"/>
      <c r="F23" s="1892" t="s">
        <v>2106</v>
      </c>
      <c r="H23" s="1903">
        <f t="shared" si="0"/>
        <v>5</v>
      </c>
      <c r="I23" s="1903">
        <f t="shared" si="1"/>
        <v>5</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2106</v>
      </c>
      <c r="H25" s="1903">
        <f t="shared" si="0"/>
        <v>5</v>
      </c>
      <c r="I25" s="1903">
        <f t="shared" si="1"/>
        <v>5</v>
      </c>
      <c r="J25" s="1903">
        <f t="shared" si="2"/>
        <v>0</v>
      </c>
    </row>
    <row r="26" spans="1:12" ht="12" customHeight="1" x14ac:dyDescent="0.2">
      <c r="A26" s="1888" t="s">
        <v>1615</v>
      </c>
      <c r="B26" s="1889"/>
      <c r="C26" s="1890" t="s">
        <v>2077</v>
      </c>
      <c r="D26" s="1890" t="s">
        <v>2077</v>
      </c>
      <c r="E26" s="1893"/>
      <c r="F26" s="1892" t="s">
        <v>2107</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c r="F28" s="1892" t="s">
        <v>2093</v>
      </c>
      <c r="H28" s="1903">
        <f t="shared" si="0"/>
        <v>5</v>
      </c>
      <c r="I28" s="1903">
        <f t="shared" si="1"/>
        <v>5</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c r="F31" s="1892" t="s">
        <v>2108</v>
      </c>
      <c r="H31" s="1903">
        <f t="shared" si="0"/>
        <v>5</v>
      </c>
      <c r="I31" s="1903">
        <f t="shared" si="1"/>
        <v>5</v>
      </c>
      <c r="J31" s="1903">
        <f t="shared" si="2"/>
        <v>0</v>
      </c>
      <c r="L31" s="1894"/>
    </row>
    <row r="32" spans="1:12" ht="12" customHeight="1" x14ac:dyDescent="0.2">
      <c r="A32" s="1888" t="s">
        <v>1621</v>
      </c>
      <c r="B32" s="1889"/>
      <c r="C32" s="1890" t="s">
        <v>2077</v>
      </c>
      <c r="D32" s="1890" t="s">
        <v>2077</v>
      </c>
      <c r="E32" s="1893"/>
      <c r="F32" s="1892" t="s">
        <v>2109</v>
      </c>
      <c r="H32" s="1903">
        <f t="shared" si="0"/>
        <v>5</v>
      </c>
      <c r="I32" s="1903">
        <f t="shared" si="1"/>
        <v>5</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40</v>
      </c>
      <c r="I34" s="1903">
        <f>SUM(I11:I32)</f>
        <v>40</v>
      </c>
      <c r="J34" s="1903">
        <f>SUM(J11:J32)</f>
        <v>0</v>
      </c>
      <c r="K34" s="1903">
        <f>SUM(H34:J34)</f>
        <v>80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6" sqref="I6:S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La Harpe CSD 347</v>
      </c>
      <c r="J6" s="2334"/>
      <c r="Q6" s="1686"/>
    </row>
    <row r="7" spans="1:17" x14ac:dyDescent="0.2">
      <c r="A7" s="2335" t="s">
        <v>924</v>
      </c>
      <c r="B7" s="2336"/>
      <c r="C7" s="2336"/>
      <c r="D7" s="2336"/>
      <c r="E7" s="2337"/>
      <c r="F7" s="1018"/>
      <c r="G7" s="1010"/>
      <c r="H7" s="1017" t="s">
        <v>390</v>
      </c>
      <c r="I7" s="2338">
        <f>COVER!A13</f>
        <v>26034347004</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100519</v>
      </c>
      <c r="F12" s="1040"/>
      <c r="G12" s="1834">
        <f t="shared" ref="G12:G18" si="0">SUM(E12:F12)</f>
        <v>100519</v>
      </c>
      <c r="H12" s="1041">
        <v>97116</v>
      </c>
      <c r="I12" s="1040"/>
      <c r="J12" s="1834">
        <f t="shared" ref="J12:J18" si="1">SUM(H12:I12)</f>
        <v>97116</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58967</v>
      </c>
      <c r="F15" s="1834">
        <f>'Expenditures 15-22'!K122</f>
        <v>0</v>
      </c>
      <c r="G15" s="1834">
        <f t="shared" si="0"/>
        <v>58967</v>
      </c>
      <c r="H15" s="1041">
        <v>57538</v>
      </c>
      <c r="I15" s="1041"/>
      <c r="J15" s="1834">
        <f t="shared" si="1"/>
        <v>57538</v>
      </c>
    </row>
    <row r="16" spans="1:17" ht="15" customHeight="1" x14ac:dyDescent="0.2">
      <c r="A16" s="1036">
        <v>5</v>
      </c>
      <c r="B16" s="1037" t="s">
        <v>103</v>
      </c>
      <c r="C16" s="1038"/>
      <c r="D16" s="1039">
        <v>2570</v>
      </c>
      <c r="E16" s="1834">
        <f>'Expenditures 15-22'!K64</f>
        <v>1498</v>
      </c>
      <c r="F16" s="1040"/>
      <c r="G16" s="1834">
        <f t="shared" si="0"/>
        <v>1498</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160984</v>
      </c>
      <c r="F19" s="1836">
        <f t="shared" si="2"/>
        <v>0</v>
      </c>
      <c r="G19" s="1836">
        <f t="shared" si="2"/>
        <v>160984</v>
      </c>
      <c r="H19" s="1836">
        <f t="shared" si="2"/>
        <v>154654</v>
      </c>
      <c r="I19" s="1836">
        <f t="shared" si="2"/>
        <v>0</v>
      </c>
      <c r="J19" s="1836">
        <f t="shared" si="2"/>
        <v>154654</v>
      </c>
    </row>
    <row r="20" spans="1:10" ht="13.5" thickTop="1" x14ac:dyDescent="0.2">
      <c r="A20" s="1036">
        <v>9</v>
      </c>
      <c r="B20" s="2345" t="s">
        <v>1703</v>
      </c>
      <c r="C20" s="2345"/>
      <c r="D20" s="2346"/>
      <c r="E20" s="1047"/>
      <c r="F20" s="1047"/>
      <c r="G20" s="1047"/>
      <c r="H20" s="1047"/>
      <c r="I20" s="1047"/>
      <c r="J20" s="1837">
        <f>IF(AND(G19&gt;0,J19&gt;0),(((J19-G19)/G19)),"Enter Budget Data")</f>
        <v>-3.9320677831337275E-2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I6" sqref="I6:S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La Harpe CSD 347</v>
      </c>
    </row>
    <row r="65" spans="2:2" x14ac:dyDescent="0.2">
      <c r="B65" s="1071">
        <f>COVER!A13</f>
        <v>26034347004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6" sqref="I6:S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autoPict="0" r:id="rId5">
            <anchor moveWithCells="1">
              <from>
                <xdr:col>1</xdr:col>
                <xdr:colOff>1095375</xdr:colOff>
                <xdr:row>4</xdr:row>
                <xdr:rowOff>0</xdr:rowOff>
              </from>
              <to>
                <xdr:col>1</xdr:col>
                <xdr:colOff>1981200</xdr:colOff>
                <xdr:row>7</xdr:row>
                <xdr:rowOff>161925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0</xdr:colOff>
                <xdr:row>4</xdr:row>
                <xdr:rowOff>0</xdr:rowOff>
              </from>
              <to>
                <xdr:col>1</xdr:col>
                <xdr:colOff>914400</xdr:colOff>
                <xdr:row>8</xdr:row>
                <xdr:rowOff>123825</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0</xdr:colOff>
                <xdr:row>4</xdr:row>
                <xdr:rowOff>0</xdr:rowOff>
              </from>
              <to>
                <xdr:col>1</xdr:col>
                <xdr:colOff>914400</xdr:colOff>
                <xdr:row>8</xdr:row>
                <xdr:rowOff>123825</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6" sqref="I6:S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2146105</v>
      </c>
      <c r="C8" s="1838">
        <f>'Acct Summary 7-8'!D8</f>
        <v>227290</v>
      </c>
      <c r="D8" s="1838">
        <f>'Acct Summary 7-8'!F8</f>
        <v>247796</v>
      </c>
      <c r="E8" s="1838">
        <f>'Acct Summary 7-8'!I8</f>
        <v>21720</v>
      </c>
      <c r="F8" s="1838">
        <f>SUM(B8:E8)</f>
        <v>2642911</v>
      </c>
    </row>
    <row r="9" spans="1:8" s="1080" customFormat="1" ht="14.25" customHeight="1" thickBot="1" x14ac:dyDescent="0.25">
      <c r="A9" s="1079" t="s">
        <v>1436</v>
      </c>
      <c r="B9" s="1839">
        <f>'Acct Summary 7-8'!C17</f>
        <v>1979543</v>
      </c>
      <c r="C9" s="1839">
        <f>'Acct Summary 7-8'!D17</f>
        <v>232082</v>
      </c>
      <c r="D9" s="1839">
        <f>'Acct Summary 7-8'!F17</f>
        <v>249047</v>
      </c>
      <c r="E9" s="1838"/>
      <c r="F9" s="1838">
        <f>SUM(B9:E9)</f>
        <v>2460672</v>
      </c>
    </row>
    <row r="10" spans="1:8" s="1080" customFormat="1" ht="14.25" thickTop="1" thickBot="1" x14ac:dyDescent="0.25">
      <c r="A10" s="1081" t="s">
        <v>1437</v>
      </c>
      <c r="B10" s="1840">
        <f>(B8-B9)</f>
        <v>166562</v>
      </c>
      <c r="C10" s="1840">
        <f>(C8-C9)</f>
        <v>-4792</v>
      </c>
      <c r="D10" s="1840">
        <f>(D8-D9)</f>
        <v>-1251</v>
      </c>
      <c r="E10" s="1839">
        <f>(E8-E9)</f>
        <v>21720</v>
      </c>
      <c r="F10" s="1841">
        <f>SUM(F8-F9)</f>
        <v>182239</v>
      </c>
    </row>
    <row r="11" spans="1:8" s="1080" customFormat="1" ht="14.25" thickTop="1" thickBot="1" x14ac:dyDescent="0.25">
      <c r="A11" s="1082" t="s">
        <v>1785</v>
      </c>
      <c r="B11" s="1842">
        <f>'Acct Summary 7-8'!C81</f>
        <v>116076</v>
      </c>
      <c r="C11" s="1842">
        <f>'Acct Summary 7-8'!D81</f>
        <v>3852</v>
      </c>
      <c r="D11" s="1842">
        <f>'Acct Summary 7-8'!F81</f>
        <v>115987</v>
      </c>
      <c r="E11" s="1842">
        <f>'Acct Summary 7-8'!I81</f>
        <v>56320</v>
      </c>
      <c r="F11" s="1843">
        <f>SUM(B11:E11)</f>
        <v>292235</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26034347004</v>
      </c>
    </row>
    <row r="3" spans="1:2" x14ac:dyDescent="0.2">
      <c r="A3" t="s">
        <v>1013</v>
      </c>
      <c r="B3" s="138" t="str">
        <f>COVER!A15</f>
        <v>Hancock</v>
      </c>
    </row>
    <row r="4" spans="1:2" x14ac:dyDescent="0.2">
      <c r="A4" t="s">
        <v>1064</v>
      </c>
      <c r="B4" s="138" t="str">
        <f>COVER!A17</f>
        <v>La Harpe CSD 347</v>
      </c>
    </row>
    <row r="5" spans="1:2" x14ac:dyDescent="0.2">
      <c r="A5" t="s">
        <v>728</v>
      </c>
      <c r="B5" s="138" t="str">
        <f>COVER!A38</f>
        <v>Jo Campbell</v>
      </c>
    </row>
    <row r="6" spans="1:2" x14ac:dyDescent="0.2">
      <c r="A6" t="s">
        <v>733</v>
      </c>
      <c r="B6" s="138">
        <f>COVER!P35</f>
        <v>0</v>
      </c>
    </row>
    <row r="7" spans="1:2" x14ac:dyDescent="0.2">
      <c r="A7" t="s">
        <v>729</v>
      </c>
      <c r="B7" s="138">
        <f>COVER!I38</f>
        <v>0</v>
      </c>
    </row>
    <row r="8" spans="1:2" x14ac:dyDescent="0.2">
      <c r="A8" t="s">
        <v>730</v>
      </c>
      <c r="B8" s="138" t="str">
        <f>COVER!T38</f>
        <v>John Meixner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066-004856</v>
      </c>
    </row>
    <row r="16" spans="1:2" x14ac:dyDescent="0.2">
      <c r="A16" t="s">
        <v>442</v>
      </c>
      <c r="B16" s="138" t="str">
        <f>COVER!T13</f>
        <v>Dennis G. Koch &amp; Associates LLC</v>
      </c>
    </row>
    <row r="17" spans="1:2" x14ac:dyDescent="0.2">
      <c r="A17" t="s">
        <v>939</v>
      </c>
      <c r="B17" s="138" t="str">
        <f>COVER!T15</f>
        <v>Dennis G. Koch</v>
      </c>
    </row>
    <row r="18" spans="1:2" x14ac:dyDescent="0.2">
      <c r="A18" t="s">
        <v>1212</v>
      </c>
      <c r="B18" s="138" t="str">
        <f>COVER!T17</f>
        <v>1706 N 16th Street</v>
      </c>
    </row>
    <row r="19" spans="1:2" x14ac:dyDescent="0.2">
      <c r="A19" t="s">
        <v>941</v>
      </c>
      <c r="B19" s="138" t="str">
        <f>COVER!T25</f>
        <v>dgkoch@dgkochcpa.com</v>
      </c>
    </row>
    <row r="20" spans="1:2" x14ac:dyDescent="0.2">
      <c r="A20" t="s">
        <v>942</v>
      </c>
      <c r="B20" s="138" t="str">
        <f>COVER!T19</f>
        <v>Quincy</v>
      </c>
    </row>
    <row r="21" spans="1:2" x14ac:dyDescent="0.2">
      <c r="A21" t="s">
        <v>500</v>
      </c>
      <c r="B21" s="138" t="str">
        <f>COVER!X19</f>
        <v>IL</v>
      </c>
    </row>
    <row r="22" spans="1:2" x14ac:dyDescent="0.2">
      <c r="A22" t="s">
        <v>943</v>
      </c>
      <c r="B22" s="138">
        <f>COVER!Z19</f>
        <v>62301</v>
      </c>
    </row>
    <row r="23" spans="1:2" x14ac:dyDescent="0.2">
      <c r="A23" t="s">
        <v>1214</v>
      </c>
      <c r="B23" s="138" t="str">
        <f>COVER!T21</f>
        <v>217-224-8484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116076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116076</v>
      </c>
      <c r="D92" s="2" t="str">
        <f t="shared" si="0"/>
        <v>Error?</v>
      </c>
    </row>
    <row r="93" spans="1:4" x14ac:dyDescent="0.2">
      <c r="A93" s="5">
        <v>32</v>
      </c>
      <c r="B93" s="138">
        <f>'Assets-Liab 5-6'!C41</f>
        <v>116076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3852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3852</v>
      </c>
      <c r="D123" s="2" t="str">
        <f t="shared" si="0"/>
        <v>Error?</v>
      </c>
    </row>
    <row r="124" spans="1:4" x14ac:dyDescent="0.2">
      <c r="A124" s="5">
        <v>63</v>
      </c>
      <c r="B124" s="138">
        <f>'Assets-Liab 5-6'!D41</f>
        <v>3852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64721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64721</v>
      </c>
      <c r="D140" s="2" t="str">
        <f t="shared" si="1"/>
        <v>Error?</v>
      </c>
    </row>
    <row r="141" spans="1:4" x14ac:dyDescent="0.2">
      <c r="A141" s="5">
        <v>80</v>
      </c>
      <c r="B141" s="138">
        <f>'Assets-Liab 5-6'!E41</f>
        <v>64721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115987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115987</v>
      </c>
      <c r="D170" s="2" t="str">
        <f t="shared" si="1"/>
        <v>Error?</v>
      </c>
    </row>
    <row r="171" spans="1:4" x14ac:dyDescent="0.2">
      <c r="A171" s="5">
        <v>110</v>
      </c>
      <c r="B171" s="138">
        <f>'Assets-Liab 5-6'!F41</f>
        <v>115987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56205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56205</v>
      </c>
      <c r="D189" s="2" t="str">
        <f t="shared" si="1"/>
        <v>Error?</v>
      </c>
    </row>
    <row r="190" spans="1:4" x14ac:dyDescent="0.2">
      <c r="A190" s="5">
        <v>129</v>
      </c>
      <c r="B190" s="138">
        <f>'Assets-Liab 5-6'!G41</f>
        <v>56205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3233424</v>
      </c>
      <c r="D274" s="2" t="str">
        <f t="shared" si="3"/>
        <v>Error?</v>
      </c>
    </row>
    <row r="275" spans="1:4" x14ac:dyDescent="0.2">
      <c r="A275" s="5">
        <v>214</v>
      </c>
      <c r="B275" s="138">
        <f>'Assets-Liab 5-6'!M18</f>
        <v>0</v>
      </c>
      <c r="D275" s="2" t="str">
        <f t="shared" si="3"/>
        <v>Error?</v>
      </c>
    </row>
    <row r="276" spans="1:4" x14ac:dyDescent="0.2">
      <c r="A276" s="5">
        <v>215</v>
      </c>
      <c r="B276" s="138">
        <f>'Assets-Liab 5-6'!M19</f>
        <v>471418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3704842</v>
      </c>
      <c r="C279" s="2" t="s">
        <v>594</v>
      </c>
      <c r="D279" s="2" t="str">
        <f t="shared" si="3"/>
        <v>Error?</v>
      </c>
    </row>
    <row r="280" spans="1:4" x14ac:dyDescent="0.2">
      <c r="A280" s="5">
        <v>219</v>
      </c>
      <c r="B280" s="138">
        <f>'Assets-Liab 5-6'!M40</f>
        <v>3704842</v>
      </c>
      <c r="D280" s="2" t="str">
        <f t="shared" si="3"/>
        <v>Error?</v>
      </c>
    </row>
    <row r="281" spans="1:4" x14ac:dyDescent="0.2">
      <c r="A281" s="5">
        <v>220</v>
      </c>
      <c r="B281" s="138">
        <f>'Assets-Liab 5-6'!M41</f>
        <v>3704842</v>
      </c>
      <c r="C281" s="2" t="s">
        <v>594</v>
      </c>
      <c r="D281" s="2" t="str">
        <f t="shared" si="3"/>
        <v>Error?</v>
      </c>
    </row>
    <row r="282" spans="1:4" x14ac:dyDescent="0.2">
      <c r="A282" s="5">
        <v>221</v>
      </c>
      <c r="B282" s="138">
        <f>'Assets-Liab 5-6'!N21</f>
        <v>64721</v>
      </c>
      <c r="D282" s="2" t="str">
        <f t="shared" si="3"/>
        <v>Error?</v>
      </c>
    </row>
    <row r="283" spans="1:4" x14ac:dyDescent="0.2">
      <c r="A283" s="5">
        <v>222</v>
      </c>
      <c r="B283" s="138">
        <f>'Assets-Liab 5-6'!N22</f>
        <v>1895279</v>
      </c>
      <c r="D283" s="2" t="str">
        <f t="shared" si="3"/>
        <v>Error?</v>
      </c>
    </row>
    <row r="284" spans="1:4" x14ac:dyDescent="0.2">
      <c r="A284" s="5">
        <v>223</v>
      </c>
      <c r="B284" s="138">
        <f>'Assets-Liab 5-6'!N23</f>
        <v>1960000</v>
      </c>
      <c r="C284" s="2" t="s">
        <v>594</v>
      </c>
      <c r="D284" s="2" t="str">
        <f t="shared" si="3"/>
        <v>Error?</v>
      </c>
    </row>
    <row r="285" spans="1:4" x14ac:dyDescent="0.2">
      <c r="A285" s="5">
        <v>224</v>
      </c>
      <c r="B285" s="138">
        <f>'Assets-Liab 5-6'!N36</f>
        <v>1960000</v>
      </c>
      <c r="D285" s="2" t="str">
        <f t="shared" si="3"/>
        <v>Error?</v>
      </c>
    </row>
    <row r="286" spans="1:4" x14ac:dyDescent="0.2">
      <c r="A286" s="10">
        <v>225</v>
      </c>
      <c r="D286" s="2" t="str">
        <f t="shared" si="3"/>
        <v>OK</v>
      </c>
    </row>
    <row r="287" spans="1:4" x14ac:dyDescent="0.2">
      <c r="A287" s="5">
        <v>226</v>
      </c>
      <c r="B287" s="138">
        <f>'Assets-Liab 5-6'!N37</f>
        <v>1960000</v>
      </c>
      <c r="C287" s="2" t="s">
        <v>594</v>
      </c>
      <c r="D287" s="2" t="str">
        <f t="shared" si="3"/>
        <v>Error?</v>
      </c>
    </row>
    <row r="288" spans="1:4" x14ac:dyDescent="0.2">
      <c r="A288" s="5">
        <v>227</v>
      </c>
      <c r="B288" s="138">
        <f>'Assets-Liab 5-6'!N41</f>
        <v>1960000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32000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32000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656229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12408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919594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23363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23363</v>
      </c>
      <c r="C727" s="2" t="s">
        <v>594</v>
      </c>
      <c r="D727" s="2" t="str">
        <f t="shared" si="10"/>
        <v>Error?</v>
      </c>
    </row>
    <row r="728" spans="1:4" x14ac:dyDescent="0.2">
      <c r="A728" s="5">
        <v>667</v>
      </c>
      <c r="B728" s="138">
        <f>'Expenditures 15-22'!C44</f>
        <v>1225</v>
      </c>
      <c r="D728" s="2" t="str">
        <f t="shared" si="10"/>
        <v>Error?</v>
      </c>
    </row>
    <row r="729" spans="1:4" x14ac:dyDescent="0.2">
      <c r="A729" s="5">
        <v>668</v>
      </c>
      <c r="B729" s="138">
        <f>'Expenditures 15-22'!C45</f>
        <v>5608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6833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72941</v>
      </c>
      <c r="D733" s="2" t="str">
        <f t="shared" si="10"/>
        <v>Error?</v>
      </c>
    </row>
    <row r="734" spans="1:4" x14ac:dyDescent="0.2">
      <c r="A734" s="5">
        <v>673</v>
      </c>
      <c r="B734" s="138">
        <f>'Expenditures 15-22'!C53</f>
        <v>72941</v>
      </c>
      <c r="C734" s="2" t="s">
        <v>594</v>
      </c>
      <c r="D734" s="2" t="str">
        <f t="shared" si="10"/>
        <v>Error?</v>
      </c>
    </row>
    <row r="735" spans="1:4" x14ac:dyDescent="0.2">
      <c r="A735" s="5">
        <v>674</v>
      </c>
      <c r="B735" s="138">
        <f>'Expenditures 15-22'!C55</f>
        <v>97095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97095</v>
      </c>
      <c r="C737" s="2" t="s">
        <v>594</v>
      </c>
      <c r="D737" s="2" t="str">
        <f t="shared" si="10"/>
        <v>Error?</v>
      </c>
    </row>
    <row r="738" spans="1:4" x14ac:dyDescent="0.2">
      <c r="A738" s="5">
        <v>677</v>
      </c>
      <c r="B738" s="138">
        <f>'Expenditures 15-22'!C59</f>
        <v>47018</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61024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108042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308274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1227868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202471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299796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10450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10450</v>
      </c>
      <c r="C785" s="2" t="s">
        <v>594</v>
      </c>
      <c r="D785" s="2" t="str">
        <f t="shared" si="11"/>
        <v>Error?</v>
      </c>
    </row>
    <row r="786" spans="1:4" x14ac:dyDescent="0.2">
      <c r="A786" s="5">
        <v>725</v>
      </c>
      <c r="B786" s="138">
        <f>'Expenditures 15-22'!D44</f>
        <v>18</v>
      </c>
      <c r="D786" s="2" t="str">
        <f t="shared" si="11"/>
        <v>Error?</v>
      </c>
    </row>
    <row r="787" spans="1:4" x14ac:dyDescent="0.2">
      <c r="A787" s="5">
        <v>726</v>
      </c>
      <c r="B787" s="138">
        <f>'Expenditures 15-22'!D45</f>
        <v>4780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4798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22585</v>
      </c>
      <c r="D791" s="2" t="str">
        <f t="shared" si="11"/>
        <v>Error?</v>
      </c>
    </row>
    <row r="792" spans="1:4" x14ac:dyDescent="0.2">
      <c r="A792" s="5">
        <v>731</v>
      </c>
      <c r="B792" s="138">
        <f>'Expenditures 15-22'!D53</f>
        <v>22585</v>
      </c>
      <c r="C792" s="2" t="s">
        <v>594</v>
      </c>
      <c r="D792" s="2" t="str">
        <f t="shared" si="11"/>
        <v>Error?</v>
      </c>
    </row>
    <row r="793" spans="1:4" x14ac:dyDescent="0.2">
      <c r="A793" s="5">
        <v>732</v>
      </c>
      <c r="B793" s="138">
        <f>'Expenditures 15-22'!D55</f>
        <v>33939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33939</v>
      </c>
      <c r="C795" s="2" t="s">
        <v>594</v>
      </c>
      <c r="D795" s="2" t="str">
        <f t="shared" si="11"/>
        <v>Error?</v>
      </c>
    </row>
    <row r="796" spans="1:4" x14ac:dyDescent="0.2">
      <c r="A796" s="5">
        <v>735</v>
      </c>
      <c r="B796" s="138">
        <f>'Expenditures 15-22'!D59</f>
        <v>9845</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32068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41913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113685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413481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2391</v>
      </c>
      <c r="D833" s="2" t="str">
        <f t="shared" si="12"/>
        <v>Error?</v>
      </c>
    </row>
    <row r="834" spans="1:4" x14ac:dyDescent="0.2">
      <c r="A834" s="5">
        <v>773</v>
      </c>
      <c r="B834" s="138">
        <f>'Expenditures 15-22'!E14</f>
        <v>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4386</v>
      </c>
      <c r="C836" s="2" t="s">
        <v>594</v>
      </c>
      <c r="D836" s="2" t="str">
        <f t="shared" si="12"/>
        <v>Error?</v>
      </c>
    </row>
    <row r="837" spans="1:4" x14ac:dyDescent="0.2">
      <c r="A837" s="5">
        <v>776</v>
      </c>
      <c r="B837" s="138">
        <f>'Expenditures 15-22'!E36</f>
        <v>13228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1245</v>
      </c>
      <c r="D839" s="2" t="str">
        <f t="shared" si="12"/>
        <v>Error?</v>
      </c>
    </row>
    <row r="840" spans="1:4" x14ac:dyDescent="0.2">
      <c r="A840" s="5">
        <v>779</v>
      </c>
      <c r="B840" s="138">
        <f>'Expenditures 15-22'!E39</f>
        <v>6000</v>
      </c>
      <c r="D840" s="2" t="str">
        <f t="shared" si="12"/>
        <v>Error?</v>
      </c>
    </row>
    <row r="841" spans="1:4" x14ac:dyDescent="0.2">
      <c r="A841" s="5">
        <v>780</v>
      </c>
      <c r="B841" s="138">
        <f>'Expenditures 15-22'!E40</f>
        <v>10367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30840</v>
      </c>
      <c r="C843" s="2" t="s">
        <v>594</v>
      </c>
      <c r="D843" s="2" t="str">
        <f t="shared" si="12"/>
        <v>Error?</v>
      </c>
    </row>
    <row r="844" spans="1:4" x14ac:dyDescent="0.2">
      <c r="A844" s="5">
        <v>783</v>
      </c>
      <c r="B844" s="138">
        <f>'Expenditures 15-22'!E44</f>
        <v>6641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6641</v>
      </c>
      <c r="C847" s="2" t="s">
        <v>594</v>
      </c>
      <c r="D847" s="2" t="str">
        <f t="shared" si="12"/>
        <v>Error?</v>
      </c>
    </row>
    <row r="848" spans="1:4" x14ac:dyDescent="0.2">
      <c r="A848" s="5">
        <v>787</v>
      </c>
      <c r="B848" s="138">
        <f>'Expenditures 15-22'!E49</f>
        <v>15016</v>
      </c>
      <c r="D848" s="2" t="str">
        <f t="shared" si="12"/>
        <v>Error?</v>
      </c>
    </row>
    <row r="849" spans="1:4" x14ac:dyDescent="0.2">
      <c r="A849" s="5">
        <v>788</v>
      </c>
      <c r="B849" s="138">
        <f>'Expenditures 15-22'!E50</f>
        <v>2982</v>
      </c>
      <c r="D849" s="2" t="str">
        <f t="shared" si="12"/>
        <v>Error?</v>
      </c>
    </row>
    <row r="850" spans="1:4" x14ac:dyDescent="0.2">
      <c r="A850" s="5">
        <v>789</v>
      </c>
      <c r="B850" s="138">
        <f>'Expenditures 15-22'!E53</f>
        <v>17998</v>
      </c>
      <c r="C850" s="2" t="s">
        <v>594</v>
      </c>
      <c r="D850" s="2" t="str">
        <f t="shared" si="12"/>
        <v>Error?</v>
      </c>
    </row>
    <row r="851" spans="1:4" x14ac:dyDescent="0.2">
      <c r="A851" s="5">
        <v>790</v>
      </c>
      <c r="B851" s="138">
        <f>'Expenditures 15-22'!E55</f>
        <v>354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354</v>
      </c>
      <c r="C853" s="2" t="s">
        <v>594</v>
      </c>
      <c r="D853" s="2" t="str">
        <f t="shared" si="12"/>
        <v>Error?</v>
      </c>
    </row>
    <row r="854" spans="1:4" x14ac:dyDescent="0.2">
      <c r="A854" s="5">
        <v>793</v>
      </c>
      <c r="B854" s="138">
        <f>'Expenditures 15-22'!E59</f>
        <v>1169</v>
      </c>
      <c r="D854" s="2" t="str">
        <f t="shared" si="12"/>
        <v>Error?</v>
      </c>
    </row>
    <row r="855" spans="1:4" x14ac:dyDescent="0.2">
      <c r="A855" s="5">
        <v>794</v>
      </c>
      <c r="B855" s="138">
        <f>'Expenditures 15-22'!E60</f>
        <v>10500</v>
      </c>
      <c r="D855" s="2" t="str">
        <f t="shared" si="12"/>
        <v>Error?</v>
      </c>
    </row>
    <row r="856" spans="1:4" x14ac:dyDescent="0.2">
      <c r="A856" s="5">
        <v>795</v>
      </c>
      <c r="B856" s="138">
        <f>'Expenditures 15-22'!E61</f>
        <v>7410</v>
      </c>
      <c r="D856" s="2" t="str">
        <f t="shared" si="12"/>
        <v>Error?</v>
      </c>
    </row>
    <row r="857" spans="1:4" x14ac:dyDescent="0.2">
      <c r="A857" s="5">
        <v>796</v>
      </c>
      <c r="B857" s="138">
        <f>'Expenditures 15-22'!E62</f>
        <v>71</v>
      </c>
      <c r="D857" s="2" t="str">
        <f t="shared" si="12"/>
        <v>Error?</v>
      </c>
    </row>
    <row r="858" spans="1:4" x14ac:dyDescent="0.2">
      <c r="A858" s="5">
        <v>797</v>
      </c>
      <c r="B858" s="138">
        <f>'Expenditures 15-22'!E63</f>
        <v>2246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21396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77229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140081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13235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46944</v>
      </c>
      <c r="D891" s="2" t="str">
        <f t="shared" si="12"/>
        <v>Error?</v>
      </c>
    </row>
    <row r="892" spans="1:4" x14ac:dyDescent="0.2">
      <c r="A892" s="5">
        <v>831</v>
      </c>
      <c r="B892" s="138">
        <f>'Expenditures 15-22'!F14</f>
        <v>175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93533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104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176</v>
      </c>
      <c r="C901" s="2" t="s">
        <v>594</v>
      </c>
      <c r="D901" s="2" t="str">
        <f t="shared" si="13"/>
        <v>Error?</v>
      </c>
    </row>
    <row r="902" spans="1:4" x14ac:dyDescent="0.2">
      <c r="A902" s="5">
        <v>841</v>
      </c>
      <c r="B902" s="138">
        <f>'Expenditures 15-22'!F44</f>
        <v>5583</v>
      </c>
      <c r="D902" s="2" t="str">
        <f t="shared" si="13"/>
        <v>Error?</v>
      </c>
    </row>
    <row r="903" spans="1:4" x14ac:dyDescent="0.2">
      <c r="A903" s="5">
        <v>842</v>
      </c>
      <c r="B903" s="138">
        <f>'Expenditures 15-22'!F45</f>
        <v>2904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8487</v>
      </c>
      <c r="C905" s="2" t="s">
        <v>594</v>
      </c>
      <c r="D905" s="2" t="str">
        <f t="shared" si="13"/>
        <v>Error?</v>
      </c>
    </row>
    <row r="906" spans="1:4" x14ac:dyDescent="0.2">
      <c r="A906" s="5">
        <v>845</v>
      </c>
      <c r="B906" s="138">
        <f>'Expenditures 15-22'!F49</f>
        <v>7117</v>
      </c>
      <c r="D906" s="2" t="str">
        <f t="shared" si="13"/>
        <v>Error?</v>
      </c>
    </row>
    <row r="907" spans="1:4" x14ac:dyDescent="0.2">
      <c r="A907" s="5">
        <v>846</v>
      </c>
      <c r="B907" s="138">
        <f>'Expenditures 15-22'!F50</f>
        <v>1381</v>
      </c>
      <c r="D907" s="2" t="str">
        <f t="shared" si="13"/>
        <v>Error?</v>
      </c>
    </row>
    <row r="908" spans="1:4" x14ac:dyDescent="0.2">
      <c r="A908" s="5">
        <v>847</v>
      </c>
      <c r="B908" s="138">
        <f>'Expenditures 15-22'!F53</f>
        <v>8498</v>
      </c>
      <c r="C908" s="2" t="s">
        <v>594</v>
      </c>
      <c r="D908" s="2" t="str">
        <f t="shared" si="13"/>
        <v>Error?</v>
      </c>
    </row>
    <row r="909" spans="1:4" x14ac:dyDescent="0.2">
      <c r="A909" s="5">
        <v>848</v>
      </c>
      <c r="B909" s="138">
        <f>'Expenditures 15-22'!F55</f>
        <v>417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60195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60195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77773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171306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9014</v>
      </c>
      <c r="D1022" s="2" t="str">
        <f t="shared" si="14"/>
        <v>Error?</v>
      </c>
    </row>
    <row r="1023" spans="1:4" x14ac:dyDescent="0.2">
      <c r="A1023" s="5">
        <v>962</v>
      </c>
      <c r="B1023" s="138">
        <f>'Expenditures 15-22'!H50</f>
        <v>630</v>
      </c>
      <c r="D1023" s="2" t="str">
        <f t="shared" ref="D1023:D1086" si="15">IF(ISBLANK(B1023),"OK",IF(A1023-B1023=0,"OK","Error?"))</f>
        <v>Error?</v>
      </c>
    </row>
    <row r="1024" spans="1:4" x14ac:dyDescent="0.2">
      <c r="A1024" s="5">
        <v>963</v>
      </c>
      <c r="B1024" s="138">
        <f>'Expenditures 15-22'!H53</f>
        <v>9644</v>
      </c>
      <c r="C1024" s="2" t="s">
        <v>594</v>
      </c>
      <c r="D1024" s="2" t="str">
        <f t="shared" si="15"/>
        <v>Error?</v>
      </c>
    </row>
    <row r="1025" spans="1:4" x14ac:dyDescent="0.2">
      <c r="A1025" s="5">
        <v>964</v>
      </c>
      <c r="B1025" s="138">
        <f>'Expenditures 15-22'!H55</f>
        <v>485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485</v>
      </c>
      <c r="C1027" s="2" t="s">
        <v>594</v>
      </c>
      <c r="D1027" s="2" t="str">
        <f t="shared" si="15"/>
        <v>Error?</v>
      </c>
    </row>
    <row r="1028" spans="1:4" x14ac:dyDescent="0.2">
      <c r="A1028" s="5">
        <v>967</v>
      </c>
      <c r="B1028" s="138">
        <f>'Expenditures 15-22'!H59</f>
        <v>935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13767</v>
      </c>
      <c r="D1032" s="2" t="str">
        <f t="shared" si="15"/>
        <v>Error?</v>
      </c>
    </row>
    <row r="1033" spans="1:4" x14ac:dyDescent="0.2">
      <c r="A1033" s="5">
        <v>972</v>
      </c>
      <c r="B1033" s="138">
        <f>'Expenditures 15-22'!H64</f>
        <v>1498</v>
      </c>
      <c r="D1033" s="2" t="str">
        <f t="shared" si="15"/>
        <v>Error?</v>
      </c>
    </row>
    <row r="1034" spans="1:4" x14ac:dyDescent="0.2">
      <c r="A1034" s="10">
        <v>973</v>
      </c>
      <c r="D1034" s="2" t="str">
        <f t="shared" si="15"/>
        <v>OK</v>
      </c>
    </row>
    <row r="1035" spans="1:4" x14ac:dyDescent="0.2">
      <c r="A1035" s="5">
        <v>974</v>
      </c>
      <c r="B1035" s="138">
        <f>'Expenditures 15-22'!H65</f>
        <v>16200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26329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26807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873046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49335</v>
      </c>
      <c r="C1105" s="2" t="s">
        <v>594</v>
      </c>
      <c r="D1105" s="2" t="str">
        <f t="shared" si="16"/>
        <v>Error?</v>
      </c>
    </row>
    <row r="1106" spans="1:4" x14ac:dyDescent="0.2">
      <c r="A1106" s="5">
        <v>1045</v>
      </c>
      <c r="B1106" s="138">
        <f>'Expenditures 15-22'!K14</f>
        <v>13419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1317787</v>
      </c>
      <c r="C1108" s="2" t="s">
        <v>594</v>
      </c>
      <c r="D1108" s="2" t="str">
        <f t="shared" si="16"/>
        <v>Error?</v>
      </c>
    </row>
    <row r="1109" spans="1:4" x14ac:dyDescent="0.2">
      <c r="A1109" s="5">
        <v>1048</v>
      </c>
      <c r="B1109" s="138">
        <f>'Expenditures 15-22'!K36</f>
        <v>13228</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1317</v>
      </c>
      <c r="C1111" s="2" t="s">
        <v>594</v>
      </c>
      <c r="D1111" s="2" t="str">
        <f t="shared" si="16"/>
        <v>Error?</v>
      </c>
    </row>
    <row r="1112" spans="1:4" x14ac:dyDescent="0.2">
      <c r="A1112" s="5">
        <v>1051</v>
      </c>
      <c r="B1112" s="138">
        <f>'Expenditures 15-22'!K39</f>
        <v>6000</v>
      </c>
      <c r="C1112" s="2" t="s">
        <v>594</v>
      </c>
      <c r="D1112" s="2" t="str">
        <f t="shared" si="16"/>
        <v>Error?</v>
      </c>
    </row>
    <row r="1113" spans="1:4" x14ac:dyDescent="0.2">
      <c r="A1113" s="5">
        <v>1052</v>
      </c>
      <c r="B1113" s="138">
        <f>'Expenditures 15-22'!K40</f>
        <v>44284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64829</v>
      </c>
      <c r="C1115" s="2" t="s">
        <v>594</v>
      </c>
      <c r="D1115" s="2" t="str">
        <f t="shared" si="16"/>
        <v>Error?</v>
      </c>
    </row>
    <row r="1116" spans="1:4" x14ac:dyDescent="0.2">
      <c r="A1116" s="5">
        <v>1055</v>
      </c>
      <c r="B1116" s="138">
        <f>'Expenditures 15-22'!K44</f>
        <v>13467</v>
      </c>
      <c r="C1116" s="2" t="s">
        <v>594</v>
      </c>
      <c r="D1116" s="2" t="str">
        <f t="shared" si="16"/>
        <v>Error?</v>
      </c>
    </row>
    <row r="1117" spans="1:4" x14ac:dyDescent="0.2">
      <c r="A1117" s="5">
        <v>1056</v>
      </c>
      <c r="B1117" s="138">
        <f>'Expenditures 15-22'!K45</f>
        <v>13292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26759</v>
      </c>
      <c r="C1119" s="2" t="s">
        <v>594</v>
      </c>
      <c r="D1119" s="2" t="str">
        <f t="shared" si="16"/>
        <v>Error?</v>
      </c>
    </row>
    <row r="1120" spans="1:4" x14ac:dyDescent="0.2">
      <c r="A1120" s="5">
        <v>1059</v>
      </c>
      <c r="B1120" s="138">
        <f>'Expenditures 15-22'!K49</f>
        <v>31147</v>
      </c>
      <c r="C1120" s="2" t="s">
        <v>594</v>
      </c>
      <c r="D1120" s="2" t="str">
        <f t="shared" si="16"/>
        <v>Error?</v>
      </c>
    </row>
    <row r="1121" spans="1:4" x14ac:dyDescent="0.2">
      <c r="A1121" s="5">
        <v>1060</v>
      </c>
      <c r="B1121" s="138">
        <f>'Expenditures 15-22'!K50</f>
        <v>100519</v>
      </c>
      <c r="C1121" s="2" t="s">
        <v>594</v>
      </c>
      <c r="D1121" s="2" t="str">
        <f t="shared" si="16"/>
        <v>Error?</v>
      </c>
    </row>
    <row r="1122" spans="1:4" x14ac:dyDescent="0.2">
      <c r="A1122" s="5">
        <v>1061</v>
      </c>
      <c r="B1122" s="138">
        <f>'Expenditures 15-22'!K53</f>
        <v>131666</v>
      </c>
      <c r="C1122" s="2" t="s">
        <v>594</v>
      </c>
      <c r="D1122" s="2" t="str">
        <f t="shared" si="16"/>
        <v>Error?</v>
      </c>
    </row>
    <row r="1123" spans="1:4" x14ac:dyDescent="0.2">
      <c r="A1123" s="5">
        <v>1062</v>
      </c>
      <c r="B1123" s="138">
        <f>'Expenditures 15-22'!K55</f>
        <v>132290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132290</v>
      </c>
      <c r="C1125" s="2" t="s">
        <v>594</v>
      </c>
      <c r="D1125" s="2" t="str">
        <f t="shared" si="16"/>
        <v>Error?</v>
      </c>
    </row>
    <row r="1126" spans="1:4" x14ac:dyDescent="0.2">
      <c r="A1126" s="5">
        <v>1065</v>
      </c>
      <c r="B1126" s="138">
        <f>'Expenditures 15-22'!K59</f>
        <v>58967</v>
      </c>
      <c r="C1126" s="2" t="s">
        <v>594</v>
      </c>
      <c r="D1126" s="2" t="str">
        <f t="shared" si="16"/>
        <v>Error?</v>
      </c>
    </row>
    <row r="1127" spans="1:4" x14ac:dyDescent="0.2">
      <c r="A1127" s="5">
        <v>1066</v>
      </c>
      <c r="B1127" s="138">
        <f>'Expenditures 15-22'!K60</f>
        <v>10500</v>
      </c>
      <c r="C1127" s="2" t="s">
        <v>594</v>
      </c>
      <c r="D1127" s="2" t="str">
        <f t="shared" si="16"/>
        <v>Error?</v>
      </c>
    </row>
    <row r="1128" spans="1:4" x14ac:dyDescent="0.2">
      <c r="A1128" s="5">
        <v>1067</v>
      </c>
      <c r="B1128" s="138">
        <f>'Expenditures 15-22'!K61</f>
        <v>7410</v>
      </c>
      <c r="C1128" s="2" t="s">
        <v>594</v>
      </c>
      <c r="D1128" s="2" t="str">
        <f t="shared" si="16"/>
        <v>Error?</v>
      </c>
    </row>
    <row r="1129" spans="1:4" x14ac:dyDescent="0.2">
      <c r="A1129" s="5">
        <v>1068</v>
      </c>
      <c r="B1129" s="138">
        <f>'Expenditures 15-22'!K62</f>
        <v>71</v>
      </c>
      <c r="C1129" s="2" t="s">
        <v>594</v>
      </c>
      <c r="D1129" s="2" t="str">
        <f t="shared" si="16"/>
        <v>Error?</v>
      </c>
    </row>
    <row r="1130" spans="1:4" x14ac:dyDescent="0.2">
      <c r="A1130" s="5">
        <v>1069</v>
      </c>
      <c r="B1130" s="138">
        <f>'Expenditures 15-22'!K63</f>
        <v>169300</v>
      </c>
      <c r="C1130" s="2" t="s">
        <v>594</v>
      </c>
      <c r="D1130" s="2" t="str">
        <f t="shared" si="16"/>
        <v>Error?</v>
      </c>
    </row>
    <row r="1131" spans="1:4" x14ac:dyDescent="0.2">
      <c r="A1131" s="5">
        <v>1070</v>
      </c>
      <c r="B1131" s="138">
        <f>'Expenditures 15-22'!K64</f>
        <v>1498</v>
      </c>
      <c r="C1131" s="2" t="s">
        <v>594</v>
      </c>
      <c r="D1131" s="2" t="str">
        <f t="shared" si="16"/>
        <v>Error?</v>
      </c>
    </row>
    <row r="1132" spans="1:4" x14ac:dyDescent="0.2">
      <c r="A1132" s="10">
        <v>1071</v>
      </c>
      <c r="D1132" s="2" t="str">
        <f t="shared" si="16"/>
        <v>OK</v>
      </c>
    </row>
    <row r="1133" spans="1:4" x14ac:dyDescent="0.2">
      <c r="A1133" s="5">
        <v>1072</v>
      </c>
      <c r="B1133" s="138">
        <f>'Expenditures 15-22'!K65</f>
        <v>247746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603290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58466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1979543</v>
      </c>
      <c r="C1152" s="2" t="s">
        <v>594</v>
      </c>
      <c r="D1152" s="2" t="str">
        <f t="shared" si="17"/>
        <v>Error?</v>
      </c>
    </row>
    <row r="1153" spans="1:4" x14ac:dyDescent="0.2">
      <c r="A1153" s="5">
        <v>1092</v>
      </c>
      <c r="B1153" s="138">
        <f>'Expenditures 15-22'!K115</f>
        <v>166562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78607</v>
      </c>
      <c r="D1221" s="2" t="str">
        <f t="shared" si="18"/>
        <v>Error?</v>
      </c>
    </row>
    <row r="1222" spans="1:4" x14ac:dyDescent="0.2">
      <c r="A1222" s="10">
        <v>1161</v>
      </c>
      <c r="D1222" s="2" t="str">
        <f t="shared" si="18"/>
        <v>OK</v>
      </c>
    </row>
    <row r="1223" spans="1:4" x14ac:dyDescent="0.2">
      <c r="A1223" s="5">
        <v>1162</v>
      </c>
      <c r="B1223" s="138">
        <f>'Expenditures 15-22'!C127</f>
        <v>78607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78607</v>
      </c>
      <c r="C1225" s="2" t="s">
        <v>594</v>
      </c>
      <c r="D1225" s="2" t="str">
        <f t="shared" si="18"/>
        <v>Error?</v>
      </c>
    </row>
    <row r="1226" spans="1:4" x14ac:dyDescent="0.2">
      <c r="A1226" s="5">
        <v>1165</v>
      </c>
      <c r="B1226" s="138">
        <f>'Expenditures 15-22'!C151</f>
        <v>78607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19690</v>
      </c>
      <c r="D1229" s="2" t="str">
        <f t="shared" si="18"/>
        <v>Error?</v>
      </c>
    </row>
    <row r="1230" spans="1:4" x14ac:dyDescent="0.2">
      <c r="A1230" s="10">
        <v>1169</v>
      </c>
      <c r="D1230" s="2" t="str">
        <f t="shared" si="18"/>
        <v>OK</v>
      </c>
    </row>
    <row r="1231" spans="1:4" x14ac:dyDescent="0.2">
      <c r="A1231" s="5">
        <v>1170</v>
      </c>
      <c r="B1231" s="138">
        <f>'Expenditures 15-22'!D127</f>
        <v>19690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19690</v>
      </c>
      <c r="C1233" s="2" t="s">
        <v>594</v>
      </c>
      <c r="D1233" s="2" t="str">
        <f t="shared" si="18"/>
        <v>Error?</v>
      </c>
    </row>
    <row r="1234" spans="1:4" x14ac:dyDescent="0.2">
      <c r="A1234" s="5">
        <v>1173</v>
      </c>
      <c r="B1234" s="138">
        <f>'Expenditures 15-22'!D151</f>
        <v>19690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112579</v>
      </c>
      <c r="D1237" s="2" t="str">
        <f t="shared" si="18"/>
        <v>Error?</v>
      </c>
    </row>
    <row r="1238" spans="1:4" x14ac:dyDescent="0.2">
      <c r="A1238" s="10">
        <v>1177</v>
      </c>
      <c r="D1238" s="2" t="str">
        <f t="shared" si="18"/>
        <v>OK</v>
      </c>
    </row>
    <row r="1239" spans="1:4" x14ac:dyDescent="0.2">
      <c r="A1239" s="5">
        <v>1178</v>
      </c>
      <c r="B1239" s="138">
        <f>'Expenditures 15-22'!E127</f>
        <v>112579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112579</v>
      </c>
      <c r="C1241" s="2" t="s">
        <v>594</v>
      </c>
      <c r="D1241" s="2" t="str">
        <f t="shared" si="18"/>
        <v>Error?</v>
      </c>
    </row>
    <row r="1242" spans="1:4" x14ac:dyDescent="0.2">
      <c r="A1242" s="5">
        <v>1181</v>
      </c>
      <c r="B1242" s="138">
        <f>'Expenditures 15-22'!E151</f>
        <v>112579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15928</v>
      </c>
      <c r="D1245" s="2" t="str">
        <f t="shared" si="18"/>
        <v>Error?</v>
      </c>
    </row>
    <row r="1246" spans="1:4" x14ac:dyDescent="0.2">
      <c r="A1246" s="10">
        <v>1185</v>
      </c>
      <c r="D1246" s="2" t="str">
        <f t="shared" si="18"/>
        <v>OK</v>
      </c>
    </row>
    <row r="1247" spans="1:4" x14ac:dyDescent="0.2">
      <c r="A1247" s="5">
        <v>1186</v>
      </c>
      <c r="B1247" s="138">
        <f>'Expenditures 15-22'!F127</f>
        <v>15928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15928</v>
      </c>
      <c r="C1249" s="2" t="s">
        <v>594</v>
      </c>
      <c r="D1249" s="2" t="str">
        <f t="shared" si="18"/>
        <v>Error?</v>
      </c>
    </row>
    <row r="1250" spans="1:4" x14ac:dyDescent="0.2">
      <c r="A1250" s="5">
        <v>1189</v>
      </c>
      <c r="B1250" s="138">
        <f>'Expenditures 15-22'!F151</f>
        <v>15928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5278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5278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5278</v>
      </c>
      <c r="C1258" s="2" t="s">
        <v>594</v>
      </c>
      <c r="D1258" s="2" t="str">
        <f t="shared" si="18"/>
        <v>Error?</v>
      </c>
    </row>
    <row r="1259" spans="1:4" x14ac:dyDescent="0.2">
      <c r="A1259" s="5">
        <v>1198</v>
      </c>
      <c r="B1259" s="138">
        <f>'Expenditures 15-22'!G151</f>
        <v>5278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232082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232082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232082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232082</v>
      </c>
      <c r="C1288" s="2" t="s">
        <v>594</v>
      </c>
      <c r="D1288" s="2" t="str">
        <f t="shared" si="19"/>
        <v>Error?</v>
      </c>
    </row>
    <row r="1289" spans="1:4" x14ac:dyDescent="0.2">
      <c r="A1289" s="5">
        <v>1228</v>
      </c>
      <c r="B1289" s="138">
        <f>'Expenditures 15-22'!K152</f>
        <v>-4792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117815</v>
      </c>
      <c r="C1314" s="2" t="s">
        <v>594</v>
      </c>
      <c r="D1314" s="2" t="str">
        <f t="shared" si="19"/>
        <v>Error?</v>
      </c>
    </row>
    <row r="1315" spans="1:4" x14ac:dyDescent="0.2">
      <c r="A1315" s="5">
        <v>1254</v>
      </c>
      <c r="B1315" s="138">
        <f>'Expenditures 15-22'!H170</f>
        <v>100000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218315</v>
      </c>
      <c r="C1317" s="2" t="s">
        <v>594</v>
      </c>
      <c r="D1317" s="2" t="str">
        <f t="shared" si="19"/>
        <v>Error?</v>
      </c>
    </row>
    <row r="1318" spans="1:4" x14ac:dyDescent="0.2">
      <c r="A1318" s="5">
        <v>1257</v>
      </c>
      <c r="B1318" s="138">
        <f>'Expenditures 15-22'!H174</f>
        <v>218315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117815</v>
      </c>
      <c r="C1328" s="2" t="s">
        <v>594</v>
      </c>
      <c r="D1328" s="2" t="str">
        <f t="shared" si="19"/>
        <v>Error?</v>
      </c>
    </row>
    <row r="1329" spans="1:4" x14ac:dyDescent="0.2">
      <c r="A1329" s="5">
        <v>1268</v>
      </c>
      <c r="B1329" s="138">
        <f>'Expenditures 15-22'!K170</f>
        <v>100000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218315</v>
      </c>
      <c r="C1331" s="2" t="s">
        <v>594</v>
      </c>
      <c r="D1331" s="2" t="str">
        <f t="shared" si="19"/>
        <v>Error?</v>
      </c>
    </row>
    <row r="1332" spans="1:4" x14ac:dyDescent="0.2">
      <c r="A1332" s="5">
        <v>1271</v>
      </c>
      <c r="B1332" s="138">
        <f>'Expenditures 15-22'!K174</f>
        <v>218315</v>
      </c>
      <c r="C1332" s="2" t="s">
        <v>594</v>
      </c>
      <c r="D1332" s="2" t="str">
        <f t="shared" si="19"/>
        <v>Error?</v>
      </c>
    </row>
    <row r="1333" spans="1:4" x14ac:dyDescent="0.2">
      <c r="A1333" s="5">
        <v>1272</v>
      </c>
      <c r="B1333" s="138">
        <f>'Expenditures 15-22'!K175</f>
        <v>3267</v>
      </c>
      <c r="C1333" s="2" t="s">
        <v>594</v>
      </c>
      <c r="D1333" s="2" t="str">
        <f t="shared" si="19"/>
        <v>Error?</v>
      </c>
    </row>
    <row r="1334" spans="1:4" x14ac:dyDescent="0.2">
      <c r="A1334" s="10">
        <v>1273</v>
      </c>
      <c r="D1334" s="2" t="str">
        <f t="shared" si="19"/>
        <v>OK</v>
      </c>
    </row>
    <row r="1335" spans="1:4" x14ac:dyDescent="0.2">
      <c r="A1335" s="5">
        <v>1274</v>
      </c>
      <c r="B1335" s="138">
        <f>'Expenditures 15-22'!C182</f>
        <v>111110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111110</v>
      </c>
      <c r="C1339" s="2" t="s">
        <v>594</v>
      </c>
      <c r="D1339" s="2" t="str">
        <f t="shared" si="19"/>
        <v>Error?</v>
      </c>
    </row>
    <row r="1340" spans="1:4" x14ac:dyDescent="0.2">
      <c r="A1340" s="5">
        <v>1279</v>
      </c>
      <c r="B1340" s="138">
        <f>'Expenditures 15-22'!C210</f>
        <v>111110</v>
      </c>
      <c r="C1340" s="2" t="s">
        <v>594</v>
      </c>
      <c r="D1340" s="2" t="str">
        <f t="shared" si="19"/>
        <v>Error?</v>
      </c>
    </row>
    <row r="1341" spans="1:4" x14ac:dyDescent="0.2">
      <c r="A1341" s="5">
        <v>1280</v>
      </c>
      <c r="B1341" s="138">
        <f>'Expenditures 15-22'!D182</f>
        <v>15447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15447</v>
      </c>
      <c r="C1345" s="2" t="s">
        <v>594</v>
      </c>
      <c r="D1345" s="2" t="str">
        <f t="shared" si="20"/>
        <v>Error?</v>
      </c>
    </row>
    <row r="1346" spans="1:4" x14ac:dyDescent="0.2">
      <c r="A1346" s="5">
        <v>1285</v>
      </c>
      <c r="B1346" s="138">
        <f>'Expenditures 15-22'!D210</f>
        <v>15447</v>
      </c>
      <c r="C1346" s="2" t="s">
        <v>594</v>
      </c>
      <c r="D1346" s="2" t="str">
        <f t="shared" si="20"/>
        <v>Error?</v>
      </c>
    </row>
    <row r="1347" spans="1:4" x14ac:dyDescent="0.2">
      <c r="A1347" s="5">
        <v>1286</v>
      </c>
      <c r="B1347" s="138">
        <f>'Expenditures 15-22'!E182</f>
        <v>14947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14947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14947</v>
      </c>
      <c r="C1353" s="2" t="s">
        <v>594</v>
      </c>
      <c r="D1353" s="2" t="str">
        <f t="shared" si="20"/>
        <v>Error?</v>
      </c>
    </row>
    <row r="1354" spans="1:4" x14ac:dyDescent="0.2">
      <c r="A1354" s="5">
        <v>1293</v>
      </c>
      <c r="B1354" s="138">
        <f>'Expenditures 15-22'!F182</f>
        <v>19930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19930</v>
      </c>
      <c r="C1358" s="2" t="s">
        <v>594</v>
      </c>
      <c r="D1358" s="2" t="str">
        <f t="shared" si="20"/>
        <v>Error?</v>
      </c>
    </row>
    <row r="1359" spans="1:4" x14ac:dyDescent="0.2">
      <c r="A1359" s="5">
        <v>1298</v>
      </c>
      <c r="B1359" s="138">
        <f>'Expenditures 15-22'!F210</f>
        <v>19930</v>
      </c>
      <c r="C1359" s="2" t="s">
        <v>594</v>
      </c>
      <c r="D1359" s="2" t="str">
        <f t="shared" si="20"/>
        <v>Error?</v>
      </c>
    </row>
    <row r="1360" spans="1:4" x14ac:dyDescent="0.2">
      <c r="A1360" s="5">
        <v>1299</v>
      </c>
      <c r="B1360" s="138">
        <f>'Expenditures 15-22'!G182</f>
        <v>85807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85807</v>
      </c>
      <c r="C1364" s="2" t="s">
        <v>594</v>
      </c>
      <c r="D1364" s="2" t="str">
        <f t="shared" si="20"/>
        <v>Error?</v>
      </c>
    </row>
    <row r="1365" spans="1:4" x14ac:dyDescent="0.2">
      <c r="A1365" s="5">
        <v>1304</v>
      </c>
      <c r="B1365" s="138">
        <f>'Expenditures 15-22'!G210</f>
        <v>85807</v>
      </c>
      <c r="C1365" s="2" t="s">
        <v>594</v>
      </c>
      <c r="D1365" s="2" t="str">
        <f t="shared" si="20"/>
        <v>Error?</v>
      </c>
    </row>
    <row r="1366" spans="1:4" x14ac:dyDescent="0.2">
      <c r="A1366" s="5">
        <v>1305</v>
      </c>
      <c r="B1366" s="138">
        <f>'Expenditures 15-22'!H182</f>
        <v>1806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1806</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1806</v>
      </c>
      <c r="C1376" s="2" t="s">
        <v>594</v>
      </c>
      <c r="D1376" s="2" t="str">
        <f t="shared" si="20"/>
        <v>Error?</v>
      </c>
    </row>
    <row r="1377" spans="1:4" x14ac:dyDescent="0.2">
      <c r="A1377" s="5">
        <v>1316</v>
      </c>
      <c r="B1377" s="138">
        <f>'Expenditures 15-22'!K182</f>
        <v>249047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249047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249047</v>
      </c>
      <c r="C1388" s="2" t="s">
        <v>594</v>
      </c>
      <c r="D1388" s="2" t="str">
        <f t="shared" si="20"/>
        <v>Error?</v>
      </c>
    </row>
    <row r="1389" spans="1:4" x14ac:dyDescent="0.2">
      <c r="A1389" s="5">
        <v>1328</v>
      </c>
      <c r="B1389" s="138">
        <f>'Expenditures 15-22'!K211</f>
        <v>-1251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1171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43552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374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374</v>
      </c>
      <c r="C1417" s="2" t="s">
        <v>594</v>
      </c>
      <c r="D1417" s="2" t="str">
        <f t="shared" si="21"/>
        <v>Error?</v>
      </c>
    </row>
    <row r="1418" spans="1:4" x14ac:dyDescent="0.2">
      <c r="A1418" s="5">
        <v>1357</v>
      </c>
      <c r="B1418" s="138">
        <f>'Expenditures 15-22'!D240</f>
        <v>18</v>
      </c>
      <c r="D1418" s="2" t="str">
        <f t="shared" si="21"/>
        <v>Error?</v>
      </c>
    </row>
    <row r="1419" spans="1:4" x14ac:dyDescent="0.2">
      <c r="A1419" s="5">
        <v>1358</v>
      </c>
      <c r="B1419" s="138">
        <f>'Expenditures 15-22'!D241</f>
        <v>1329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1347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10422</v>
      </c>
      <c r="D1423" s="2" t="str">
        <f t="shared" si="21"/>
        <v>Error?</v>
      </c>
    </row>
    <row r="1424" spans="1:4" x14ac:dyDescent="0.2">
      <c r="A1424" s="5">
        <v>1363</v>
      </c>
      <c r="B1424" s="138">
        <f>'Expenditures 15-22'!D257</f>
        <v>10422</v>
      </c>
      <c r="C1424" s="2" t="s">
        <v>594</v>
      </c>
      <c r="D1424" s="2" t="str">
        <f t="shared" si="21"/>
        <v>Error?</v>
      </c>
    </row>
    <row r="1425" spans="1:4" x14ac:dyDescent="0.2">
      <c r="A1425" s="5">
        <v>1364</v>
      </c>
      <c r="B1425" s="138">
        <f>'Expenditures 15-22'!D259</f>
        <v>7072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7072</v>
      </c>
      <c r="C1427" s="2" t="s">
        <v>594</v>
      </c>
      <c r="D1427" s="2" t="str">
        <f t="shared" si="21"/>
        <v>Error?</v>
      </c>
    </row>
    <row r="1428" spans="1:4" x14ac:dyDescent="0.2">
      <c r="A1428" s="5">
        <v>1367</v>
      </c>
      <c r="B1428" s="138">
        <f>'Expenditures 15-22'!D263</f>
        <v>9996</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18497</v>
      </c>
      <c r="D1431" s="2" t="str">
        <f t="shared" si="21"/>
        <v>Error?</v>
      </c>
    </row>
    <row r="1432" spans="1:4" x14ac:dyDescent="0.2">
      <c r="A1432" s="5">
        <v>1371</v>
      </c>
      <c r="B1432" s="138">
        <f>'Expenditures 15-22'!D267</f>
        <v>12129</v>
      </c>
      <c r="D1432" s="2" t="str">
        <f t="shared" si="21"/>
        <v>Error?</v>
      </c>
    </row>
    <row r="1433" spans="1:4" x14ac:dyDescent="0.2">
      <c r="A1433" s="5">
        <v>1372</v>
      </c>
      <c r="B1433" s="138">
        <f>'Expenditures 15-22'!D268</f>
        <v>14774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55396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74611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118163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1171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43552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374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374</v>
      </c>
      <c r="C1481" s="2" t="s">
        <v>594</v>
      </c>
      <c r="D1481" s="2" t="str">
        <f t="shared" si="22"/>
        <v>Error?</v>
      </c>
    </row>
    <row r="1482" spans="1:4" x14ac:dyDescent="0.2">
      <c r="A1482" s="5">
        <v>1421</v>
      </c>
      <c r="B1482" s="138">
        <f>'Expenditures 15-22'!K240</f>
        <v>18</v>
      </c>
      <c r="C1482" s="2" t="s">
        <v>594</v>
      </c>
      <c r="D1482" s="2" t="str">
        <f t="shared" si="22"/>
        <v>Error?</v>
      </c>
    </row>
    <row r="1483" spans="1:4" x14ac:dyDescent="0.2">
      <c r="A1483" s="5">
        <v>1422</v>
      </c>
      <c r="B1483" s="138">
        <f>'Expenditures 15-22'!K241</f>
        <v>1329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1347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10422</v>
      </c>
      <c r="C1487" s="2" t="s">
        <v>594</v>
      </c>
      <c r="D1487" s="2" t="str">
        <f t="shared" si="22"/>
        <v>Error?</v>
      </c>
    </row>
    <row r="1488" spans="1:4" x14ac:dyDescent="0.2">
      <c r="A1488" s="5">
        <v>1427</v>
      </c>
      <c r="B1488" s="138">
        <f>'Expenditures 15-22'!K257</f>
        <v>10422</v>
      </c>
      <c r="C1488" s="2" t="s">
        <v>594</v>
      </c>
      <c r="D1488" s="2" t="str">
        <f t="shared" si="22"/>
        <v>Error?</v>
      </c>
    </row>
    <row r="1489" spans="1:4" x14ac:dyDescent="0.2">
      <c r="A1489" s="5">
        <v>1428</v>
      </c>
      <c r="B1489" s="138">
        <f>'Expenditures 15-22'!K259</f>
        <v>7072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7072</v>
      </c>
      <c r="C1491" s="2" t="s">
        <v>594</v>
      </c>
      <c r="D1491" s="2" t="str">
        <f t="shared" si="22"/>
        <v>Error?</v>
      </c>
    </row>
    <row r="1492" spans="1:4" x14ac:dyDescent="0.2">
      <c r="A1492" s="5">
        <v>1431</v>
      </c>
      <c r="B1492" s="138">
        <f>'Expenditures 15-22'!K263</f>
        <v>9996</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18497</v>
      </c>
      <c r="C1495" s="2" t="s">
        <v>594</v>
      </c>
      <c r="D1495" s="2" t="str">
        <f t="shared" si="22"/>
        <v>Error?</v>
      </c>
    </row>
    <row r="1496" spans="1:4" x14ac:dyDescent="0.2">
      <c r="A1496" s="5">
        <v>1435</v>
      </c>
      <c r="B1496" s="138">
        <f>'Expenditures 15-22'!K267</f>
        <v>12129</v>
      </c>
      <c r="C1496" s="2" t="s">
        <v>594</v>
      </c>
      <c r="D1496" s="2" t="str">
        <f t="shared" si="22"/>
        <v>Error?</v>
      </c>
    </row>
    <row r="1497" spans="1:4" x14ac:dyDescent="0.2">
      <c r="A1497" s="5">
        <v>1436</v>
      </c>
      <c r="B1497" s="138">
        <f>'Expenditures 15-22'!K268</f>
        <v>14774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55396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74611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118163</v>
      </c>
      <c r="C1517" s="2" t="s">
        <v>594</v>
      </c>
      <c r="D1517" s="2" t="str">
        <f t="shared" si="22"/>
        <v>Error?</v>
      </c>
    </row>
    <row r="1518" spans="1:4" x14ac:dyDescent="0.2">
      <c r="A1518" s="5">
        <v>1457</v>
      </c>
      <c r="B1518" s="138">
        <f>'Expenditures 15-22'!K296</f>
        <v>2760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-82486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116076</v>
      </c>
      <c r="C1630" s="2" t="s">
        <v>594</v>
      </c>
      <c r="D1630" s="2" t="str">
        <f t="shared" si="24"/>
        <v>Error?</v>
      </c>
    </row>
    <row r="1631" spans="1:4" x14ac:dyDescent="0.2">
      <c r="A1631" s="5">
        <v>1570</v>
      </c>
      <c r="B1631" s="138">
        <f>'Acct Summary 7-8'!D79</f>
        <v>-23356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3852</v>
      </c>
      <c r="C1644" s="2" t="s">
        <v>594</v>
      </c>
      <c r="D1644" s="2" t="str">
        <f t="shared" si="24"/>
        <v>Error?</v>
      </c>
    </row>
    <row r="1645" spans="1:4" x14ac:dyDescent="0.2">
      <c r="A1645" s="5">
        <v>1584</v>
      </c>
      <c r="B1645" s="138">
        <f>'Acct Summary 7-8'!E79</f>
        <v>61454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64721</v>
      </c>
      <c r="C1658" s="2" t="s">
        <v>594</v>
      </c>
      <c r="D1658" s="2" t="str">
        <f t="shared" si="24"/>
        <v>Error?</v>
      </c>
    </row>
    <row r="1659" spans="1:4" x14ac:dyDescent="0.2">
      <c r="A1659" s="5">
        <v>1598</v>
      </c>
      <c r="B1659" s="138">
        <f>'Acct Summary 7-8'!F79</f>
        <v>117238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115987</v>
      </c>
      <c r="C1672" s="2" t="s">
        <v>594</v>
      </c>
      <c r="D1672" s="2" t="str">
        <f t="shared" si="25"/>
        <v>Error?</v>
      </c>
    </row>
    <row r="1673" spans="1:4" x14ac:dyDescent="0.2">
      <c r="A1673" s="5">
        <v>1612</v>
      </c>
      <c r="B1673" s="138">
        <f>'Acct Summary 7-8'!G79</f>
        <v>53445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56205</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781342</v>
      </c>
      <c r="C1744" s="2" t="s">
        <v>594</v>
      </c>
      <c r="D1744" s="2" t="str">
        <f t="shared" si="26"/>
        <v>Error?</v>
      </c>
    </row>
    <row r="1745" spans="1:5" x14ac:dyDescent="0.2">
      <c r="A1745" s="5">
        <v>1684</v>
      </c>
      <c r="B1745" s="138">
        <f>'Tax Sched 23'!B5</f>
        <v>217039</v>
      </c>
      <c r="C1745" s="2" t="s">
        <v>594</v>
      </c>
      <c r="D1745" s="2" t="str">
        <f t="shared" si="26"/>
        <v>Error?</v>
      </c>
    </row>
    <row r="1746" spans="1:5" x14ac:dyDescent="0.2">
      <c r="A1746" s="5">
        <v>1685</v>
      </c>
      <c r="B1746" s="138">
        <f>'Tax Sched 23'!B6</f>
        <v>221420</v>
      </c>
      <c r="C1746" s="2" t="s">
        <v>594</v>
      </c>
      <c r="D1746" s="2" t="str">
        <f t="shared" si="26"/>
        <v>Error?</v>
      </c>
    </row>
    <row r="1747" spans="1:5" x14ac:dyDescent="0.2">
      <c r="A1747" s="5">
        <v>1686</v>
      </c>
      <c r="B1747" s="138">
        <f>'Tax Sched 23'!B7</f>
        <v>52089</v>
      </c>
      <c r="C1747" s="2" t="s">
        <v>594</v>
      </c>
      <c r="D1747" s="2" t="str">
        <f t="shared" si="26"/>
        <v>Error?</v>
      </c>
    </row>
    <row r="1748" spans="1:5" x14ac:dyDescent="0.2">
      <c r="A1748" s="5">
        <v>1687</v>
      </c>
      <c r="B1748" s="138">
        <f>'Tax Sched 23'!B8</f>
        <v>65910</v>
      </c>
      <c r="C1748" s="2" t="s">
        <v>594</v>
      </c>
      <c r="D1748" s="2" t="str">
        <f t="shared" si="26"/>
        <v>Error?</v>
      </c>
    </row>
    <row r="1749" spans="1:5" x14ac:dyDescent="0.2">
      <c r="A1749" s="5">
        <v>1688</v>
      </c>
      <c r="B1749" s="138">
        <f>'Tax Sched 23'!B10</f>
        <v>21704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168065</v>
      </c>
      <c r="C1752" s="2" t="s">
        <v>594</v>
      </c>
      <c r="D1752" s="2" t="str">
        <f t="shared" si="26"/>
        <v>Error?</v>
      </c>
    </row>
    <row r="1753" spans="1:5" x14ac:dyDescent="0.2">
      <c r="A1753" s="5">
        <v>1692</v>
      </c>
      <c r="B1753" s="138">
        <f>'Tax Sched 23'!B12</f>
        <v>21704</v>
      </c>
      <c r="C1753" s="2" t="s">
        <v>594</v>
      </c>
      <c r="D1753" s="2" t="str">
        <f t="shared" si="26"/>
        <v>Error?</v>
      </c>
    </row>
    <row r="1754" spans="1:5" x14ac:dyDescent="0.2">
      <c r="A1754" s="5">
        <v>1693</v>
      </c>
      <c r="B1754" s="138">
        <f>'Tax Sched 23'!B14</f>
        <v>17364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1643264</v>
      </c>
      <c r="C1759" s="2" t="s">
        <v>594</v>
      </c>
      <c r="D1759" s="2" t="str">
        <f t="shared" si="26"/>
        <v>Error?</v>
      </c>
    </row>
    <row r="1760" spans="1:5" x14ac:dyDescent="0.2">
      <c r="A1760" s="5">
        <v>1699</v>
      </c>
      <c r="B1760" s="138">
        <f>'Tax Sched 23'!D4</f>
        <v>781342</v>
      </c>
      <c r="C1760" s="2" t="s">
        <v>594</v>
      </c>
      <c r="D1760" s="2" t="str">
        <f t="shared" si="26"/>
        <v>Error?</v>
      </c>
    </row>
    <row r="1761" spans="1:5" x14ac:dyDescent="0.2">
      <c r="A1761" s="5">
        <v>1700</v>
      </c>
      <c r="B1761" s="138">
        <f>'Tax Sched 23'!D5</f>
        <v>217039</v>
      </c>
      <c r="C1761" s="2" t="s">
        <v>594</v>
      </c>
      <c r="D1761" s="2" t="str">
        <f t="shared" si="26"/>
        <v>Error?</v>
      </c>
    </row>
    <row r="1762" spans="1:5" s="8" customFormat="1" x14ac:dyDescent="0.2">
      <c r="A1762" s="5">
        <v>1701</v>
      </c>
      <c r="B1762" s="138">
        <f>'Tax Sched 23'!D6</f>
        <v>221420</v>
      </c>
      <c r="C1762" s="2" t="s">
        <v>594</v>
      </c>
      <c r="D1762" s="2" t="str">
        <f t="shared" si="26"/>
        <v>Error?</v>
      </c>
      <c r="E1762" s="9"/>
    </row>
    <row r="1763" spans="1:5" x14ac:dyDescent="0.2">
      <c r="A1763" s="5">
        <v>1702</v>
      </c>
      <c r="B1763" s="138">
        <f>'Tax Sched 23'!D7</f>
        <v>52089</v>
      </c>
      <c r="C1763" s="2" t="s">
        <v>594</v>
      </c>
      <c r="D1763" s="2" t="str">
        <f t="shared" si="26"/>
        <v>Error?</v>
      </c>
    </row>
    <row r="1764" spans="1:5" x14ac:dyDescent="0.2">
      <c r="A1764" s="5">
        <v>1703</v>
      </c>
      <c r="B1764" s="138">
        <f>'Tax Sched 23'!D8</f>
        <v>65910</v>
      </c>
      <c r="C1764" s="2" t="s">
        <v>594</v>
      </c>
      <c r="D1764" s="2" t="str">
        <f t="shared" si="26"/>
        <v>Error?</v>
      </c>
    </row>
    <row r="1765" spans="1:5" x14ac:dyDescent="0.2">
      <c r="A1765" s="5">
        <v>1704</v>
      </c>
      <c r="B1765" s="138">
        <f>'Tax Sched 23'!D10</f>
        <v>21704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168065</v>
      </c>
      <c r="C1768" s="2" t="s">
        <v>594</v>
      </c>
      <c r="D1768" s="2" t="str">
        <f t="shared" si="26"/>
        <v>Error?</v>
      </c>
    </row>
    <row r="1769" spans="1:5" x14ac:dyDescent="0.2">
      <c r="A1769" s="5">
        <v>1708</v>
      </c>
      <c r="B1769" s="138">
        <f>'Tax Sched 23'!D12</f>
        <v>21704</v>
      </c>
      <c r="C1769" s="2" t="s">
        <v>594</v>
      </c>
      <c r="D1769" s="2" t="str">
        <f t="shared" si="26"/>
        <v>Error?</v>
      </c>
    </row>
    <row r="1770" spans="1:5" x14ac:dyDescent="0.2">
      <c r="A1770" s="5">
        <v>1709</v>
      </c>
      <c r="B1770" s="138">
        <f>'Tax Sched 23'!D14</f>
        <v>17364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1643264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824058</v>
      </c>
      <c r="C1792" s="2" t="s">
        <v>594</v>
      </c>
      <c r="D1792" s="2" t="str">
        <f t="shared" si="27"/>
        <v>Error?</v>
      </c>
    </row>
    <row r="1793" spans="1:4" x14ac:dyDescent="0.2">
      <c r="A1793" s="5">
        <v>1732</v>
      </c>
      <c r="B1793" s="138">
        <f>'Tax Sched 23'!F5</f>
        <v>228905</v>
      </c>
      <c r="C1793" s="2" t="s">
        <v>594</v>
      </c>
      <c r="D1793" s="2" t="str">
        <f t="shared" si="27"/>
        <v>Error?</v>
      </c>
    </row>
    <row r="1794" spans="1:4" x14ac:dyDescent="0.2">
      <c r="A1794" s="5">
        <v>1733</v>
      </c>
      <c r="B1794" s="138">
        <f>'Tax Sched 23'!F6</f>
        <v>221038</v>
      </c>
      <c r="C1794" s="2" t="s">
        <v>594</v>
      </c>
      <c r="D1794" s="2" t="str">
        <f t="shared" si="27"/>
        <v>Error?</v>
      </c>
    </row>
    <row r="1795" spans="1:4" x14ac:dyDescent="0.2">
      <c r="A1795" s="5">
        <v>1734</v>
      </c>
      <c r="B1795" s="138">
        <f>'Tax Sched 23'!F7</f>
        <v>54937</v>
      </c>
      <c r="C1795" s="2" t="s">
        <v>594</v>
      </c>
      <c r="D1795" s="2" t="str">
        <f t="shared" si="27"/>
        <v>Error?</v>
      </c>
    </row>
    <row r="1796" spans="1:4" x14ac:dyDescent="0.2">
      <c r="A1796" s="5">
        <v>1735</v>
      </c>
      <c r="B1796" s="138">
        <f>'Tax Sched 23'!F8</f>
        <v>66504</v>
      </c>
      <c r="C1796" s="2" t="s">
        <v>594</v>
      </c>
      <c r="D1796" s="2" t="str">
        <f t="shared" si="27"/>
        <v>Error?</v>
      </c>
    </row>
    <row r="1797" spans="1:4" x14ac:dyDescent="0.2">
      <c r="A1797" s="5">
        <v>1736</v>
      </c>
      <c r="B1797" s="138">
        <f>'Tax Sched 23'!F10</f>
        <v>22891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176902</v>
      </c>
      <c r="C1800" s="2" t="s">
        <v>594</v>
      </c>
      <c r="D1800" s="2" t="str">
        <f t="shared" si="27"/>
        <v>Error?</v>
      </c>
    </row>
    <row r="1801" spans="1:4" x14ac:dyDescent="0.2">
      <c r="A1801" s="5">
        <v>1740</v>
      </c>
      <c r="B1801" s="138">
        <f>'Tax Sched 23'!F12</f>
        <v>22891</v>
      </c>
      <c r="C1801" s="2" t="s">
        <v>594</v>
      </c>
      <c r="D1801" s="2" t="str">
        <f t="shared" si="27"/>
        <v>Error?</v>
      </c>
    </row>
    <row r="1802" spans="1:4" x14ac:dyDescent="0.2">
      <c r="A1802" s="5">
        <v>1741</v>
      </c>
      <c r="B1802" s="138">
        <f>'Tax Sched 23'!F14</f>
        <v>18312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1714748</v>
      </c>
      <c r="C1807" s="2" t="s">
        <v>594</v>
      </c>
      <c r="D1807" s="2" t="str">
        <f t="shared" si="27"/>
        <v>Error?</v>
      </c>
    </row>
    <row r="1808" spans="1:4" x14ac:dyDescent="0.2">
      <c r="A1808" s="5">
        <v>1747</v>
      </c>
      <c r="B1808" s="138">
        <f>'Tax Sched 23'!E4</f>
        <v>824058</v>
      </c>
      <c r="D1808" s="2" t="str">
        <f t="shared" si="27"/>
        <v>Error?</v>
      </c>
    </row>
    <row r="1809" spans="1:4" x14ac:dyDescent="0.2">
      <c r="A1809" s="5">
        <v>1748</v>
      </c>
      <c r="B1809" s="138">
        <f>'Tax Sched 23'!E5</f>
        <v>228905</v>
      </c>
      <c r="D1809" s="2" t="str">
        <f t="shared" si="27"/>
        <v>Error?</v>
      </c>
    </row>
    <row r="1810" spans="1:4" x14ac:dyDescent="0.2">
      <c r="A1810" s="5">
        <v>1749</v>
      </c>
      <c r="B1810" s="138">
        <f>'Tax Sched 23'!E6</f>
        <v>221038</v>
      </c>
      <c r="D1810" s="2" t="str">
        <f t="shared" si="27"/>
        <v>Error?</v>
      </c>
    </row>
    <row r="1811" spans="1:4" x14ac:dyDescent="0.2">
      <c r="A1811" s="5">
        <v>1750</v>
      </c>
      <c r="B1811" s="138">
        <f>'Tax Sched 23'!E7</f>
        <v>54937</v>
      </c>
      <c r="D1811" s="2" t="str">
        <f t="shared" si="27"/>
        <v>Error?</v>
      </c>
    </row>
    <row r="1812" spans="1:4" x14ac:dyDescent="0.2">
      <c r="A1812" s="5">
        <v>1751</v>
      </c>
      <c r="B1812" s="138">
        <f>'Tax Sched 23'!E8</f>
        <v>66504</v>
      </c>
      <c r="D1812" s="2" t="str">
        <f t="shared" si="27"/>
        <v>Error?</v>
      </c>
    </row>
    <row r="1813" spans="1:4" x14ac:dyDescent="0.2">
      <c r="A1813" s="5">
        <v>1752</v>
      </c>
      <c r="B1813" s="138">
        <f>'Tax Sched 23'!E10</f>
        <v>22891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176902</v>
      </c>
      <c r="D1816" s="2" t="str">
        <f t="shared" si="27"/>
        <v>Error?</v>
      </c>
    </row>
    <row r="1817" spans="1:4" x14ac:dyDescent="0.2">
      <c r="A1817" s="5">
        <v>1756</v>
      </c>
      <c r="B1817" s="138">
        <f>'Tax Sched 23'!E12</f>
        <v>22891</v>
      </c>
      <c r="D1817" s="2" t="str">
        <f t="shared" si="27"/>
        <v>Error?</v>
      </c>
    </row>
    <row r="1818" spans="1:4" x14ac:dyDescent="0.2">
      <c r="A1818" s="5">
        <v>1757</v>
      </c>
      <c r="B1818" s="138">
        <f>'Tax Sched 23'!E14</f>
        <v>18312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1714748</v>
      </c>
      <c r="C1823" s="2" t="s">
        <v>594</v>
      </c>
      <c r="D1823" s="2" t="str">
        <f t="shared" si="27"/>
        <v>Error?</v>
      </c>
    </row>
    <row r="1824" spans="1:4" x14ac:dyDescent="0.2">
      <c r="A1824" s="10">
        <v>1763</v>
      </c>
      <c r="D1824" s="2" t="str">
        <f t="shared" si="27"/>
        <v>OK</v>
      </c>
    </row>
    <row r="1825" spans="1:4" x14ac:dyDescent="0.2">
      <c r="A1825" s="5">
        <v>1764</v>
      </c>
      <c r="B1825" s="138">
        <f>'Short-Term Long-Term Debt 24'!C6</f>
        <v>125000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125000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125000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125000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2060000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17364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17364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17364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6375362</v>
      </c>
      <c r="D2009" s="2" t="str">
        <f t="shared" si="30"/>
        <v>Error?</v>
      </c>
    </row>
    <row r="2010" spans="1:4" x14ac:dyDescent="0.2">
      <c r="A2010" s="5">
        <v>1949</v>
      </c>
      <c r="B2010" s="138">
        <f>'Cap Outlay Deprec 26'!C10</f>
        <v>2000</v>
      </c>
      <c r="D2010" s="2" t="str">
        <f t="shared" si="30"/>
        <v>Error?</v>
      </c>
    </row>
    <row r="2011" spans="1:4" x14ac:dyDescent="0.2">
      <c r="A2011" s="5">
        <v>1950</v>
      </c>
      <c r="B2011" s="138">
        <f>'Cap Outlay Deprec 26'!C12</f>
        <v>101398</v>
      </c>
      <c r="D2011" s="2" t="str">
        <f t="shared" si="30"/>
        <v>Error?</v>
      </c>
    </row>
    <row r="2012" spans="1:4" x14ac:dyDescent="0.2">
      <c r="A2012" s="5">
        <v>1951</v>
      </c>
      <c r="B2012" s="138">
        <f>'Cap Outlay Deprec 26'!C13</f>
        <v>101092</v>
      </c>
      <c r="D2012" s="2" t="str">
        <f t="shared" si="30"/>
        <v>Error?</v>
      </c>
    </row>
    <row r="2013" spans="1:4" x14ac:dyDescent="0.2">
      <c r="A2013" s="5">
        <v>1952</v>
      </c>
      <c r="B2013" s="138">
        <f>'Cap Outlay Deprec 26'!C16</f>
        <v>6579852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5277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410781</v>
      </c>
      <c r="D2018" s="2" t="str">
        <f t="shared" si="30"/>
        <v>Error?</v>
      </c>
    </row>
    <row r="2019" spans="1:4" x14ac:dyDescent="0.2">
      <c r="A2019" s="5">
        <v>1958</v>
      </c>
      <c r="B2019" s="138">
        <f>'Cap Outlay Deprec 26'!D16</f>
        <v>416058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4178</v>
      </c>
      <c r="D2023" s="2" t="str">
        <f t="shared" si="30"/>
        <v>Error?</v>
      </c>
    </row>
    <row r="2024" spans="1:4" x14ac:dyDescent="0.2">
      <c r="A2024" s="5">
        <v>1963</v>
      </c>
      <c r="B2024" s="138">
        <f>'Cap Outlay Deprec 26'!E13</f>
        <v>14630</v>
      </c>
      <c r="D2024" s="2" t="str">
        <f t="shared" si="30"/>
        <v>Error?</v>
      </c>
    </row>
    <row r="2025" spans="1:4" x14ac:dyDescent="0.2">
      <c r="A2025" s="5">
        <v>1964</v>
      </c>
      <c r="B2025" s="138">
        <f>'Cap Outlay Deprec 26'!E16</f>
        <v>18808</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6380639</v>
      </c>
      <c r="C2027" s="2" t="s">
        <v>594</v>
      </c>
      <c r="D2027" s="2" t="str">
        <f t="shared" si="30"/>
        <v>Error?</v>
      </c>
    </row>
    <row r="2028" spans="1:4" x14ac:dyDescent="0.2">
      <c r="A2028" s="5">
        <v>1967</v>
      </c>
      <c r="B2028" s="138">
        <f>'Cap Outlay Deprec 26'!F10</f>
        <v>2000</v>
      </c>
      <c r="C2028" s="2" t="s">
        <v>594</v>
      </c>
      <c r="D2028" s="2" t="str">
        <f t="shared" si="30"/>
        <v>Error?</v>
      </c>
    </row>
    <row r="2029" spans="1:4" x14ac:dyDescent="0.2">
      <c r="A2029" s="5">
        <v>1968</v>
      </c>
      <c r="B2029" s="138">
        <f>'Cap Outlay Deprec 26'!F12</f>
        <v>97220</v>
      </c>
      <c r="C2029" s="2" t="s">
        <v>594</v>
      </c>
      <c r="D2029" s="2" t="str">
        <f t="shared" si="30"/>
        <v>Error?</v>
      </c>
    </row>
    <row r="2030" spans="1:4" x14ac:dyDescent="0.2">
      <c r="A2030" s="5">
        <v>1969</v>
      </c>
      <c r="B2030" s="138">
        <f>'Cap Outlay Deprec 26'!F13</f>
        <v>497243</v>
      </c>
      <c r="C2030" s="2" t="s">
        <v>594</v>
      </c>
      <c r="D2030" s="2" t="str">
        <f t="shared" si="30"/>
        <v>Error?</v>
      </c>
    </row>
    <row r="2031" spans="1:4" x14ac:dyDescent="0.2">
      <c r="A2031" s="5">
        <v>1970</v>
      </c>
      <c r="B2031" s="138">
        <f>'Cap Outlay Deprec 26'!F16</f>
        <v>6977102</v>
      </c>
      <c r="C2031" s="2" t="s">
        <v>594</v>
      </c>
      <c r="D2031" s="2" t="str">
        <f t="shared" si="30"/>
        <v>Error?</v>
      </c>
    </row>
    <row r="2032" spans="1:4" x14ac:dyDescent="0.2">
      <c r="A2032" s="10">
        <v>1971</v>
      </c>
      <c r="D2032" s="2" t="str">
        <f t="shared" si="30"/>
        <v>OK</v>
      </c>
    </row>
    <row r="2033" spans="1:4" x14ac:dyDescent="0.2">
      <c r="A2033" s="5">
        <v>1972</v>
      </c>
      <c r="B2033" s="138">
        <f>'Cap Outlay Deprec 26'!H8</f>
        <v>3038635</v>
      </c>
      <c r="D2033" s="2" t="str">
        <f t="shared" si="30"/>
        <v>Error?</v>
      </c>
    </row>
    <row r="2034" spans="1:4" x14ac:dyDescent="0.2">
      <c r="A2034" s="5">
        <v>1973</v>
      </c>
      <c r="B2034" s="138">
        <f>'Cap Outlay Deprec 26'!H10</f>
        <v>2000</v>
      </c>
      <c r="D2034" s="2" t="str">
        <f t="shared" si="30"/>
        <v>Error?</v>
      </c>
    </row>
    <row r="2035" spans="1:4" x14ac:dyDescent="0.2">
      <c r="A2035" s="5">
        <v>1974</v>
      </c>
      <c r="B2035" s="138">
        <f>'Cap Outlay Deprec 26'!H12</f>
        <v>48819</v>
      </c>
      <c r="D2035" s="2" t="str">
        <f t="shared" si="30"/>
        <v>Error?</v>
      </c>
    </row>
    <row r="2036" spans="1:4" x14ac:dyDescent="0.2">
      <c r="A2036" s="5">
        <v>1975</v>
      </c>
      <c r="B2036" s="138">
        <f>'Cap Outlay Deprec 26'!H13</f>
        <v>70181</v>
      </c>
      <c r="D2036" s="2" t="str">
        <f t="shared" si="30"/>
        <v>Error?</v>
      </c>
    </row>
    <row r="2037" spans="1:4" x14ac:dyDescent="0.2">
      <c r="A2037" s="5">
        <v>1976</v>
      </c>
      <c r="B2037" s="138">
        <f>'Cap Outlay Deprec 26'!H16</f>
        <v>3159635</v>
      </c>
      <c r="C2037" s="2" t="s">
        <v>594</v>
      </c>
      <c r="D2037" s="2" t="str">
        <f t="shared" si="30"/>
        <v>Error?</v>
      </c>
    </row>
    <row r="2038" spans="1:4" x14ac:dyDescent="0.2">
      <c r="A2038" s="10">
        <v>1977</v>
      </c>
      <c r="D2038" s="2" t="str">
        <f t="shared" si="30"/>
        <v>OK</v>
      </c>
    </row>
    <row r="2039" spans="1:4" x14ac:dyDescent="0.2">
      <c r="A2039" s="5">
        <v>1978</v>
      </c>
      <c r="B2039" s="138">
        <f>'Cap Outlay Deprec 26'!I8</f>
        <v>108581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6509</v>
      </c>
      <c r="D2041" s="2" t="str">
        <f t="shared" si="30"/>
        <v>Error?</v>
      </c>
    </row>
    <row r="2042" spans="1:4" x14ac:dyDescent="0.2">
      <c r="A2042" s="5">
        <v>1981</v>
      </c>
      <c r="B2042" s="138">
        <f>'Cap Outlay Deprec 26'!I13</f>
        <v>16343</v>
      </c>
      <c r="D2042" s="2" t="str">
        <f t="shared" si="30"/>
        <v>Error?</v>
      </c>
    </row>
    <row r="2043" spans="1:4" x14ac:dyDescent="0.2">
      <c r="A2043" s="5">
        <v>1982</v>
      </c>
      <c r="B2043" s="138">
        <f>'Cap Outlay Deprec 26'!I16</f>
        <v>131433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4178</v>
      </c>
      <c r="D2047" s="2" t="str">
        <f t="shared" ref="D2047:D2110" si="31">IF(ISBLANK(B2047),"OK",IF(A2047-B2047=0,"OK","Error?"))</f>
        <v>Error?</v>
      </c>
    </row>
    <row r="2048" spans="1:4" x14ac:dyDescent="0.2">
      <c r="A2048" s="5">
        <v>1987</v>
      </c>
      <c r="B2048" s="138">
        <f>'Cap Outlay Deprec 26'!J13</f>
        <v>14630</v>
      </c>
      <c r="D2048" s="2" t="str">
        <f t="shared" si="31"/>
        <v>Error?</v>
      </c>
    </row>
    <row r="2049" spans="1:4" x14ac:dyDescent="0.2">
      <c r="A2049" s="5">
        <v>1988</v>
      </c>
      <c r="B2049" s="138">
        <f>'Cap Outlay Deprec 26'!J16</f>
        <v>18808</v>
      </c>
      <c r="C2049" s="2" t="s">
        <v>594</v>
      </c>
      <c r="D2049" s="2" t="str">
        <f t="shared" si="31"/>
        <v>Error?</v>
      </c>
    </row>
    <row r="2050" spans="1:4" x14ac:dyDescent="0.2">
      <c r="A2050" s="10">
        <v>1989</v>
      </c>
      <c r="D2050" s="2" t="str">
        <f t="shared" si="31"/>
        <v>OK</v>
      </c>
    </row>
    <row r="2051" spans="1:4" x14ac:dyDescent="0.2">
      <c r="A2051" s="5">
        <v>1990</v>
      </c>
      <c r="B2051" s="138">
        <f>'Cap Outlay Deprec 26'!K8</f>
        <v>3147216</v>
      </c>
      <c r="C2051" s="2" t="s">
        <v>594</v>
      </c>
      <c r="D2051" s="2" t="str">
        <f t="shared" si="31"/>
        <v>Error?</v>
      </c>
    </row>
    <row r="2052" spans="1:4" x14ac:dyDescent="0.2">
      <c r="A2052" s="5">
        <v>1991</v>
      </c>
      <c r="B2052" s="138">
        <f>'Cap Outlay Deprec 26'!K10</f>
        <v>2000</v>
      </c>
      <c r="C2052" s="2" t="s">
        <v>594</v>
      </c>
      <c r="D2052" s="2" t="str">
        <f t="shared" si="31"/>
        <v>Error?</v>
      </c>
    </row>
    <row r="2053" spans="1:4" x14ac:dyDescent="0.2">
      <c r="A2053" s="5">
        <v>1992</v>
      </c>
      <c r="B2053" s="138">
        <f>'Cap Outlay Deprec 26'!K12</f>
        <v>51150</v>
      </c>
      <c r="C2053" s="2" t="s">
        <v>594</v>
      </c>
      <c r="D2053" s="2" t="str">
        <f t="shared" si="31"/>
        <v>Error?</v>
      </c>
    </row>
    <row r="2054" spans="1:4" x14ac:dyDescent="0.2">
      <c r="A2054" s="5">
        <v>1993</v>
      </c>
      <c r="B2054" s="138">
        <f>'Cap Outlay Deprec 26'!K13</f>
        <v>71894</v>
      </c>
      <c r="C2054" s="2" t="s">
        <v>594</v>
      </c>
      <c r="D2054" s="2" t="str">
        <f t="shared" si="31"/>
        <v>Error?</v>
      </c>
    </row>
    <row r="2055" spans="1:4" x14ac:dyDescent="0.2">
      <c r="A2055" s="5">
        <v>1994</v>
      </c>
      <c r="B2055" s="138">
        <f>'Cap Outlay Deprec 26'!K16</f>
        <v>3272260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3233423</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46070</v>
      </c>
      <c r="C2059" s="2" t="s">
        <v>594</v>
      </c>
      <c r="D2059" s="2" t="str">
        <f t="shared" si="31"/>
        <v>Error?</v>
      </c>
    </row>
    <row r="2060" spans="1:4" x14ac:dyDescent="0.2">
      <c r="A2060" s="5">
        <v>1999</v>
      </c>
      <c r="B2060" s="138">
        <f>'Cap Outlay Deprec 26'!L13</f>
        <v>425349</v>
      </c>
      <c r="C2060" s="2" t="s">
        <v>594</v>
      </c>
      <c r="D2060" s="2" t="str">
        <f t="shared" si="31"/>
        <v>Error?</v>
      </c>
    </row>
    <row r="2061" spans="1:4" x14ac:dyDescent="0.2">
      <c r="A2061" s="5">
        <v>2000</v>
      </c>
      <c r="B2061" s="138">
        <f>'Cap Outlay Deprec 26'!L16</f>
        <v>3704842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58466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64000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1345210</v>
      </c>
      <c r="C2551" s="2" t="s">
        <v>594</v>
      </c>
      <c r="D2551" s="2" t="str">
        <f t="shared" si="38"/>
        <v>Error?</v>
      </c>
    </row>
    <row r="2552" spans="1:4" x14ac:dyDescent="0.2">
      <c r="A2552" s="10">
        <v>2491</v>
      </c>
      <c r="D2552" s="2" t="str">
        <f t="shared" si="38"/>
        <v>OK</v>
      </c>
    </row>
    <row r="2553" spans="1:4" x14ac:dyDescent="0.2">
      <c r="A2553" s="5">
        <v>2492</v>
      </c>
      <c r="B2553" s="138">
        <f>'Acct Summary 7-8'!C6</f>
        <v>646779</v>
      </c>
      <c r="C2553" s="2" t="s">
        <v>594</v>
      </c>
      <c r="D2553" s="2" t="str">
        <f t="shared" si="38"/>
        <v>Error?</v>
      </c>
    </row>
    <row r="2554" spans="1:4" x14ac:dyDescent="0.2">
      <c r="A2554" s="5">
        <v>2493</v>
      </c>
      <c r="B2554" s="138">
        <f>'Acct Summary 7-8'!C7</f>
        <v>154116</v>
      </c>
      <c r="C2554" s="2" t="s">
        <v>594</v>
      </c>
      <c r="D2554" s="2" t="str">
        <f t="shared" si="38"/>
        <v>Error?</v>
      </c>
    </row>
    <row r="2555" spans="1:4" x14ac:dyDescent="0.2">
      <c r="A2555" s="5">
        <v>2494</v>
      </c>
      <c r="B2555" s="138">
        <f>'Acct Summary 7-8'!C8</f>
        <v>2146105</v>
      </c>
      <c r="C2555" s="2" t="s">
        <v>594</v>
      </c>
      <c r="D2555" s="2" t="str">
        <f t="shared" si="38"/>
        <v>Error?</v>
      </c>
    </row>
    <row r="2556" spans="1:4" x14ac:dyDescent="0.2">
      <c r="A2556" s="5">
        <v>2495</v>
      </c>
      <c r="B2556" s="138">
        <f>'Acct Summary 7-8'!C12</f>
        <v>1317787</v>
      </c>
      <c r="C2556" s="2" t="s">
        <v>594</v>
      </c>
      <c r="D2556" s="2" t="str">
        <f t="shared" si="38"/>
        <v>Error?</v>
      </c>
    </row>
    <row r="2557" spans="1:4" x14ac:dyDescent="0.2">
      <c r="A2557" s="5">
        <v>2496</v>
      </c>
      <c r="B2557" s="138">
        <f>'Acct Summary 7-8'!C13</f>
        <v>603290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58466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1979543</v>
      </c>
      <c r="C2561" s="2" t="s">
        <v>594</v>
      </c>
      <c r="D2561" s="2" t="str">
        <f t="shared" si="39"/>
        <v>Error?</v>
      </c>
    </row>
    <row r="2562" spans="1:4" x14ac:dyDescent="0.2">
      <c r="A2562" s="5">
        <v>2501</v>
      </c>
      <c r="B2562" s="138">
        <f>'Acct Summary 7-8'!C20</f>
        <v>166562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217290</v>
      </c>
      <c r="C2564" s="2" t="s">
        <v>594</v>
      </c>
      <c r="D2564" s="2" t="str">
        <f t="shared" si="39"/>
        <v>Error?</v>
      </c>
    </row>
    <row r="2565" spans="1:4" x14ac:dyDescent="0.2">
      <c r="A2565" s="10">
        <v>2504</v>
      </c>
      <c r="D2565" s="2" t="str">
        <f t="shared" si="39"/>
        <v>OK</v>
      </c>
    </row>
    <row r="2566" spans="1:4" x14ac:dyDescent="0.2">
      <c r="A2566" s="5">
        <v>2505</v>
      </c>
      <c r="B2566" s="138">
        <f>'Acct Summary 7-8'!D6</f>
        <v>10000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227290</v>
      </c>
      <c r="C2568" s="2" t="s">
        <v>594</v>
      </c>
      <c r="D2568" s="2" t="str">
        <f t="shared" si="39"/>
        <v>Error?</v>
      </c>
    </row>
    <row r="2569" spans="1:4" x14ac:dyDescent="0.2">
      <c r="A2569" s="5">
        <v>2508</v>
      </c>
      <c r="B2569" s="138">
        <f>'Acct Summary 7-8'!D13</f>
        <v>232082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232082</v>
      </c>
      <c r="C2573" s="2" t="s">
        <v>594</v>
      </c>
      <c r="D2573" s="2" t="str">
        <f t="shared" si="39"/>
        <v>Error?</v>
      </c>
    </row>
    <row r="2574" spans="1:4" x14ac:dyDescent="0.2">
      <c r="A2574" s="5">
        <v>2513</v>
      </c>
      <c r="B2574" s="138">
        <f>'Acct Summary 7-8'!D20</f>
        <v>-4792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52130</v>
      </c>
      <c r="C2591" s="2" t="s">
        <v>594</v>
      </c>
      <c r="D2591" s="2" t="str">
        <f t="shared" si="39"/>
        <v>Error?</v>
      </c>
    </row>
    <row r="2592" spans="1:4" x14ac:dyDescent="0.2">
      <c r="A2592" s="10">
        <v>2531</v>
      </c>
      <c r="D2592" s="2" t="str">
        <f t="shared" si="39"/>
        <v>OK</v>
      </c>
    </row>
    <row r="2593" spans="1:4" x14ac:dyDescent="0.2">
      <c r="A2593" s="5">
        <v>2532</v>
      </c>
      <c r="B2593" s="138">
        <f>'Acct Summary 7-8'!F6</f>
        <v>195666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247796</v>
      </c>
      <c r="C2595" s="2" t="s">
        <v>594</v>
      </c>
      <c r="D2595" s="2" t="str">
        <f t="shared" si="39"/>
        <v>Error?</v>
      </c>
    </row>
    <row r="2596" spans="1:4" x14ac:dyDescent="0.2">
      <c r="A2596" s="5">
        <v>2535</v>
      </c>
      <c r="B2596" s="138">
        <f>'Acct Summary 7-8'!F13</f>
        <v>249047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249047</v>
      </c>
      <c r="C2600" s="2" t="s">
        <v>594</v>
      </c>
      <c r="D2600" s="2" t="str">
        <f t="shared" si="39"/>
        <v>Error?</v>
      </c>
    </row>
    <row r="2601" spans="1:4" x14ac:dyDescent="0.2">
      <c r="A2601" s="5">
        <v>2540</v>
      </c>
      <c r="B2601" s="138">
        <f>'Acct Summary 7-8'!F20</f>
        <v>-1251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120923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120923</v>
      </c>
      <c r="C2606" s="2" t="s">
        <v>594</v>
      </c>
      <c r="D2606" s="2" t="str">
        <f t="shared" si="39"/>
        <v>Error?</v>
      </c>
    </row>
    <row r="2607" spans="1:4" x14ac:dyDescent="0.2">
      <c r="A2607" s="5">
        <v>2546</v>
      </c>
      <c r="B2607" s="138">
        <f>'Acct Summary 7-8'!G12</f>
        <v>43552</v>
      </c>
      <c r="C2607" s="2" t="s">
        <v>594</v>
      </c>
      <c r="D2607" s="2" t="str">
        <f t="shared" si="39"/>
        <v>Error?</v>
      </c>
    </row>
    <row r="2608" spans="1:4" x14ac:dyDescent="0.2">
      <c r="A2608" s="5">
        <v>2547</v>
      </c>
      <c r="B2608" s="138">
        <f>'Acct Summary 7-8'!G13</f>
        <v>74611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118163</v>
      </c>
      <c r="C2612" s="2" t="s">
        <v>594</v>
      </c>
      <c r="D2612" s="2" t="str">
        <f t="shared" si="39"/>
        <v>Error?</v>
      </c>
    </row>
    <row r="2613" spans="1:4" x14ac:dyDescent="0.2">
      <c r="A2613" s="5">
        <v>2552</v>
      </c>
      <c r="B2613" s="138">
        <f>'Acct Summary 7-8'!G20</f>
        <v>2760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221582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221582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218315</v>
      </c>
      <c r="C2634" s="2" t="s">
        <v>594</v>
      </c>
      <c r="D2634" s="2" t="str">
        <f t="shared" si="40"/>
        <v>Error?</v>
      </c>
    </row>
    <row r="2635" spans="1:4" x14ac:dyDescent="0.2">
      <c r="A2635" s="5">
        <v>2574</v>
      </c>
      <c r="B2635" s="138">
        <f>'Acct Summary 7-8'!E17</f>
        <v>218315</v>
      </c>
      <c r="C2635" s="2" t="s">
        <v>594</v>
      </c>
      <c r="D2635" s="2" t="str">
        <f t="shared" si="40"/>
        <v>Error?</v>
      </c>
    </row>
    <row r="2636" spans="1:4" x14ac:dyDescent="0.2">
      <c r="A2636" s="5">
        <v>2575</v>
      </c>
      <c r="B2636" s="138">
        <f>'Acct Summary 7-8'!E20</f>
        <v>3267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58466</v>
      </c>
      <c r="C2789" s="2" t="s">
        <v>594</v>
      </c>
      <c r="D2789" s="2" t="str">
        <f t="shared" si="42"/>
        <v>Error?</v>
      </c>
    </row>
    <row r="2790" spans="1:4" x14ac:dyDescent="0.2">
      <c r="A2790" s="5">
        <v>2729</v>
      </c>
      <c r="B2790" s="138">
        <f>'Expenditures 15-22'!E102</f>
        <v>58466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117815</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117815</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56320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15122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56320</v>
      </c>
      <c r="D2912" s="2" t="str">
        <f t="shared" si="44"/>
        <v>Error?</v>
      </c>
    </row>
    <row r="2913" spans="1:4" x14ac:dyDescent="0.2">
      <c r="A2913" s="5">
        <v>2852</v>
      </c>
      <c r="B2913" s="138">
        <f>'Assets-Liab 5-6'!I41</f>
        <v>56320</v>
      </c>
      <c r="C2913" s="2" t="s">
        <v>594</v>
      </c>
      <c r="D2913" s="2" t="str">
        <f t="shared" si="44"/>
        <v>Error?</v>
      </c>
    </row>
    <row r="2914" spans="1:4" x14ac:dyDescent="0.2">
      <c r="A2914" s="5">
        <v>2853</v>
      </c>
      <c r="B2914" s="138">
        <f>'Assets-Liab 5-6'!L33</f>
        <v>15122</v>
      </c>
      <c r="D2914" s="2" t="str">
        <f t="shared" si="44"/>
        <v>Error?</v>
      </c>
    </row>
    <row r="2915" spans="1:4" x14ac:dyDescent="0.2">
      <c r="A2915" s="10">
        <v>2854</v>
      </c>
      <c r="D2915" s="2" t="str">
        <f t="shared" si="44"/>
        <v>OK</v>
      </c>
    </row>
    <row r="2916" spans="1:4" x14ac:dyDescent="0.2">
      <c r="A2916" s="5">
        <v>2855</v>
      </c>
      <c r="B2916" s="138">
        <f>'Assets-Liab 5-6'!L34</f>
        <v>15122</v>
      </c>
      <c r="C2916" s="2" t="s">
        <v>594</v>
      </c>
      <c r="D2916" s="2" t="str">
        <f t="shared" si="44"/>
        <v>Error?</v>
      </c>
    </row>
    <row r="2917" spans="1:4" x14ac:dyDescent="0.2">
      <c r="A2917" s="5">
        <v>2856</v>
      </c>
      <c r="B2917" s="138">
        <f>'Assets-Liab 5-6'!L41</f>
        <v>15122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58466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58466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24001</v>
      </c>
      <c r="D3055" s="2" t="str">
        <f t="shared" si="46"/>
        <v>Error?</v>
      </c>
    </row>
    <row r="3056" spans="1:4" x14ac:dyDescent="0.2">
      <c r="A3056" s="5">
        <v>2995</v>
      </c>
      <c r="B3056" s="138">
        <f>'Expenditures 15-22'!D10</f>
        <v>6870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27888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58759</v>
      </c>
      <c r="C3062" s="2" t="s">
        <v>594</v>
      </c>
      <c r="D3062" s="2" t="str">
        <f t="shared" si="46"/>
        <v>Error?</v>
      </c>
    </row>
    <row r="3063" spans="1:4" x14ac:dyDescent="0.2">
      <c r="A3063" s="10">
        <v>3002</v>
      </c>
      <c r="D3063" s="2" t="str">
        <f t="shared" si="46"/>
        <v>OK</v>
      </c>
    </row>
    <row r="3064" spans="1:4" x14ac:dyDescent="0.2">
      <c r="A3064" s="5">
        <v>3003</v>
      </c>
      <c r="B3064" s="138">
        <f>'Expenditures 15-22'!D219</f>
        <v>503</v>
      </c>
      <c r="D3064" s="2" t="str">
        <f t="shared" si="46"/>
        <v>Error?</v>
      </c>
    </row>
    <row r="3065" spans="1:4" x14ac:dyDescent="0.2">
      <c r="A3065" s="5">
        <v>3004</v>
      </c>
      <c r="B3065" s="138">
        <f>'Expenditures 15-22'!K219</f>
        <v>503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21720</v>
      </c>
      <c r="C3225" s="2" t="s">
        <v>594</v>
      </c>
      <c r="D3225" s="2" t="str">
        <f t="shared" si="49"/>
        <v>Error?</v>
      </c>
    </row>
    <row r="3226" spans="1:4" x14ac:dyDescent="0.2">
      <c r="A3226" s="5">
        <v>3165</v>
      </c>
      <c r="B3226" s="138">
        <f>'Acct Summary 7-8'!I8</f>
        <v>21720</v>
      </c>
      <c r="C3226" s="2" t="s">
        <v>594</v>
      </c>
      <c r="D3226" s="2" t="str">
        <f t="shared" si="49"/>
        <v>Error?</v>
      </c>
    </row>
    <row r="3227" spans="1:4" x14ac:dyDescent="0.2">
      <c r="A3227" s="5">
        <v>3166</v>
      </c>
      <c r="B3227" s="138">
        <f>'Acct Summary 7-8'!I20</f>
        <v>21720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32000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32000</v>
      </c>
      <c r="C3232" s="2" t="s">
        <v>594</v>
      </c>
      <c r="D3232" s="2" t="str">
        <f t="shared" si="49"/>
        <v>Error?</v>
      </c>
    </row>
    <row r="3233" spans="1:4" x14ac:dyDescent="0.2">
      <c r="A3233" s="5">
        <v>3172</v>
      </c>
      <c r="B3233" s="138">
        <f>'Acct Summary 7-8'!C78</f>
        <v>198562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32000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32000</v>
      </c>
      <c r="C3238" s="2" t="s">
        <v>594</v>
      </c>
      <c r="D3238" s="2" t="str">
        <f t="shared" si="49"/>
        <v>Error?</v>
      </c>
    </row>
    <row r="3239" spans="1:4" x14ac:dyDescent="0.2">
      <c r="A3239" s="5">
        <v>3178</v>
      </c>
      <c r="B3239" s="138">
        <f>'Acct Summary 7-8'!D78</f>
        <v>27208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-1251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2760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3267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64000</v>
      </c>
      <c r="C3318" s="2" t="s">
        <v>594</v>
      </c>
      <c r="D3318" s="2" t="str">
        <f t="shared" si="50"/>
        <v>Error?</v>
      </c>
    </row>
    <row r="3319" spans="1:4" x14ac:dyDescent="0.2">
      <c r="A3319" s="5">
        <v>3258</v>
      </c>
      <c r="B3319" s="138">
        <f>'Acct Summary 7-8'!I77</f>
        <v>-64000</v>
      </c>
      <c r="C3319" s="2" t="s">
        <v>594</v>
      </c>
      <c r="D3319" s="2" t="str">
        <f t="shared" si="50"/>
        <v>Error?</v>
      </c>
    </row>
    <row r="3320" spans="1:4" x14ac:dyDescent="0.2">
      <c r="A3320" s="5">
        <v>3259</v>
      </c>
      <c r="B3320" s="138">
        <f>'Acct Summary 7-8'!I78</f>
        <v>-42280</v>
      </c>
      <c r="C3320" s="2" t="s">
        <v>594</v>
      </c>
      <c r="D3320" s="2" t="str">
        <f t="shared" si="50"/>
        <v>Error?</v>
      </c>
    </row>
    <row r="3321" spans="1:4" x14ac:dyDescent="0.2">
      <c r="A3321" s="5">
        <v>3260</v>
      </c>
      <c r="B3321" s="138">
        <f>'Acct Summary 7-8'!I79</f>
        <v>98600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56320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154414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69865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225256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19936</v>
      </c>
      <c r="D3387" s="2" t="str">
        <f t="shared" si="51"/>
        <v>Error?</v>
      </c>
    </row>
    <row r="3388" spans="1:4" x14ac:dyDescent="0.2">
      <c r="A3388" s="5">
        <v>3327</v>
      </c>
      <c r="B3388" s="138">
        <f>'Expenditures 15-22'!D217</f>
        <v>17706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19936</v>
      </c>
      <c r="C3390" s="2" t="s">
        <v>594</v>
      </c>
      <c r="D3390" s="2" t="str">
        <f t="shared" si="51"/>
        <v>Error?</v>
      </c>
    </row>
    <row r="3391" spans="1:4" x14ac:dyDescent="0.2">
      <c r="A3391" s="5">
        <v>3330</v>
      </c>
      <c r="B3391" s="138">
        <f>'Expenditures 15-22'!K217</f>
        <v>17706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116076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64721</v>
      </c>
      <c r="D3417" s="2" t="str">
        <f t="shared" si="52"/>
        <v>Error?</v>
      </c>
    </row>
    <row r="3418" spans="1:4" x14ac:dyDescent="0.2">
      <c r="A3418" s="10">
        <v>3357</v>
      </c>
      <c r="D3418" s="2" t="str">
        <f t="shared" si="52"/>
        <v>OK</v>
      </c>
    </row>
    <row r="3419" spans="1:4" x14ac:dyDescent="0.2">
      <c r="A3419" s="5">
        <v>3358</v>
      </c>
      <c r="B3419" s="138">
        <f>'Assets-Liab 5-6'!F4</f>
        <v>115987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56205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56320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15122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54923</v>
      </c>
      <c r="C3446" s="2" t="s">
        <v>594</v>
      </c>
      <c r="D3446" s="2" t="str">
        <f t="shared" si="52"/>
        <v>Error?</v>
      </c>
    </row>
    <row r="3447" spans="1:4" x14ac:dyDescent="0.2">
      <c r="A3447" s="5">
        <v>3386</v>
      </c>
      <c r="B3447" s="138">
        <f>'Tax Sched 23'!D16</f>
        <v>54923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55419</v>
      </c>
      <c r="C3449" s="2" t="s">
        <v>594</v>
      </c>
      <c r="D3449" s="2" t="str">
        <f t="shared" si="52"/>
        <v>Error?</v>
      </c>
    </row>
    <row r="3450" spans="1:4" x14ac:dyDescent="0.2">
      <c r="A3450" s="5">
        <v>3389</v>
      </c>
      <c r="B3450" s="138">
        <f>'Tax Sched 23'!E16</f>
        <v>55419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98258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98258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98258</v>
      </c>
      <c r="D3567" s="2" t="str">
        <f t="shared" si="54"/>
        <v>Error?</v>
      </c>
    </row>
    <row r="3568" spans="1:4" x14ac:dyDescent="0.2">
      <c r="A3568" s="5">
        <v>3507</v>
      </c>
      <c r="B3568" s="138">
        <f>'Assets-Liab 5-6'!K41</f>
        <v>98258</v>
      </c>
      <c r="C3568" s="2" t="s">
        <v>594</v>
      </c>
      <c r="D3568" s="2" t="str">
        <f t="shared" si="54"/>
        <v>Error?</v>
      </c>
    </row>
    <row r="3569" spans="1:4" x14ac:dyDescent="0.2">
      <c r="A3569" s="5">
        <v>3508</v>
      </c>
      <c r="B3569" s="138">
        <f>'Acct Summary 7-8'!K4</f>
        <v>21719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21719</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21719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21719</v>
      </c>
      <c r="C3588" s="2" t="s">
        <v>594</v>
      </c>
      <c r="D3588" s="2" t="str">
        <f t="shared" si="55"/>
        <v>Error?</v>
      </c>
    </row>
    <row r="3589" spans="1:4" x14ac:dyDescent="0.2">
      <c r="A3589" s="5">
        <v>3528</v>
      </c>
      <c r="B3589" s="138">
        <f>'Acct Summary 7-8'!K79</f>
        <v>76539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98258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21719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21704</v>
      </c>
      <c r="C3725" s="2" t="s">
        <v>594</v>
      </c>
      <c r="D3725" s="2" t="str">
        <f t="shared" si="57"/>
        <v>Error?</v>
      </c>
    </row>
    <row r="3726" spans="1:4" x14ac:dyDescent="0.2">
      <c r="A3726" s="5">
        <v>3665</v>
      </c>
      <c r="B3726" s="138">
        <f>'Tax Sched 23'!D13</f>
        <v>21704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22891</v>
      </c>
      <c r="C3728" s="2" t="s">
        <v>594</v>
      </c>
      <c r="D3728" s="2" t="str">
        <f t="shared" si="57"/>
        <v>Error?</v>
      </c>
    </row>
    <row r="3729" spans="1:4" x14ac:dyDescent="0.2">
      <c r="A3729" s="5">
        <v>3668</v>
      </c>
      <c r="B3729" s="138">
        <f>'Tax Sched 23'!E13</f>
        <v>22891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785733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2931838</v>
      </c>
      <c r="C4122" s="2" t="s">
        <v>594</v>
      </c>
      <c r="D4122" s="2" t="str">
        <f t="shared" si="63"/>
        <v>Error?</v>
      </c>
    </row>
    <row r="4123" spans="1:4" x14ac:dyDescent="0.2">
      <c r="A4123" s="5">
        <v>4062</v>
      </c>
      <c r="B4123" s="138">
        <f>'Acct Summary 7-8'!D10</f>
        <v>227290</v>
      </c>
      <c r="C4123" s="2" t="s">
        <v>594</v>
      </c>
      <c r="D4123" s="2" t="str">
        <f t="shared" si="63"/>
        <v>Error?</v>
      </c>
    </row>
    <row r="4124" spans="1:4" x14ac:dyDescent="0.2">
      <c r="A4124" s="5">
        <v>4063</v>
      </c>
      <c r="B4124" s="138">
        <f>'Acct Summary 7-8'!E10</f>
        <v>221582</v>
      </c>
      <c r="C4124" s="2" t="s">
        <v>594</v>
      </c>
      <c r="D4124" s="2" t="str">
        <f t="shared" si="63"/>
        <v>Error?</v>
      </c>
    </row>
    <row r="4125" spans="1:4" x14ac:dyDescent="0.2">
      <c r="A4125" s="5">
        <v>4064</v>
      </c>
      <c r="B4125" s="138">
        <f>'Acct Summary 7-8'!F10</f>
        <v>247796</v>
      </c>
      <c r="C4125" s="2" t="s">
        <v>594</v>
      </c>
      <c r="D4125" s="2" t="str">
        <f t="shared" si="63"/>
        <v>Error?</v>
      </c>
    </row>
    <row r="4126" spans="1:4" x14ac:dyDescent="0.2">
      <c r="A4126" s="5">
        <v>4065</v>
      </c>
      <c r="B4126" s="138">
        <f>'Acct Summary 7-8'!G10</f>
        <v>120923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21720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21719</v>
      </c>
      <c r="C4130" s="2" t="s">
        <v>594</v>
      </c>
      <c r="D4130" s="2" t="str">
        <f t="shared" si="63"/>
        <v>Error?</v>
      </c>
    </row>
    <row r="4131" spans="1:4" x14ac:dyDescent="0.2">
      <c r="A4131" s="5">
        <v>4070</v>
      </c>
      <c r="B4131" s="138">
        <f>'Acct Summary 7-8'!C18</f>
        <v>785733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2765276</v>
      </c>
      <c r="C4136" s="2" t="s">
        <v>594</v>
      </c>
      <c r="D4136" s="2" t="str">
        <f t="shared" si="63"/>
        <v>Error?</v>
      </c>
    </row>
    <row r="4137" spans="1:4" x14ac:dyDescent="0.2">
      <c r="A4137" s="5">
        <v>4076</v>
      </c>
      <c r="B4137" s="138">
        <f>'Acct Summary 7-8'!D19</f>
        <v>232082</v>
      </c>
      <c r="C4137" s="2" t="s">
        <v>594</v>
      </c>
      <c r="D4137" s="2" t="str">
        <f t="shared" si="63"/>
        <v>Error?</v>
      </c>
    </row>
    <row r="4138" spans="1:4" x14ac:dyDescent="0.2">
      <c r="A4138" s="5">
        <v>4077</v>
      </c>
      <c r="B4138" s="138">
        <f>'Acct Summary 7-8'!E19</f>
        <v>218315</v>
      </c>
      <c r="C4138" s="2" t="s">
        <v>594</v>
      </c>
      <c r="D4138" s="2" t="str">
        <f t="shared" si="63"/>
        <v>Error?</v>
      </c>
    </row>
    <row r="4139" spans="1:4" x14ac:dyDescent="0.2">
      <c r="A4139" s="5">
        <v>4078</v>
      </c>
      <c r="B4139" s="138">
        <f>'Acct Summary 7-8'!F19</f>
        <v>249047</v>
      </c>
      <c r="C4139" s="2" t="s">
        <v>594</v>
      </c>
      <c r="D4139" s="2" t="str">
        <f t="shared" si="63"/>
        <v>Error?</v>
      </c>
    </row>
    <row r="4140" spans="1:4" x14ac:dyDescent="0.2">
      <c r="A4140" s="5">
        <v>4079</v>
      </c>
      <c r="B4140" s="138">
        <f>'Acct Summary 7-8'!G19</f>
        <v>118163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1960000</v>
      </c>
      <c r="C4171" s="2" t="s">
        <v>594</v>
      </c>
      <c r="D4171" s="2" t="str">
        <f t="shared" si="64"/>
        <v>Error?</v>
      </c>
    </row>
    <row r="4172" spans="1:4" x14ac:dyDescent="0.2">
      <c r="A4172" s="5">
        <v>4111</v>
      </c>
      <c r="B4172" s="138">
        <f>'Short-Term Long-Term Debt 24'!J49</f>
        <v>1895279</v>
      </c>
      <c r="C4172" s="2" t="s">
        <v>594</v>
      </c>
      <c r="D4172" s="2" t="str">
        <f t="shared" si="64"/>
        <v>Error?</v>
      </c>
    </row>
    <row r="4173" spans="1:4" x14ac:dyDescent="0.2">
      <c r="A4173" s="5">
        <v>4112</v>
      </c>
      <c r="B4173" s="138">
        <f>'Short-Term Long-Term Debt 24'!H49</f>
        <v>100000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1799.9999999999998</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2420</v>
      </c>
      <c r="C4268" s="2" t="s">
        <v>594</v>
      </c>
      <c r="D4268" s="2" t="str">
        <f t="shared" si="65"/>
        <v>Error?</v>
      </c>
    </row>
    <row r="4269" spans="1:5" x14ac:dyDescent="0.2">
      <c r="A4269" s="12">
        <v>4208</v>
      </c>
      <c r="B4269" s="138">
        <f>'FP Info 3'!J16</f>
        <v>292235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20325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1962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8074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45781043</v>
      </c>
      <c r="D4995" s="2" t="str">
        <f t="shared" si="77"/>
        <v>Error?</v>
      </c>
    </row>
    <row r="4996" spans="1:4" x14ac:dyDescent="0.2">
      <c r="A4996" s="12">
        <v>4935</v>
      </c>
      <c r="B4996" s="138">
        <f>'FP Info 3'!H31</f>
        <v>3158891.9670000002</v>
      </c>
      <c r="D4996" s="2" t="str">
        <f t="shared" si="77"/>
        <v>Error?</v>
      </c>
    </row>
    <row r="4997" spans="1:4" x14ac:dyDescent="0.2">
      <c r="A4997" s="12">
        <v>4936</v>
      </c>
      <c r="B4997" s="138">
        <f>'FP Info 3'!H37</f>
        <v>1960000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21704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781342</v>
      </c>
      <c r="D5061" s="2" t="str">
        <f t="shared" si="78"/>
        <v>Error?</v>
      </c>
    </row>
    <row r="5062" spans="1:4" x14ac:dyDescent="0.2">
      <c r="A5062" s="10">
        <v>5001</v>
      </c>
      <c r="D5062" s="2" t="str">
        <f t="shared" si="78"/>
        <v>OK</v>
      </c>
    </row>
    <row r="5063" spans="1:4" x14ac:dyDescent="0.2">
      <c r="A5063" s="5">
        <v>5002</v>
      </c>
      <c r="B5063" s="138">
        <f>'Revenues 9-14'!C7</f>
        <v>17364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820410</v>
      </c>
      <c r="C5066" s="2" t="s">
        <v>594</v>
      </c>
      <c r="D5066" s="2" t="str">
        <f t="shared" si="78"/>
        <v>Error?</v>
      </c>
    </row>
    <row r="5067" spans="1:4" x14ac:dyDescent="0.2">
      <c r="A5067" s="5">
        <v>5006</v>
      </c>
      <c r="B5067" s="138">
        <f>'Revenues 9-14'!C14</f>
        <v>546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48595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49141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4416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4416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40913</v>
      </c>
      <c r="C5096" s="2" t="s">
        <v>594</v>
      </c>
      <c r="D5096" s="2" t="str">
        <f t="shared" si="78"/>
        <v>Error?</v>
      </c>
    </row>
    <row r="5097" spans="1:4" x14ac:dyDescent="0.2">
      <c r="A5097" s="5">
        <v>5036</v>
      </c>
      <c r="B5097" s="138">
        <f>'Revenues 9-14'!C77</f>
        <v>965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965</v>
      </c>
      <c r="C5102" s="2" t="s">
        <v>594</v>
      </c>
      <c r="D5102" s="2" t="str">
        <f t="shared" si="78"/>
        <v>Error?</v>
      </c>
    </row>
    <row r="5103" spans="1:4" x14ac:dyDescent="0.2">
      <c r="A5103" s="5">
        <v>5042</v>
      </c>
      <c r="B5103" s="138">
        <f>'Revenues 9-14'!C84</f>
        <v>4105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4105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425260</v>
      </c>
      <c r="D5119" s="2" t="str">
        <f t="shared" ref="D5119:D5182" si="79">IF(ISBLANK(B5119),"OK",IF(A5119-B5119=0,"OK","Error?"))</f>
        <v>Error?</v>
      </c>
    </row>
    <row r="5120" spans="1:4" x14ac:dyDescent="0.2">
      <c r="A5120" s="5">
        <v>5059</v>
      </c>
      <c r="B5120" s="138">
        <f>'Revenues 9-14'!C108</f>
        <v>425260</v>
      </c>
      <c r="C5120" s="2" t="s">
        <v>594</v>
      </c>
      <c r="D5120" s="2" t="str">
        <f t="shared" si="79"/>
        <v>Error?</v>
      </c>
    </row>
    <row r="5121" spans="1:4" x14ac:dyDescent="0.2">
      <c r="A5121" s="5">
        <v>5060</v>
      </c>
      <c r="B5121" s="138">
        <f>'Revenues 9-14'!C109</f>
        <v>1345210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480586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480586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14434</v>
      </c>
      <c r="D5134" s="2" t="str">
        <f t="shared" si="79"/>
        <v>Error?</v>
      </c>
    </row>
    <row r="5135" spans="1:4" x14ac:dyDescent="0.2">
      <c r="A5135" s="5">
        <v>5074</v>
      </c>
      <c r="B5135" s="138">
        <f>'Revenues 9-14'!C126</f>
        <v>32593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47027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1357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117809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166193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646779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60008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23624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83632</v>
      </c>
      <c r="C5246" s="2" t="s">
        <v>594</v>
      </c>
      <c r="D5246" s="2" t="str">
        <f t="shared" si="80"/>
        <v>Error?</v>
      </c>
    </row>
    <row r="5247" spans="1:4" x14ac:dyDescent="0.2">
      <c r="A5247" s="5">
        <v>5186</v>
      </c>
      <c r="B5247" s="138">
        <f>'Revenues 9-14'!C203</f>
        <v>40123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1962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40123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154116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154116</v>
      </c>
      <c r="C5326" s="2" t="s">
        <v>594</v>
      </c>
      <c r="D5326" s="2" t="str">
        <f t="shared" si="82"/>
        <v>Error?</v>
      </c>
    </row>
    <row r="5327" spans="1:4" x14ac:dyDescent="0.2">
      <c r="A5327" s="5">
        <v>5266</v>
      </c>
      <c r="B5327" s="138">
        <f>'Revenues 9-14'!C275</f>
        <v>2146105</v>
      </c>
      <c r="C5327" s="2" t="s">
        <v>594</v>
      </c>
      <c r="D5327" s="2" t="str">
        <f t="shared" si="82"/>
        <v>Error?</v>
      </c>
    </row>
    <row r="5328" spans="1:4" x14ac:dyDescent="0.2">
      <c r="A5328" s="5">
        <v>5267</v>
      </c>
      <c r="B5328" s="138">
        <f>'Revenues 9-14'!D5</f>
        <v>217039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217039</v>
      </c>
      <c r="C5334" s="2" t="s">
        <v>594</v>
      </c>
      <c r="D5334" s="2" t="str">
        <f t="shared" si="82"/>
        <v>Error?</v>
      </c>
    </row>
    <row r="5335" spans="1:4" x14ac:dyDescent="0.2">
      <c r="A5335" s="5">
        <v>5274</v>
      </c>
      <c r="B5335" s="138">
        <f>'Revenues 9-14'!D14</f>
        <v>145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145</v>
      </c>
      <c r="C5339" s="2" t="s">
        <v>594</v>
      </c>
      <c r="D5339" s="2" t="str">
        <f t="shared" si="82"/>
        <v>Error?</v>
      </c>
    </row>
    <row r="5340" spans="1:4" x14ac:dyDescent="0.2">
      <c r="A5340" s="5">
        <v>5279</v>
      </c>
      <c r="B5340" s="138">
        <f>'Revenues 9-14'!D65</f>
        <v>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90</v>
      </c>
      <c r="D5354" s="2" t="str">
        <f t="shared" si="82"/>
        <v>Error?</v>
      </c>
    </row>
    <row r="5355" spans="1:4" x14ac:dyDescent="0.2">
      <c r="A5355" s="5">
        <v>5294</v>
      </c>
      <c r="B5355" s="138">
        <f>'Revenues 9-14'!D108</f>
        <v>90</v>
      </c>
      <c r="C5355" s="2" t="s">
        <v>594</v>
      </c>
      <c r="D5355" s="2" t="str">
        <f t="shared" si="82"/>
        <v>Error?</v>
      </c>
    </row>
    <row r="5356" spans="1:4" x14ac:dyDescent="0.2">
      <c r="A5356" s="5">
        <v>5295</v>
      </c>
      <c r="B5356" s="138">
        <f>'Revenues 9-14'!D109</f>
        <v>217290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227290</v>
      </c>
      <c r="C5508" s="2" t="s">
        <v>594</v>
      </c>
      <c r="D5508" s="2" t="str">
        <f t="shared" si="85"/>
        <v>Error?</v>
      </c>
    </row>
    <row r="5509" spans="1:4" x14ac:dyDescent="0.2">
      <c r="A5509" s="5">
        <v>5448</v>
      </c>
      <c r="B5509" s="138">
        <f>'Revenues 9-14'!E5</f>
        <v>221420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221420</v>
      </c>
      <c r="C5513" s="2" t="s">
        <v>594</v>
      </c>
      <c r="D5513" s="2" t="str">
        <f t="shared" si="85"/>
        <v>Error?</v>
      </c>
    </row>
    <row r="5514" spans="1:4" x14ac:dyDescent="0.2">
      <c r="A5514" s="5">
        <v>5453</v>
      </c>
      <c r="B5514" s="138">
        <f>'Revenues 9-14'!E14</f>
        <v>148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148</v>
      </c>
      <c r="C5518" s="2" t="s">
        <v>594</v>
      </c>
      <c r="D5518" s="2" t="str">
        <f t="shared" si="85"/>
        <v>Error?</v>
      </c>
    </row>
    <row r="5519" spans="1:4" x14ac:dyDescent="0.2">
      <c r="A5519" s="5">
        <v>5458</v>
      </c>
      <c r="B5519" s="138">
        <f>'Revenues 9-14'!E65</f>
        <v>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221582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221582</v>
      </c>
      <c r="C5552" s="2" t="s">
        <v>594</v>
      </c>
      <c r="D5552" s="2" t="str">
        <f t="shared" si="85"/>
        <v>Error?</v>
      </c>
    </row>
    <row r="5553" spans="1:4" x14ac:dyDescent="0.2">
      <c r="A5553" s="5">
        <v>5492</v>
      </c>
      <c r="B5553" s="138">
        <f>'Revenues 9-14'!F5</f>
        <v>52089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52089</v>
      </c>
      <c r="C5557" s="2" t="s">
        <v>594</v>
      </c>
      <c r="D5557" s="2" t="str">
        <f t="shared" si="85"/>
        <v>Error?</v>
      </c>
    </row>
    <row r="5558" spans="1:4" x14ac:dyDescent="0.2">
      <c r="A5558" s="5">
        <v>5497</v>
      </c>
      <c r="B5558" s="138">
        <f>'Revenues 9-14'!F14</f>
        <v>35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52130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93610</v>
      </c>
      <c r="D5615" s="2" t="str">
        <f t="shared" si="86"/>
        <v>Error?</v>
      </c>
    </row>
    <row r="5616" spans="1:4" x14ac:dyDescent="0.2">
      <c r="A5616" s="10">
        <v>5555</v>
      </c>
      <c r="D5616" s="2" t="str">
        <f t="shared" si="86"/>
        <v>OK</v>
      </c>
    </row>
    <row r="5617" spans="1:4" x14ac:dyDescent="0.2">
      <c r="A5617" s="5">
        <v>5556</v>
      </c>
      <c r="B5617" s="138">
        <f>'Revenues 9-14'!F152</f>
        <v>102056</v>
      </c>
      <c r="D5617" s="2" t="str">
        <f t="shared" si="86"/>
        <v>Error?</v>
      </c>
    </row>
    <row r="5618" spans="1:4" x14ac:dyDescent="0.2">
      <c r="A5618" s="5">
        <v>5557</v>
      </c>
      <c r="B5618" s="138">
        <f>'Revenues 9-14'!F154</f>
        <v>195666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195666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195666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247796</v>
      </c>
      <c r="C5720" s="2" t="s">
        <v>594</v>
      </c>
      <c r="D5720" s="2" t="str">
        <f t="shared" si="88"/>
        <v>Error?</v>
      </c>
    </row>
    <row r="5721" spans="1:4" x14ac:dyDescent="0.2">
      <c r="A5721" s="5">
        <v>5660</v>
      </c>
      <c r="B5721" s="138">
        <f>'Revenues 9-14'!G5</f>
        <v>65910</v>
      </c>
      <c r="D5721" s="2" t="str">
        <f t="shared" si="88"/>
        <v>Error?</v>
      </c>
    </row>
    <row r="5722" spans="1:4" x14ac:dyDescent="0.2">
      <c r="A5722" s="5">
        <v>5661</v>
      </c>
      <c r="B5722" s="138">
        <f>'Revenues 9-14'!G7</f>
        <v>0</v>
      </c>
      <c r="D5722" s="2" t="str">
        <f t="shared" si="88"/>
        <v>Error?</v>
      </c>
    </row>
    <row r="5723" spans="1:4" x14ac:dyDescent="0.2">
      <c r="A5723" s="5">
        <v>5662</v>
      </c>
      <c r="B5723" s="138">
        <f>'Revenues 9-14'!G8</f>
        <v>54923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120833</v>
      </c>
      <c r="C5725" s="2" t="s">
        <v>594</v>
      </c>
      <c r="D5725" s="2" t="str">
        <f t="shared" si="88"/>
        <v>Error?</v>
      </c>
    </row>
    <row r="5726" spans="1:4" x14ac:dyDescent="0.2">
      <c r="A5726" s="5">
        <v>5665</v>
      </c>
      <c r="B5726" s="138">
        <f>'Revenues 9-14'!G14</f>
        <v>80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v>
      </c>
      <c r="C5730" s="2" t="s">
        <v>594</v>
      </c>
      <c r="D5730" s="2" t="str">
        <f t="shared" si="88"/>
        <v>Error?</v>
      </c>
    </row>
    <row r="5731" spans="1:4" x14ac:dyDescent="0.2">
      <c r="A5731" s="5">
        <v>5670</v>
      </c>
      <c r="B5731" s="138">
        <f>'Revenues 9-14'!G65</f>
        <v>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120923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21704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21704</v>
      </c>
      <c r="C5918" s="2" t="s">
        <v>594</v>
      </c>
      <c r="D5918" s="2" t="str">
        <f t="shared" si="91"/>
        <v>Error?</v>
      </c>
    </row>
    <row r="5919" spans="1:4" x14ac:dyDescent="0.2">
      <c r="A5919" s="5">
        <v>5858</v>
      </c>
      <c r="B5919" s="138">
        <f>'Revenues 9-14'!I14</f>
        <v>14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v>
      </c>
      <c r="C5923" s="2" t="s">
        <v>594</v>
      </c>
      <c r="D5923" s="2" t="str">
        <f t="shared" si="91"/>
        <v>Error?</v>
      </c>
    </row>
    <row r="5924" spans="1:4" x14ac:dyDescent="0.2">
      <c r="A5924" s="5">
        <v>5863</v>
      </c>
      <c r="B5924" s="138">
        <f>'Revenues 9-14'!I65</f>
        <v>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21720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21704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21704</v>
      </c>
      <c r="C5987" s="2" t="s">
        <v>594</v>
      </c>
      <c r="D5987" s="2" t="str">
        <f t="shared" si="92"/>
        <v>Error?</v>
      </c>
    </row>
    <row r="5988" spans="1:4" x14ac:dyDescent="0.2">
      <c r="A5988" s="5">
        <v>5927</v>
      </c>
      <c r="B5988" s="138">
        <f>'Revenues 9-14'!K14</f>
        <v>14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14</v>
      </c>
      <c r="C5992" s="2" t="s">
        <v>594</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21719</v>
      </c>
      <c r="C6023" s="2" t="s">
        <v>594</v>
      </c>
      <c r="D6023" s="2" t="str">
        <f t="shared" si="93"/>
        <v>Error?</v>
      </c>
    </row>
    <row r="6024" spans="1:5" x14ac:dyDescent="0.2">
      <c r="A6024" s="5">
        <v>5963</v>
      </c>
      <c r="B6024" s="138">
        <f>'Revenues 9-14'!G109</f>
        <v>120923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21720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21719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40913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20248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199.45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51841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51841</v>
      </c>
      <c r="D6215" s="2" t="str">
        <f t="shared" si="96"/>
        <v>Error?</v>
      </c>
      <c r="E6215" s="2" t="s">
        <v>199</v>
      </c>
    </row>
    <row r="6216" spans="1:5" x14ac:dyDescent="0.2">
      <c r="A6216">
        <v>6155</v>
      </c>
      <c r="B6216" s="138">
        <f>'Assets-Liab 5-6'!J41</f>
        <v>51841</v>
      </c>
      <c r="D6216" s="2" t="str">
        <f t="shared" si="96"/>
        <v>Error?</v>
      </c>
      <c r="E6216" s="2" t="s">
        <v>199</v>
      </c>
    </row>
    <row r="6217" spans="1:5" x14ac:dyDescent="0.2">
      <c r="A6217">
        <v>6156</v>
      </c>
      <c r="B6217" s="138">
        <f>'Assets-Liab 5-6'!J4</f>
        <v>51841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168189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168189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168189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163908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163908</v>
      </c>
      <c r="D6229" s="2" t="str">
        <f t="shared" si="96"/>
        <v>Error?</v>
      </c>
      <c r="E6229" s="2" t="s">
        <v>199</v>
      </c>
    </row>
    <row r="6230" spans="1:5" x14ac:dyDescent="0.2">
      <c r="A6230">
        <v>6169</v>
      </c>
      <c r="B6230" s="138">
        <f>'Acct Summary 7-8'!J20</f>
        <v>4281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4281</v>
      </c>
      <c r="D6263" s="2" t="str">
        <f t="shared" si="96"/>
        <v>Error?</v>
      </c>
      <c r="E6263" s="2" t="s">
        <v>199</v>
      </c>
    </row>
    <row r="6264" spans="1:5" x14ac:dyDescent="0.2">
      <c r="A6264">
        <v>6203</v>
      </c>
      <c r="B6264" s="138">
        <f>'Acct Summary 7-8'!J79</f>
        <v>47560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51841</v>
      </c>
      <c r="D6266" s="2" t="str">
        <f t="shared" si="96"/>
        <v>Error?</v>
      </c>
      <c r="E6266" s="2" t="s">
        <v>199</v>
      </c>
    </row>
    <row r="6267" spans="1:5" x14ac:dyDescent="0.2">
      <c r="A6267">
        <v>6206</v>
      </c>
      <c r="B6267" s="138">
        <f>'Acct Summary 7-8'!C82</f>
        <v>198562</v>
      </c>
      <c r="D6267" s="2" t="str">
        <f t="shared" si="96"/>
        <v>Error?</v>
      </c>
      <c r="E6267" s="2" t="s">
        <v>199</v>
      </c>
    </row>
    <row r="6268" spans="1:5" x14ac:dyDescent="0.2">
      <c r="A6268">
        <v>6207</v>
      </c>
      <c r="B6268" s="138">
        <f>'Acct Summary 7-8'!D82</f>
        <v>27208</v>
      </c>
      <c r="D6268" s="2" t="str">
        <f t="shared" si="96"/>
        <v>Error?</v>
      </c>
      <c r="E6268" s="2" t="s">
        <v>199</v>
      </c>
    </row>
    <row r="6269" spans="1:5" x14ac:dyDescent="0.2">
      <c r="A6269">
        <v>6208</v>
      </c>
      <c r="B6269" s="138">
        <f>'Acct Summary 7-8'!E82</f>
        <v>3267</v>
      </c>
      <c r="D6269" s="2" t="str">
        <f t="shared" si="96"/>
        <v>Error?</v>
      </c>
      <c r="E6269" s="2" t="s">
        <v>199</v>
      </c>
    </row>
    <row r="6270" spans="1:5" x14ac:dyDescent="0.2">
      <c r="A6270">
        <v>6209</v>
      </c>
      <c r="B6270" s="138">
        <f>'Acct Summary 7-8'!F82</f>
        <v>-1251</v>
      </c>
      <c r="D6270" s="2" t="str">
        <f t="shared" si="96"/>
        <v>Error?</v>
      </c>
      <c r="E6270" s="2" t="s">
        <v>199</v>
      </c>
    </row>
    <row r="6271" spans="1:5" x14ac:dyDescent="0.2">
      <c r="A6271">
        <v>6210</v>
      </c>
      <c r="B6271" s="138">
        <f>'Acct Summary 7-8'!G82</f>
        <v>2760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-42280</v>
      </c>
      <c r="D6273" s="2" t="str">
        <f t="shared" si="97"/>
        <v>Error?</v>
      </c>
      <c r="E6273" s="2" t="s">
        <v>199</v>
      </c>
    </row>
    <row r="6274" spans="1:5" x14ac:dyDescent="0.2">
      <c r="A6274">
        <v>6213</v>
      </c>
      <c r="B6274" s="138">
        <f>'Acct Summary 7-8'!J82</f>
        <v>4281</v>
      </c>
      <c r="D6274" s="2" t="str">
        <f t="shared" si="97"/>
        <v>Error?</v>
      </c>
      <c r="E6274" s="2" t="s">
        <v>199</v>
      </c>
    </row>
    <row r="6275" spans="1:5" x14ac:dyDescent="0.2">
      <c r="A6275">
        <v>6214</v>
      </c>
      <c r="B6275" s="138">
        <f>'Acct Summary 7-8'!K82</f>
        <v>21719</v>
      </c>
      <c r="D6275" s="2" t="str">
        <f t="shared" si="97"/>
        <v>Error?</v>
      </c>
      <c r="E6275" s="2" t="s">
        <v>199</v>
      </c>
    </row>
    <row r="6276" spans="1:5" x14ac:dyDescent="0.2">
      <c r="A6276">
        <v>6215</v>
      </c>
      <c r="B6276" s="138">
        <f>'Acct Summary 7-8'!C83</f>
        <v>1.7106206278645026</v>
      </c>
      <c r="D6276" s="2" t="str">
        <f t="shared" si="97"/>
        <v>Error?</v>
      </c>
      <c r="E6276" s="2" t="s">
        <v>199</v>
      </c>
    </row>
    <row r="6277" spans="1:5" x14ac:dyDescent="0.2">
      <c r="A6277">
        <v>6216</v>
      </c>
      <c r="B6277" s="138">
        <f>'Acct Summary 7-8'!D83</f>
        <v>7.0633437175493254</v>
      </c>
      <c r="D6277" s="2" t="str">
        <f t="shared" si="97"/>
        <v>Error?</v>
      </c>
      <c r="E6277" s="2" t="s">
        <v>199</v>
      </c>
    </row>
    <row r="6278" spans="1:5" x14ac:dyDescent="0.2">
      <c r="A6278">
        <v>6217</v>
      </c>
      <c r="B6278" s="138">
        <f>'Acct Summary 7-8'!E83</f>
        <v>5.0478206455400874E-2</v>
      </c>
      <c r="D6278" s="2" t="str">
        <f t="shared" si="97"/>
        <v>Error?</v>
      </c>
      <c r="E6278" s="2" t="s">
        <v>199</v>
      </c>
    </row>
    <row r="6279" spans="1:5" x14ac:dyDescent="0.2">
      <c r="A6279">
        <v>6218</v>
      </c>
      <c r="B6279" s="138">
        <f>'Acct Summary 7-8'!F83</f>
        <v>-1.0785691499909473E-2</v>
      </c>
      <c r="D6279" s="2" t="str">
        <f t="shared" si="97"/>
        <v>Error?</v>
      </c>
      <c r="E6279" s="2" t="s">
        <v>199</v>
      </c>
    </row>
    <row r="6280" spans="1:5" x14ac:dyDescent="0.2">
      <c r="A6280">
        <v>6219</v>
      </c>
      <c r="B6280" s="138">
        <f>'Acct Summary 7-8'!G83</f>
        <v>4.9105951427808915E-2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-0.75071022727272729</v>
      </c>
      <c r="D6282" s="2" t="str">
        <f t="shared" si="97"/>
        <v>Error?</v>
      </c>
      <c r="E6282" s="2" t="s">
        <v>199</v>
      </c>
    </row>
    <row r="6283" spans="1:5" x14ac:dyDescent="0.2">
      <c r="A6283">
        <v>6222</v>
      </c>
      <c r="B6283" s="138">
        <f>'Acct Summary 7-8'!J83</f>
        <v>8.2579425551204649E-2</v>
      </c>
      <c r="D6283" s="2" t="str">
        <f t="shared" si="97"/>
        <v>Error?</v>
      </c>
      <c r="E6283" s="2" t="s">
        <v>199</v>
      </c>
    </row>
    <row r="6284" spans="1:5" x14ac:dyDescent="0.2">
      <c r="A6284">
        <v>6223</v>
      </c>
      <c r="B6284" s="138">
        <f>'Acct Summary 7-8'!K83</f>
        <v>0.22104052596226262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168065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168065</v>
      </c>
      <c r="D6301" s="2" t="str">
        <f t="shared" si="97"/>
        <v>Error?</v>
      </c>
      <c r="E6301" s="2" t="s">
        <v>199</v>
      </c>
    </row>
    <row r="6302" spans="1:5" x14ac:dyDescent="0.2">
      <c r="A6302">
        <v>6241</v>
      </c>
      <c r="B6302" s="138">
        <f>'Revenues 9-14'!J14</f>
        <v>112</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112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168189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72542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97972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163908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168189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4236</v>
      </c>
      <c r="D7073" s="2" t="str">
        <f t="shared" si="109"/>
        <v>Error?</v>
      </c>
    </row>
    <row r="7074" spans="1:4" x14ac:dyDescent="0.2">
      <c r="A7074">
        <v>7013</v>
      </c>
      <c r="B7074" s="138">
        <f>'Expenditures 15-22'!K216</f>
        <v>4236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15555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15555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5105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5105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25968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25968</v>
      </c>
      <c r="D7153" s="2" t="str">
        <f t="shared" si="110"/>
        <v>Error?</v>
      </c>
    </row>
    <row r="7154" spans="1:4" x14ac:dyDescent="0.2">
      <c r="A7154">
        <v>7093</v>
      </c>
      <c r="B7154" s="138">
        <f>'Expenditures 15-22'!C323</f>
        <v>117280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117280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117280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46628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163908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117280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46628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163908</v>
      </c>
      <c r="D7224" s="2" t="str">
        <f t="shared" si="111"/>
        <v>Error?</v>
      </c>
    </row>
    <row r="7225" spans="1:4" x14ac:dyDescent="0.2">
      <c r="A7225">
        <v>7164</v>
      </c>
      <c r="B7225" s="138">
        <f>'Expenditures 15-22'!K343</f>
        <v>4281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20278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5152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131433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17364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La Harpe CSD 347</v>
      </c>
      <c r="B7" s="2420"/>
      <c r="C7" s="2420"/>
      <c r="D7" s="2421"/>
      <c r="E7" s="2422">
        <f>COVER!A13</f>
        <v>26034347004</v>
      </c>
      <c r="F7" s="2423"/>
      <c r="G7" s="2429" t="str">
        <f>COVER!T23</f>
        <v>066-004856</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Dennis G. Koch &amp; Associates LLC</v>
      </c>
      <c r="H9" s="2435"/>
      <c r="I9" s="2435"/>
      <c r="J9" s="2435"/>
      <c r="K9" s="2435"/>
      <c r="L9" s="2436"/>
    </row>
    <row r="10" spans="1:29" ht="13.5" customHeight="1" x14ac:dyDescent="0.2">
      <c r="A10" s="2409" t="str">
        <f>COVER!A38</f>
        <v>Jo Campbell</v>
      </c>
      <c r="B10" s="2410"/>
      <c r="C10" s="2410"/>
      <c r="D10" s="2410"/>
      <c r="E10" s="2410"/>
      <c r="F10" s="2411"/>
      <c r="G10" s="2403" t="str">
        <f>COVER!T17</f>
        <v>1706 N 16th Street</v>
      </c>
      <c r="H10" s="2404"/>
      <c r="I10" s="2404"/>
      <c r="J10" s="2404"/>
      <c r="K10" s="2404"/>
      <c r="L10" s="2405"/>
    </row>
    <row r="11" spans="1:29" ht="13.5" customHeight="1" x14ac:dyDescent="0.2">
      <c r="A11" s="1185" t="s">
        <v>1599</v>
      </c>
      <c r="B11" s="1186"/>
      <c r="C11" s="1187"/>
      <c r="D11" s="1192"/>
      <c r="E11" s="1187"/>
      <c r="F11" s="1191"/>
      <c r="G11" s="2403" t="str">
        <f>COVER!T19</f>
        <v>Quincy</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dgkoch@dgkochcpa.com</v>
      </c>
      <c r="J13" s="2416"/>
      <c r="K13" s="2416"/>
      <c r="L13" s="2417"/>
    </row>
    <row r="14" spans="1:29" ht="13.5" customHeight="1" x14ac:dyDescent="0.2">
      <c r="A14" s="2403" t="str">
        <f>COVER!A19</f>
        <v>404 W. Main St</v>
      </c>
      <c r="B14" s="2404"/>
      <c r="C14" s="2404"/>
      <c r="D14" s="2404"/>
      <c r="E14" s="2404"/>
      <c r="F14" s="2405"/>
      <c r="G14" s="1196" t="s">
        <v>1247</v>
      </c>
      <c r="H14" s="1194"/>
      <c r="I14" s="1194"/>
      <c r="J14" s="1194"/>
      <c r="K14" s="1194"/>
      <c r="L14" s="1195"/>
    </row>
    <row r="15" spans="1:29" ht="13.5" customHeight="1" x14ac:dyDescent="0.2">
      <c r="A15" s="2403" t="str">
        <f>COVER!A21</f>
        <v>La Harpe</v>
      </c>
      <c r="B15" s="2404"/>
      <c r="C15" s="2404"/>
      <c r="D15" s="2404"/>
      <c r="E15" s="2404"/>
      <c r="F15" s="2405"/>
      <c r="G15" s="2400" t="str">
        <f>COVER!T15</f>
        <v>Dennis G. Koch</v>
      </c>
      <c r="H15" s="2401"/>
      <c r="I15" s="2401"/>
      <c r="J15" s="2401"/>
      <c r="K15" s="2401"/>
      <c r="L15" s="2402"/>
    </row>
    <row r="16" spans="1:29" ht="12.2" customHeight="1" x14ac:dyDescent="0.2">
      <c r="A16" s="2425">
        <f>COVER!A25</f>
        <v>62330</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217-224-8484</v>
      </c>
      <c r="H18" s="2420"/>
      <c r="I18" s="2420"/>
      <c r="J18" s="2420"/>
      <c r="K18" s="2419" t="str">
        <f>COVER!X21</f>
        <v>217-224-0504</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La Harpe CSD 347</v>
      </c>
      <c r="B1" s="2418"/>
      <c r="C1" s="2418"/>
      <c r="D1" s="2418"/>
    </row>
    <row r="2" spans="1:11" s="1215" customFormat="1" ht="12.75" x14ac:dyDescent="0.2">
      <c r="A2" s="2442">
        <f>'Single Audit Cover'!E7</f>
        <v>26034347004</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La Harpe CSD 347</v>
      </c>
      <c r="B1" s="2445"/>
      <c r="C1" s="2445"/>
      <c r="D1" s="2445"/>
      <c r="E1" s="2445"/>
    </row>
    <row r="2" spans="1:5" x14ac:dyDescent="0.2">
      <c r="A2" s="2446">
        <f>'Single Audit Cover'!E7</f>
        <v>26034347004</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154116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20248</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-20325</v>
      </c>
    </row>
    <row r="19" spans="1:4" ht="13.5" thickBot="1" x14ac:dyDescent="0.25">
      <c r="A19" s="1265" t="s">
        <v>1297</v>
      </c>
      <c r="D19" s="1266">
        <f>SUM(D10:D17)</f>
        <v>154039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154039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154039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La Harpe CSD 347</v>
      </c>
      <c r="B1" s="2458"/>
      <c r="C1" s="2458"/>
      <c r="D1" s="2458"/>
      <c r="E1" s="2458"/>
      <c r="F1" s="2458"/>
    </row>
    <row r="2" spans="1:7" ht="13.5" customHeight="1" x14ac:dyDescent="0.2">
      <c r="A2" s="2459">
        <f>'Single Audit Cover'!E7</f>
        <v>26034347004</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La Harpe CSD 347</v>
      </c>
      <c r="C1" s="2462"/>
      <c r="D1" s="2462"/>
      <c r="E1" s="2462"/>
      <c r="F1" s="2462"/>
      <c r="G1" s="2462"/>
      <c r="H1" s="2462"/>
      <c r="I1" s="2462"/>
      <c r="J1" s="2462"/>
      <c r="K1" s="2462"/>
      <c r="L1" s="2462"/>
      <c r="M1" s="2462"/>
    </row>
    <row r="2" spans="2:14" ht="15" x14ac:dyDescent="0.2">
      <c r="B2" s="2459">
        <f>'Single Audit Cover'!E7</f>
        <v>26034347004</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La Harpe CSD 347</v>
      </c>
      <c r="C1" s="2477"/>
      <c r="D1" s="2477"/>
      <c r="E1" s="2477"/>
      <c r="F1" s="2477"/>
      <c r="G1" s="2477"/>
      <c r="H1" s="2477"/>
      <c r="I1" s="2477"/>
      <c r="J1" s="1422"/>
    </row>
    <row r="2" spans="2:10" s="317" customFormat="1" ht="12.75" customHeight="1" x14ac:dyDescent="0.2">
      <c r="B2" s="2478">
        <f>'Single Audit Cover'!E7</f>
        <v>26034347004</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1951</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La Harpe CSD 347</v>
      </c>
      <c r="C1" s="2476"/>
      <c r="D1" s="2476"/>
      <c r="E1" s="2476"/>
      <c r="F1" s="2476"/>
      <c r="G1" s="2476"/>
      <c r="H1" s="2476"/>
      <c r="I1" s="2476"/>
      <c r="J1" s="2476"/>
      <c r="K1" s="2476"/>
      <c r="L1" s="1374"/>
      <c r="M1" s="1374"/>
    </row>
    <row r="2" spans="1:13" ht="12" customHeight="1" x14ac:dyDescent="0.2">
      <c r="B2" s="2478">
        <f>'Single Audit Cover'!E7</f>
        <v>26034347004</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La Harpe CSD 347</v>
      </c>
      <c r="C1" s="2499"/>
      <c r="D1" s="2499"/>
      <c r="E1" s="2499"/>
      <c r="F1" s="2499"/>
      <c r="G1" s="2499"/>
      <c r="H1" s="2499"/>
      <c r="I1" s="2499"/>
      <c r="J1" s="2499"/>
      <c r="K1" s="2499"/>
      <c r="L1" s="1465"/>
    </row>
    <row r="2" spans="1:12" ht="12.75" customHeight="1" x14ac:dyDescent="0.2">
      <c r="B2" s="2500">
        <f>'Single Audit Cover'!E7</f>
        <v>26034347004</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La Harpe CSD 347</v>
      </c>
      <c r="C1" s="2476"/>
      <c r="D1" s="2476"/>
      <c r="E1" s="1491"/>
    </row>
    <row r="2" spans="2:5" s="1282" customFormat="1" ht="12.75" customHeight="1" x14ac:dyDescent="0.2">
      <c r="B2" s="2478">
        <f>'Single Audit Cover'!E7</f>
        <v>26034347004</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purl.org/dc/terms/"/>
    <ds:schemaRef ds:uri="http://schemas.microsoft.com/sharepoint/v3"/>
    <ds:schemaRef ds:uri="4d435f69-8686-490b-bd6d-b153bf22ab50"/>
    <ds:schemaRef ds:uri="http://schemas.microsoft.com/office/2006/documentManagement/types"/>
    <ds:schemaRef ds:uri="6ce3111e-7420-4802-b50a-75d4e9a0b980"/>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2018-10-12T20:34:04Z</cp:lastPrinted>
  <dcterms:created xsi:type="dcterms:W3CDTF">2003-10-29T19:06:34Z</dcterms:created>
  <dcterms:modified xsi:type="dcterms:W3CDTF">2018-10-22T18:55:54Z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