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L3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G39" i="108" s="1"/>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s="1"/>
  <c r="B6325" i="106"/>
  <c r="D6325" i="106" s="1"/>
  <c r="B6326" i="106"/>
  <c r="D6326" i="106" s="1"/>
  <c r="B6327" i="106"/>
  <c r="D6327" i="106" s="1"/>
  <c r="B6328" i="106"/>
  <c r="D6328" i="106"/>
  <c r="B6329" i="106"/>
  <c r="D6329" i="106" s="1"/>
  <c r="B6330" i="106"/>
  <c r="D6330" i="106"/>
  <c r="B6331" i="106"/>
  <c r="D6331" i="106" s="1"/>
  <c r="B6332" i="106"/>
  <c r="D6332" i="106" s="1"/>
  <c r="B6333" i="106"/>
  <c r="D6333" i="106" s="1"/>
  <c r="B6334" i="106"/>
  <c r="D6334" i="106" s="1"/>
  <c r="B6335" i="106"/>
  <c r="D6335" i="106" s="1"/>
  <c r="B6336" i="106"/>
  <c r="D6336" i="106"/>
  <c r="B6337" i="106"/>
  <c r="D6337" i="106" s="1"/>
  <c r="B6338" i="106"/>
  <c r="D6338" i="106"/>
  <c r="B6339" i="106"/>
  <c r="D6339" i="106" s="1"/>
  <c r="B6340" i="106"/>
  <c r="D6340" i="106" s="1"/>
  <c r="B6341" i="106"/>
  <c r="D6341" i="106" s="1"/>
  <c r="B6342" i="106"/>
  <c r="D6342" i="106" s="1"/>
  <c r="B6343" i="106"/>
  <c r="D6343" i="106" s="1"/>
  <c r="B6344" i="106"/>
  <c r="D6344" i="106"/>
  <c r="B6345" i="106"/>
  <c r="D6345" i="106" s="1"/>
  <c r="B6346" i="106"/>
  <c r="D6346" i="106"/>
  <c r="B6347" i="106"/>
  <c r="D6347" i="106" s="1"/>
  <c r="B6348" i="106"/>
  <c r="D6348" i="106" s="1"/>
  <c r="B6349" i="106"/>
  <c r="D6349" i="106" s="1"/>
  <c r="B6350" i="106"/>
  <c r="D6350" i="106" s="1"/>
  <c r="B6353" i="106"/>
  <c r="D6353" i="106" s="1"/>
  <c r="B6354" i="106"/>
  <c r="D6354" i="106"/>
  <c r="B6355" i="106"/>
  <c r="D6355" i="106" s="1"/>
  <c r="B6356" i="106"/>
  <c r="D6356" i="106"/>
  <c r="B6358" i="106"/>
  <c r="D6358" i="106" s="1"/>
  <c r="B6359" i="106"/>
  <c r="D6359" i="106" s="1"/>
  <c r="B6360" i="106"/>
  <c r="D6360" i="106" s="1"/>
  <c r="B6361" i="106"/>
  <c r="D6361" i="106" s="1"/>
  <c r="B6362" i="106"/>
  <c r="D6362" i="106" s="1"/>
  <c r="B6363" i="106"/>
  <c r="D6363" i="106"/>
  <c r="B6364" i="106"/>
  <c r="D6364" i="106" s="1"/>
  <c r="B6365" i="106"/>
  <c r="D6365" i="106"/>
  <c r="B6366" i="106"/>
  <c r="D6366" i="106" s="1"/>
  <c r="B6367" i="106"/>
  <c r="D6367" i="106" s="1"/>
  <c r="B6368" i="106"/>
  <c r="D6368" i="106" s="1"/>
  <c r="B6369" i="106"/>
  <c r="D6369" i="106" s="1"/>
  <c r="B6370" i="106"/>
  <c r="D6370" i="106" s="1"/>
  <c r="B6371" i="106"/>
  <c r="D6371" i="106"/>
  <c r="B6372" i="106"/>
  <c r="D6372" i="106" s="1"/>
  <c r="B6373" i="106"/>
  <c r="D6373" i="106"/>
  <c r="B6374" i="106"/>
  <c r="D6374" i="106" s="1"/>
  <c r="B6375" i="106"/>
  <c r="D6375" i="106" s="1"/>
  <c r="B6376" i="106"/>
  <c r="D6376" i="106" s="1"/>
  <c r="B6377" i="106"/>
  <c r="D6377" i="106" s="1"/>
  <c r="B6378" i="106"/>
  <c r="D6378" i="106" s="1"/>
  <c r="B6379" i="106"/>
  <c r="D6379" i="106"/>
  <c r="B6380" i="106"/>
  <c r="D6380" i="106" s="1"/>
  <c r="B6381" i="106"/>
  <c r="D6381" i="106"/>
  <c r="B6382" i="106"/>
  <c r="D6382" i="106" s="1"/>
  <c r="B6383" i="106"/>
  <c r="D6383" i="106" s="1"/>
  <c r="B6384" i="106"/>
  <c r="D6384" i="106" s="1"/>
  <c r="B6385" i="106"/>
  <c r="D6385" i="106" s="1"/>
  <c r="B6386" i="106"/>
  <c r="D6386" i="106" s="1"/>
  <c r="B6387" i="106"/>
  <c r="D6387" i="106"/>
  <c r="B6388" i="106"/>
  <c r="D6388" i="106" s="1"/>
  <c r="B6389" i="106"/>
  <c r="D6389" i="106"/>
  <c r="B6390" i="106"/>
  <c r="D6390" i="106" s="1"/>
  <c r="B6391" i="106"/>
  <c r="D6391" i="106" s="1"/>
  <c r="B6392" i="106"/>
  <c r="D6392" i="106" s="1"/>
  <c r="B6393" i="106"/>
  <c r="D6393" i="106" s="1"/>
  <c r="B6394" i="106"/>
  <c r="D6394" i="106" s="1"/>
  <c r="B6395" i="106"/>
  <c r="D6395" i="106"/>
  <c r="B6398" i="106"/>
  <c r="D6398" i="106" s="1"/>
  <c r="B6399" i="106"/>
  <c r="D6399" i="106"/>
  <c r="B6401" i="106"/>
  <c r="D6401" i="106" s="1"/>
  <c r="B6402" i="106"/>
  <c r="D6402" i="106" s="1"/>
  <c r="B6403" i="106"/>
  <c r="D6403" i="106" s="1"/>
  <c r="B6404" i="106"/>
  <c r="D6404" i="106" s="1"/>
  <c r="B6405" i="106"/>
  <c r="D6405" i="106" s="1"/>
  <c r="B6406" i="106"/>
  <c r="D6406" i="106"/>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31" i="108"/>
  <c r="F36" i="108"/>
  <c r="F37" i="108"/>
  <c r="G28" i="108"/>
  <c r="E29" i="108"/>
  <c r="E30" i="108"/>
  <c r="G30" i="108"/>
  <c r="D31" i="108"/>
  <c r="D36" i="108"/>
  <c r="D37" i="108"/>
  <c r="E31" i="108"/>
  <c r="G31" i="108"/>
  <c r="E33" i="108"/>
  <c r="G33" i="108"/>
  <c r="E34"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D109" i="5" s="1"/>
  <c r="B5356" i="106" s="1"/>
  <c r="D5356"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72" i="5"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F127" i="34" s="1"/>
  <c r="B5232" i="106"/>
  <c r="D5232" i="106" s="1"/>
  <c r="D184" i="5"/>
  <c r="B5425" i="106" s="1"/>
  <c r="D5425" i="106" s="1"/>
  <c r="F184" i="5"/>
  <c r="B5658" i="106"/>
  <c r="D5658" i="106" s="1"/>
  <c r="G184" i="5"/>
  <c r="B5784" i="106" s="1"/>
  <c r="D5784" i="106" s="1"/>
  <c r="H184" i="5"/>
  <c r="B5908" i="106"/>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F136" i="34"/>
  <c r="F131" i="34"/>
  <c r="F111" i="34"/>
  <c r="B5847" i="106"/>
  <c r="D5847" i="106" s="1"/>
  <c r="B5752" i="106"/>
  <c r="D5752" i="106" s="1"/>
  <c r="K274" i="5"/>
  <c r="H173" i="5"/>
  <c r="B5906" i="106" s="1"/>
  <c r="D5906" i="106" s="1"/>
  <c r="F106" i="34"/>
  <c r="H6" i="4"/>
  <c r="B2656" i="106" s="1"/>
  <c r="D2656" i="106" s="1"/>
  <c r="B1746" i="106"/>
  <c r="D1746" i="106" s="1"/>
  <c r="D11" i="7"/>
  <c r="B1768" i="106" s="1"/>
  <c r="D1768" i="106" s="1"/>
  <c r="D15" i="7"/>
  <c r="B1772" i="106" s="1"/>
  <c r="D1772" i="106" s="1"/>
  <c r="G173" i="5" l="1"/>
  <c r="B5778" i="106" s="1"/>
  <c r="D5778" i="106" s="1"/>
  <c r="B5770" i="106"/>
  <c r="D5770" i="106" s="1"/>
  <c r="C172" i="5"/>
  <c r="B5214" i="106" s="1"/>
  <c r="D5214" i="106" s="1"/>
  <c r="D5" i="7"/>
  <c r="B1761" i="106" s="1"/>
  <c r="D1761" i="106" s="1"/>
  <c r="B5334" i="106"/>
  <c r="D5334" i="106" s="1"/>
  <c r="F42" i="34"/>
  <c r="D17" i="7"/>
  <c r="B4104" i="106" s="1"/>
  <c r="D4104" i="106" s="1"/>
  <c r="D9" i="7"/>
  <c r="B1767" i="106" s="1"/>
  <c r="D1767" i="106" s="1"/>
  <c r="J274" i="5"/>
  <c r="B7054" i="106" s="1"/>
  <c r="D7054" i="106" s="1"/>
  <c r="K173" i="5"/>
  <c r="K6" i="4" s="1"/>
  <c r="B3570" i="106" s="1"/>
  <c r="D3570" i="106" s="1"/>
  <c r="F172" i="5"/>
  <c r="B5644" i="106" s="1"/>
  <c r="D5644" i="106" s="1"/>
  <c r="L312" i="29"/>
  <c r="F50" i="34"/>
  <c r="F44" i="34"/>
  <c r="B6238" i="106"/>
  <c r="D6238" i="106" s="1"/>
  <c r="J77" i="4"/>
  <c r="B6262" i="106" s="1"/>
  <c r="D6262" i="106" s="1"/>
  <c r="K24" i="12"/>
  <c r="B7733" i="106" s="1"/>
  <c r="D7733" i="106" s="1"/>
  <c r="L13" i="11"/>
  <c r="B2060" i="106" s="1"/>
  <c r="D2060" i="106" s="1"/>
  <c r="G210" i="29"/>
  <c r="E174" i="29"/>
  <c r="B1309" i="106" s="1"/>
  <c r="D1309" i="106" s="1"/>
  <c r="B3621" i="106"/>
  <c r="D3621" i="106" s="1"/>
  <c r="C367" i="29"/>
  <c r="I24" i="12"/>
  <c r="B1329" i="106"/>
  <c r="D1329" i="106" s="1"/>
  <c r="F61" i="34"/>
  <c r="B279" i="106"/>
  <c r="D279" i="106" s="1"/>
  <c r="M40" i="3"/>
  <c r="F128" i="34"/>
  <c r="K76" i="4"/>
  <c r="B3586" i="106" s="1"/>
  <c r="D3586" i="106" s="1"/>
  <c r="L15" i="11"/>
  <c r="B3459" i="106" s="1"/>
  <c r="D3459" i="106" s="1"/>
  <c r="K26" i="12"/>
  <c r="B7743" i="106" s="1"/>
  <c r="D7743" i="106" s="1"/>
  <c r="F19" i="7"/>
  <c r="B1807" i="106" s="1"/>
  <c r="D1807" i="106" s="1"/>
  <c r="D11" i="37"/>
  <c r="H29" i="118"/>
  <c r="K28" i="118" s="1"/>
  <c r="O27" i="118" s="1"/>
  <c r="O29" i="118" s="1"/>
  <c r="D31" i="36"/>
  <c r="H33" i="118"/>
  <c r="B3649" i="106"/>
  <c r="D3649" i="106" s="1"/>
  <c r="G367" i="29"/>
  <c r="B3650" i="106" s="1"/>
  <c r="D3650" i="106" s="1"/>
  <c r="B3647" i="106"/>
  <c r="D3647" i="106" s="1"/>
  <c r="K350" i="29"/>
  <c r="D12" i="7"/>
  <c r="B1769" i="106" s="1"/>
  <c r="D1769" i="106" s="1"/>
  <c r="C342" i="29"/>
  <c r="B7216" i="106" s="1"/>
  <c r="D7216" i="106" s="1"/>
  <c r="I342" i="29"/>
  <c r="B7222" i="106" s="1"/>
  <c r="D7222" i="106" s="1"/>
  <c r="H109" i="5"/>
  <c r="B1410" i="106"/>
  <c r="D1410" i="106" s="1"/>
  <c r="G109" i="5"/>
  <c r="G29" i="108"/>
  <c r="K184" i="29"/>
  <c r="F13" i="4" s="1"/>
  <c r="B2596" i="106" s="1"/>
  <c r="D2596" i="106" s="1"/>
  <c r="D7" i="7"/>
  <c r="B1763" i="106" s="1"/>
  <c r="D1763" i="106" s="1"/>
  <c r="F28" i="108"/>
  <c r="F41" i="108" s="1"/>
  <c r="G43" i="108" s="1"/>
  <c r="D4" i="4"/>
  <c r="B2564" i="106" s="1"/>
  <c r="D2564" i="106" s="1"/>
  <c r="F52" i="34"/>
  <c r="E35" i="108"/>
  <c r="F38" i="34"/>
  <c r="F130" i="34"/>
  <c r="B4395" i="106"/>
  <c r="D4395" i="106" s="1"/>
  <c r="C173" i="5"/>
  <c r="B5223" i="106" s="1"/>
  <c r="D5223" i="106" s="1"/>
  <c r="D13" i="7"/>
  <c r="B3726" i="106" s="1"/>
  <c r="D3726" i="106" s="1"/>
  <c r="C109" i="5"/>
  <c r="B5121" i="106" s="1"/>
  <c r="D5121" i="106" s="1"/>
  <c r="D4" i="7"/>
  <c r="B1760" i="106" s="1"/>
  <c r="D1760" i="106" s="1"/>
  <c r="L342" i="29"/>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J7" i="4"/>
  <c r="B2657" i="106"/>
  <c r="D2657" i="106" s="1"/>
  <c r="D274" i="5"/>
  <c r="B3447" i="106"/>
  <c r="D3447" i="106" s="1"/>
  <c r="B7270" i="106"/>
  <c r="D7253" i="106" l="1"/>
  <c r="B280" i="106"/>
  <c r="D280" i="106" s="1"/>
  <c r="M41" i="3"/>
  <c r="B1996" i="106"/>
  <c r="D1996" i="106" s="1"/>
  <c r="I26" i="12"/>
  <c r="B7741" i="106" s="1"/>
  <c r="D7741" i="106" s="1"/>
  <c r="B1365" i="106"/>
  <c r="D1365" i="106" s="1"/>
  <c r="F65" i="34"/>
  <c r="F275" i="5"/>
  <c r="D7255" i="106"/>
  <c r="D7252" i="106"/>
  <c r="H367" i="29"/>
  <c r="B3660" i="106" s="1"/>
  <c r="D3660" i="106" s="1"/>
  <c r="H151" i="29"/>
  <c r="B1273" i="106" s="1"/>
  <c r="D1273" i="106" s="1"/>
  <c r="K365" i="29"/>
  <c r="D7256" i="106"/>
  <c r="D7251" i="106"/>
  <c r="L114" i="29"/>
  <c r="L16" i="11"/>
  <c r="B2061" i="106" s="1"/>
  <c r="D2061" i="106" s="1"/>
  <c r="B3670" i="106"/>
  <c r="D3670" i="106" s="1"/>
  <c r="K352" i="29"/>
  <c r="K367" i="29" s="1"/>
  <c r="K342" i="29"/>
  <c r="F13" i="34" s="1"/>
  <c r="B6025" i="106"/>
  <c r="D6025" i="106" s="1"/>
  <c r="H4" i="4"/>
  <c r="B6024" i="106"/>
  <c r="D6024" i="106" s="1"/>
  <c r="G4" i="4"/>
  <c r="B2603" i="106" s="1"/>
  <c r="D2603" i="106" s="1"/>
  <c r="C114" i="29"/>
  <c r="B757" i="106" s="1"/>
  <c r="D757" i="106" s="1"/>
  <c r="C6" i="4"/>
  <c r="B2553" i="106" s="1"/>
  <c r="D2553" i="106" s="1"/>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81" i="106" l="1"/>
  <c r="D281" i="106" s="1"/>
  <c r="D54" i="36"/>
  <c r="K13" i="4"/>
  <c r="B3572" i="106" s="1"/>
  <c r="D3572" i="106" s="1"/>
  <c r="B3672" i="106"/>
  <c r="D3672" i="106" s="1"/>
  <c r="J8" i="4"/>
  <c r="B2655" i="106"/>
  <c r="D2655" i="106" s="1"/>
  <c r="H8" i="4"/>
  <c r="F8" i="4"/>
  <c r="D8" i="14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B2658" i="106"/>
  <c r="D2658" i="106" s="1"/>
  <c r="H10" i="4"/>
  <c r="B4127" i="106" s="1"/>
  <c r="D4127" i="106" s="1"/>
  <c r="B2595" i="106"/>
  <c r="D2595" i="106" s="1"/>
  <c r="F10" i="4"/>
  <c r="B4125" i="106" s="1"/>
  <c r="D412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J41" i="3"/>
  <c r="B6215" i="106"/>
  <c r="D6215" i="106" s="1"/>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B170" i="106"/>
  <c r="D170" i="106" s="1"/>
  <c r="F41" i="3"/>
  <c r="B140" i="106"/>
  <c r="D140" i="106" s="1"/>
  <c r="E41" i="3"/>
  <c r="B124" i="106"/>
  <c r="D124" i="106" s="1"/>
  <c r="D45" i="36"/>
  <c r="B92" i="106"/>
  <c r="D92" i="106" s="1"/>
  <c r="D76" i="36"/>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<sst xmlns="http://schemas.openxmlformats.org/spreadsheetml/2006/main" count="5091" uniqueCount="2129">
  <si>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</si>
  <si>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</si>
  <si>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</si>
  <si>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</si>
  <si>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</si>
  <si>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</si>
  <si>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</si>
  <si>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</si>
  <si>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</si>
  <si>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</si>
  <si>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</si>
  <si>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</si>
  <si>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</si>
  <si>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</si>
  <si>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</si>
  <si>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</si>
  <si>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</si>
  <si>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</si>
  <si>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</si>
  <si>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</si>
  <si>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</si>
  <si>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</si>
  <si>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</si>
  <si>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</si>
  <si>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</si>
  <si>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</si>
  <si>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</si>
  <si>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</si>
  <si>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</si>
  <si>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</si>
  <si>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</si>
  <si>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</si>
  <si>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</si>
  <si>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</si>
  <si>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</si>
  <si>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</si>
  <si>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</si>
  <si>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</si>
  <si>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</si>
  <si>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</si>
  <si>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</si>
  <si>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</si>
  <si>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</si>
  <si>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</si>
  <si>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</si>
  <si>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</si>
  <si>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</si>
  <si>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</si>
  <si>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</si>
  <si>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</si>
  <si>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</si>
  <si>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</si>
  <si>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</si>
  <si>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</si>
  <si>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</si>
  <si>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</si>
  <si>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</si>
  <si>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</si>
  <si>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</si>
  <si>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</si>
  <si>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</si>
  <si>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</si>
  <si>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</si>
  <si>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</si>
  <si>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</si>
  <si>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</si>
  <si>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</si>
  <si>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</si>
  <si>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</si>
  <si>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</si>
  <si>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</si>
  <si>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</si>
  <si>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</si>
  <si>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</si>
  <si>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</si>
  <si>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</si>
  <si>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</si>
  <si>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</si>
  <si>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</si>
  <si>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</si>
  <si>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</si>
  <si>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</si>
  <si>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</si>
  <si>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</si>
  <si>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</si>
  <si>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</si>
  <si>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</si>
  <si>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</si>
  <si>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</si>
  <si>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</si>
  <si>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</si>
  <si>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</si>
  <si>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</si>
  <si>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</si>
  <si>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</si>
  <si>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</si>
  <si>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</si>
  <si>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</si>
  <si>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</si>
  <si>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</si>
  <si>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</si>
  <si>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</si>
  <si>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</si>
  <si>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</si>
  <si>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</si>
  <si>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</si>
  <si>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</si>
  <si>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</si>
  <si>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</si>
  <si>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</si>
  <si>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</si>
  <si>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</si>
  <si>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</si>
  <si>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</si>
  <si>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</si>
  <si>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</si>
  <si>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</si>
  <si>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</si>
  <si>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</si>
  <si>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</si>
  <si>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</si>
  <si>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</si>
  <si>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</si>
  <si>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</si>
  <si>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</si>
  <si>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</si>
  <si>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</si>
  <si>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</si>
  <si>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</si>
  <si>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</si>
  <si>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</si>
  <si>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</si>
  <si>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</si>
  <si>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</si>
  <si>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</si>
  <si>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</si>
  <si>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</si>
  <si>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</si>
  <si>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</si>
  <si>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</si>
  <si>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</si>
  <si>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</si>
  <si>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</si>
  <si>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</si>
  <si>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</si>
  <si>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</si>
  <si>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</si>
  <si>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</si>
  <si>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</si>
  <si>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</si>
  <si>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</si>
  <si>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</si>
  <si>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</si>
  <si>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</si>
  <si>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</si>
  <si>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</si>
  <si>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</si>
  <si>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</si>
  <si>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</si>
  <si>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</si>
  <si>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</si>
  <si>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</si>
  <si>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</si>
  <si>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</si>
  <si>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</si>
  <si>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</si>
  <si>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</si>
  <si>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</si>
  <si>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</si>
  <si>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</si>
  <si>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</si>
  <si>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</si>
  <si>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</si>
  <si>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</si>
  <si>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</si>
  <si>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</si>
  <si>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</si>
  <si>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</si>
  <si>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</si>
  <si>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</si>
  <si>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</si>
  <si>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</si>
  <si>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</si>
  <si>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</si>
  <si>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</si>
  <si>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</si>
  <si>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</si>
  <si>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</si>
  <si>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</si>
  <si>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</si>
  <si>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</si>
  <si>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</si>
  <si>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</si>
  <si>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</si>
  <si>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</si>
  <si>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</si>
  <si>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</si>
  <si>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</si>
  <si>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</si>
  <si>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</si>
  <si>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</si>
  <si>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</si>
  <si>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</si>
  <si>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</si>
  <si>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</si>
  <si>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</si>
  <si>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</si>
  <si>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</si>
  <si>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</si>
  <si>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</si>
  <si>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</si>
  <si>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</si>
  <si>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</si>
  <si>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</si>
  <si>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</si>
  <si>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</si>
  <si>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</si>
  <si>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</si>
  <si>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</si>
  <si>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</si>
  <si>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</si>
  <si>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</si>
  <si>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</si>
  <si>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</si>
  <si>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</si>
  <si>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</si>
  <si>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</si>
  <si>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</si>
  <si>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</si>
  <si>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</si>
  <si>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</si>
  <si>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</si>
  <si>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</si>
  <si>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</si>
  <si>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</si>
  <si>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</si>
  <si>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</si>
  <si>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</si>
  <si>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</si>
  <si>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</si>
  <si>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</si>
  <si>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</si>
  <si>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</si>
  <si>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</si>
  <si>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</si>
  <si>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</si>
  <si>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</si>
  <si>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</si>
  <si>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</si>
  <si>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</si>
  <si>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</si>
  <si>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</si>
  <si>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</si>
  <si>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</si>
  <si>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</si>
  <si>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</si>
  <si>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</si>
  <si>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</si>
  <si>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</si>
  <si>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</si>
  <si>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</si>
  <si>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</si>
  <si>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</si>
  <si>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</si>
  <si>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</si>
  <si>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</si>
  <si>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</si>
  <si>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</si>
  <si>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</si>
  <si>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</si>
  <si>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</si>
  <si>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</si>
  <si>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</si>
  <si>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</si>
  <si>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</si>
  <si>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</si>
  <si>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</si>
  <si>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</si>
  <si>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</si>
  <si>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</si>
  <si>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</si>
  <si>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</si>
  <si>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</si>
  <si>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</si>
  <si>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</si>
  <si>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</si>
  <si>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</si>
  <si>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</si>
  <si>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</si>
  <si>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</si>
  <si>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</si>
  <si>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</si>
  <si>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</si>
  <si>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</si>
  <si>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</si>
  <si>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</si>
  <si>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</si>
  <si>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</si>
  <si>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</si>
  <si>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</si>
  <si>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</si>
  <si>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</si>
  <si>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</si>
  <si>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</si>
  <si>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</si>
  <si>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</si>
  <si>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</si>
  <si>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</si>
  <si>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</si>
  <si>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</si>
  <si>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</si>
  <si>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</si>
  <si>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</si>
  <si>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</si>
  <si>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</si>
  <si>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</si>
  <si>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</si>
  <si>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</si>
  <si>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</si>
  <si>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</si>
  <si>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</si>
  <si>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</si>
  <si>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</si>
  <si>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</si>
  <si>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</si>
  <si>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</si>
  <si>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</si>
  <si>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</si>
  <si>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</si>
  <si>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</si>
  <si>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</si>
  <si>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</si>
  <si>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</si>
  <si>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</si>
  <si>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</si>
  <si>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</si>
  <si>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</si>
  <si>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</si>
  <si>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</si>
  <si>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</si>
  <si>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</si>
  <si>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</si>
  <si>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</si>
  <si>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</si>
  <si>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</si>
  <si>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</si>
  <si>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</si>
  <si>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</si>
  <si>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</si>
  <si>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</si>
  <si>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</si>
  <si>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</si>
  <si>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</si>
  <si>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</si>
  <si>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</si>
  <si>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</si>
  <si>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</si>
  <si>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</si>
  <si>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</si>
  <si>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</si>
  <si>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</si>
  <si>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</si>
  <si>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</si>
  <si>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</si>
  <si>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</si>
  <si>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</si>
  <si>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</si>
  <si>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</si>
  <si>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</si>
  <si>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</si>
  <si>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</si>
  <si>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</si>
  <si>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</si>
  <si>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</si>
  <si>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</si>
  <si>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</si>
  <si>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</si>
  <si>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</si>
  <si>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</si>
  <si>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</si>
  <si>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</si>
  <si>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</si>
  <si>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</si>
  <si>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</si>
  <si>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</si>
  <si>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</si>
  <si>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</si>
  <si>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</si>
  <si>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</si>
  <si>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</si>
  <si>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</si>
  <si>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</si>
  <si>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</si>
  <si>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</si>
  <si>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</si>
  <si>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</si>
  <si>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</si>
  <si>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</si>
  <si>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</si>
  <si>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</si>
  <si>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</si>
  <si>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</si>
  <si>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</si>
  <si>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</si>
  <si>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</si>
  <si>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</si>
  <si>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</si>
  <si>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</si>
  <si>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</si>
  <si>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</si>
  <si>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</si>
  <si>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</si>
  <si>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</si>
  <si>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</si>
  <si>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</si>
  <si>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</si>
  <si>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</si>
  <si>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</si>
  <si>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</si>
  <si>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</si>
  <si>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</si>
  <si>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</si>
  <si>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</si>
  <si>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</si>
  <si>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</si>
  <si>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</si>
  <si>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</si>
  <si>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</si>
  <si>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</si>
  <si>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</si>
  <si>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</si>
  <si>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</si>
  <si>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</si>
  <si>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</si>
  <si>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</si>
  <si>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</si>
  <si>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</si>
  <si>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</si>
  <si>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</si>
  <si>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</si>
  <si>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</si>
  <si>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</si>
  <si>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</si>
  <si>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</si>
  <si>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</si>
  <si>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</si>
  <si>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</si>
  <si>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</si>
  <si>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</si>
  <si>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</si>
  <si>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</si>
  <si>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</si>
  <si>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</si>
  <si>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</si>
  <si>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</si>
  <si>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</si>
  <si>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</si>
  <si>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</si>
  <si>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</si>
  <si>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</si>
  <si>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</si>
  <si>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</si>
  <si>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</si>
  <si>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</si>
  <si>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</si>
  <si>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</si>
  <si>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</si>
  <si>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</si>
  <si>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</si>
  <si>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</si>
  <si>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</si>
  <si>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</si>
  <si>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</si>
  <si>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</si>
  <si>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</si>
  <si>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</si>
  <si>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</si>
  <si>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</si>
  <si>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</si>
  <si>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</si>
  <si>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</si>
  <si>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</si>
  <si>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</si>
  <si>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</si>
  <si>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</si>
  <si>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</si>
  <si>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</si>
  <si>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</si>
  <si>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</si>
  <si>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</si>
  <si>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</si>
  <si>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</si>
  <si>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</si>
  <si>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</si>
  <si>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</si>
  <si>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</si>
  <si>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</si>
  <si>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</si>
  <si>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</si>
  <si>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</si>
  <si>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</si>
  <si>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</si>
  <si>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</si>
  <si>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</si>
  <si>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</si>
  <si>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</si>
  <si>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</si>
  <si>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</si>
  <si>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</si>
  <si>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</si>
  <si>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</si>
  <si>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</si>
  <si>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</si>
  <si>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</si>
  <si>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</si>
  <si>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</si>
  <si>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</si>
  <si>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</si>
  <si>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</si>
  <si>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</si>
  <si>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</si>
  <si>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</si>
  <si>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</si>
  <si>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</si>
  <si>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</si>
  <si>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</si>
  <si>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</si>
  <si>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</si>
  <si>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</si>
  <si>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</si>
  <si>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</si>
  <si>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</si>
  <si>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</si>
  <si>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</si>
  <si>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</si>
  <si>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</si>
  <si>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</si>
  <si>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</si>
  <si>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</si>
  <si>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</si>
  <si>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</si>
  <si>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</si>
  <si>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</si>
  <si>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</si>
  <si>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</si>
  <si>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</si>
  <si>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</si>
  <si>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</si>
  <si>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</si>
  <si>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</si>
  <si>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</si>
  <si>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</si>
  <si>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</si>
  <si>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</si>
  <si>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</si>
  <si>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</si>
  <si>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</si>
  <si>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</si>
  <si>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</si>
  <si>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</si>
  <si>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</si>
  <si>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</si>
  <si>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</si>
  <si>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</si>
  <si>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</si>
  <si>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</si>
  <si>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</si>
  <si>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</si>
  <si>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</si>
  <si>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</si>
  <si>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</si>
  <si>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</si>
  <si>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</si>
  <si>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</si>
  <si>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</si>
  <si>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</si>
  <si>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</si>
  <si>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</si>
  <si>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</si>
  <si>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</si>
  <si>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</si>
  <si>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</si>
  <si>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</si>
  <si>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</si>
  <si>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</si>
  <si>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</si>
  <si>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</si>
  <si>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</si>
  <si>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</si>
  <si>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</si>
  <si>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</si>
  <si>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</si>
  <si>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</si>
  <si>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</si>
  <si>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</si>
  <si>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</si>
  <si>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</si>
  <si>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</si>
  <si>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</si>
  <si>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</si>
  <si>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</si>
  <si>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</si>
  <si>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</si>
  <si>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</si>
  <si>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</si>
  <si>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</si>
  <si>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</si>
  <si>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</si>
  <si>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</si>
  <si>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</si>
  <si>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</si>
  <si>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</si>
  <si>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</si>
  <si>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</si>
  <si>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</si>
  <si>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</si>
  <si>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</si>
  <si>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</si>
  <si>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</si>
  <si>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</si>
  <si>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</si>
  <si>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</si>
  <si>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</si>
  <si>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</si>
  <si>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</si>
  <si>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</si>
  <si>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</si>
  <si>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</si>
  <si>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</si>
  <si>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</si>
  <si>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</si>
  <si>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</si>
  <si>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</si>
  <si>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</si>
  <si>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</si>
  <si>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</si>
  <si>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</si>
  <si>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</si>
  <si>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</si>
  <si>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</si>
  <si>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</si>
  <si>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</si>
  <si>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</si>
  <si>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</si>
  <si>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</si>
  <si>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</si>
  <si>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</si>
  <si>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</si>
  <si>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</si>
  <si>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</si>
  <si>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</si>
  <si>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</si>
  <si>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</si>
  <si>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</si>
  <si>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</si>
  <si>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</si>
  <si>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</si>
  <si>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</si>
  <si>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</si>
  <si>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</si>
  <si>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</si>
  <si>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</si>
  <si>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</si>
  <si>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</si>
  <si>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</si>
  <si>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</si>
  <si>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</si>
  <si>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</si>
  <si>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</si>
  <si>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</si>
  <si>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</si>
  <si>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</si>
  <si>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</si>
  <si>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</si>
  <si>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</si>
  <si>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</si>
  <si>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</si>
  <si>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</si>
  <si>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</si>
  <si>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</si>
  <si>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</si>
  <si>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</si>
  <si>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</si>
  <si>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</si>
  <si>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</si>
  <si>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</si>
  <si>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</si>
  <si>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</si>
  <si>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</si>
  <si>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</si>
  <si>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</si>
  <si>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</si>
  <si>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</si>
  <si>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</si>
  <si>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</si>
  <si>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</si>
  <si>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</si>
  <si>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</si>
  <si>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</si>
  <si>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</si>
  <si>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</si>
  <si>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</si>
  <si>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</si>
  <si>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</si>
  <si>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</si>
  <si>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</si>
  <si>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</si>
  <si>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</si>
  <si>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</si>
  <si>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</si>
  <si>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</si>
  <si>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</si>
  <si>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</si>
  <si>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</si>
  <si>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</si>
  <si>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</si>
  <si>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</si>
  <si>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</si>
  <si>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</si>
  <si>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</si>
  <si>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</si>
  <si>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</si>
  <si>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</si>
  <si>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</si>
  <si>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</si>
  <si>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</si>
  <si>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</si>
  <si>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</si>
  <si>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</si>
  <si>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</si>
  <si>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</si>
  <si>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</si>
  <si>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</si>
  <si>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</si>
  <si>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</si>
  <si>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</si>
  <si>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</si>
  <si>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</si>
  <si>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</si>
  <si>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</si>
  <si>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</si>
  <si>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</si>
  <si>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</si>
  <si>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</si>
  <si>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</si>
  <si>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</si>
  <si>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</si>
  <si>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</si>
  <si>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</si>
  <si>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</si>
  <si>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</si>
  <si>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</si>
  <si>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</si>
  <si>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</si>
  <si>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</si>
  <si>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</si>
  <si>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</si>
  <si>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</si>
  <si>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</si>
  <si>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</si>
  <si>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</si>
  <si>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</si>
  <si>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</si>
  <si>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</si>
  <si>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</si>
  <si>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</si>
  <si>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</si>
  <si>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</si>
  <si>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</si>
  <si>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</si>
  <si>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</si>
  <si>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</si>
  <si>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</si>
  <si>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</si>
  <si>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</si>
  <si>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</si>
  <si>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</si>
  <si>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</si>
  <si>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</si>
  <si>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</si>
  <si>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</si>
  <si>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</si>
  <si>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</si>
  <si>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</si>
  <si>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</si>
  <si>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</si>
  <si>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</si>
  <si>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</si>
  <si>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</si>
  <si>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</si>
  <si>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</si>
  <si>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</si>
  <si>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</si>
  <si>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</si>
  <si>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</si>
  <si>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</si>
  <si>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</si>
  <si>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</si>
  <si>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</si>
  <si>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</si>
  <si>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</si>
  <si>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</si>
  <si>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</si>
  <si>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</si>
  <si>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</si>
  <si>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</si>
  <si>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</si>
  <si>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</si>
  <si>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</si>
  <si>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</si>
  <si>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</si>
  <si>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</si>
  <si>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</si>
  <si>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</si>
  <si>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</si>
  <si>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</si>
  <si>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</si>
  <si>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</si>
  <si>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</si>
  <si>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</si>
  <si>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</si>
  <si>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</si>
  <si>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</si>
  <si>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</si>
  <si>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</si>
  <si>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</si>
  <si>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</si>
  <si>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</si>
  <si>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</si>
  <si>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</si>
  <si>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</si>
  <si>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</si>
  <si>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</si>
  <si>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</si>
  <si>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</si>
  <si>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</si>
  <si>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</si>
  <si>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</si>
  <si>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</si>
  <si>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</si>
  <si>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</si>
  <si>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</si>
  <si>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</si>
  <si>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</si>
  <si>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</si>
  <si>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</si>
  <si>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</si>
  <si>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</si>
  <si>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</si>
  <si>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</si>
  <si>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</si>
  <si>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</si>
  <si>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</si>
  <si>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</si>
  <si>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</si>
  <si>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</si>
  <si>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</si>
  <si>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</si>
  <si>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</si>
  <si>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</si>
  <si>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</si>
  <si>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</si>
  <si>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</si>
  <si>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</si>
  <si>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</si>
  <si>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</si>
  <si>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</si>
  <si>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</si>
  <si>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</si>
  <si>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</si>
  <si>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</si>
  <si>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</si>
  <si>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</si>
  <si>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</si>
  <si>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</si>
  <si>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</si>
  <si>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</si>
  <si>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</si>
  <si>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</si>
  <si>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</si>
  <si>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</si>
  <si>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</si>
  <si>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</si>
  <si>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</si>
  <si>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</si>
  <si>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</si>
  <si>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</si>
  <si>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</si>
  <si>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</si>
  <si>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</si>
  <si>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</si>
  <si>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</si>
  <si>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</si>
  <si>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</si>
  <si>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</si>
  <si>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</si>
  <si>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</si>
  <si>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</si>
  <si>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</si>
  <si>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</si>
  <si>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</si>
  <si>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</si>
  <si>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</si>
  <si>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</si>
  <si>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</si>
  <si>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</si>
  <si>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</si>
  <si>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</si>
  <si>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</si>
  <si>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</si>
  <si>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</si>
  <si>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</si>
  <si>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</si>
  <si>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</si>
  <si>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</si>
  <si>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</si>
  <si>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</si>
  <si>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</si>
  <si>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</si>
  <si>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</si>
  <si>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</si>
  <si>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</si>
  <si>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</si>
  <si>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</si>
  <si>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</si>
  <si>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</si>
  <si>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</si>
  <si>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</si>
  <si>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</si>
  <si>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</si>
  <si>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</si>
  <si>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</si>
  <si>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</si>
  <si>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</si>
  <si>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</si>
  <si>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</si>
  <si>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</si>
  <si>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</si>
  <si>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</si>
  <si>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</si>
  <si>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</si>
  <si>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</si>
  <si>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</si>
  <si>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</si>
  <si>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</si>
  <si>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</si>
  <si>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</si>
  <si>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</si>
  <si>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</si>
  <si>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</si>
  <si>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</si>
  <si>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</si>
  <si>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</si>
  <si>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</si>
  <si>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</si>
  <si>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</si>
  <si>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</si>
  <si>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</si>
  <si>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</si>
  <si>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</si>
  <si>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</si>
  <si>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</si>
  <si>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</si>
  <si>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</si>
  <si>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</si>
  <si>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</si>
  <si>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</si>
  <si>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</si>
  <si>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</si>
  <si>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</si>
  <si>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</si>
  <si>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</si>
  <si>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</si>
  <si>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</si>
  <si>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</si>
  <si>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</si>
  <si>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</si>
  <si>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</si>
  <si>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</si>
  <si>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</si>
  <si>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</si>
  <si>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</si>
  <si>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</si>
  <si>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</si>
  <si>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</si>
  <si>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</si>
  <si>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</si>
  <si>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</si>
  <si>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</si>
  <si>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</si>
  <si>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</si>
  <si>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</si>
  <si>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</si>
  <si>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</si>
  <si>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</si>
  <si>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</si>
  <si>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</si>
  <si>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</si>
  <si>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</si>
  <si>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</si>
  <si>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</si>
  <si>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</si>
  <si>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</si>
  <si>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</si>
  <si>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</si>
  <si>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</si>
  <si>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</si>
  <si>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</si>
  <si>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</si>
  <si>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</si>
  <si>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</si>
  <si>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</si>
  <si>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</si>
  <si>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</si>
  <si>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</si>
  <si>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</si>
  <si>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</si>
  <si>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</si>
  <si>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</si>
  <si>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</si>
  <si>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</si>
  <si>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</si>
  <si>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</si>
  <si>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</si>
  <si>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</si>
  <si>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</si>
  <si>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</si>
  <si>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</si>
  <si>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</si>
  <si>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</si>
  <si>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</si>
  <si>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</si>
  <si>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</si>
  <si>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</si>
  <si>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</si>
  <si>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</si>
  <si>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</si>
  <si>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</si>
  <si>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</si>
  <si>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</si>
  <si>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</si>
  <si>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</si>
  <si>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</si>
  <si>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</si>
  <si>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</si>
  <si>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</si>
  <si>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</si>
  <si>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</si>
  <si>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</si>
  <si>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</si>
  <si>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</si>
  <si>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</si>
  <si>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</si>
  <si>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</si>
  <si>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</si>
  <si>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</si>
  <si>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</si>
  <si>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</si>
  <si>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</si>
  <si>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</si>
  <si>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</si>
  <si>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</si>
  <si>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</si>
  <si>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</si>
  <si>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</si>
  <si>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</si>
  <si>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</si>
  <si>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</si>
  <si>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</si>
  <si>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</si>
  <si>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</si>
  <si>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</si>
  <si>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</si>
  <si>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</si>
  <si>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</si>
  <si>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</si>
  <si>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</si>
  <si>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</si>
  <si>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</si>
  <si>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</si>
  <si>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</si>
  <si>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</si>
  <si>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</si>
  <si>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</si>
  <si>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</si>
  <si>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</si>
  <si>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</si>
  <si>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</si>
  <si>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</si>
  <si>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</si>
  <si>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</si>
  <si>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</si>
  <si>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</si>
  <si>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</si>
  <si>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</si>
  <si>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</si>
  <si>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</si>
  <si>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</si>
  <si>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</si>
  <si>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</si>
  <si>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</si>
  <si>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</si>
  <si>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</si>
  <si>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</si>
  <si>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</si>
  <si>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</si>
  <si>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</si>
  <si>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</si>
  <si>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</si>
  <si>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</si>
  <si>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</si>
  <si>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</si>
  <si>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</si>
  <si>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</si>
  <si>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</si>
  <si>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</si>
  <si>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</si>
  <si>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</si>
  <si>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</si>
  <si>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</si>
  <si>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</si>
  <si>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</si>
  <si>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</si>
  <si>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</si>
  <si>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</si>
  <si>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</si>
  <si>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</si>
  <si>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</si>
  <si>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</si>
  <si>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</si>
  <si>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</si>
  <si>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</si>
  <si>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</si>
  <si>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</si>
  <si>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</si>
  <si>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</si>
  <si>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</si>
  <si>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</si>
  <si>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</si>
  <si>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</si>
  <si>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</si>
  <si>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</si>
  <si>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</si>
  <si>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</si>
  <si>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</si>
  <si>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</si>
  <si>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</si>
  <si>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</si>
  <si>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</si>
  <si>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</si>
  <si>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</si>
  <si>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</si>
  <si>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</si>
  <si>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</si>
  <si>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</si>
  <si>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</si>
  <si>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</si>
  <si>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</si>
  <si>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</si>
  <si>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</si>
  <si>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</si>
  <si>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</si>
  <si>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</si>
  <si>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</si>
  <si>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</si>
  <si>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</si>
  <si>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</si>
  <si>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</si>
  <si>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</si>
  <si>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</si>
  <si>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</si>
  <si>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</si>
  <si>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</si>
  <si>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</si>
  <si>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</si>
  <si>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</si>
  <si>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</si>
  <si>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</si>
  <si>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</si>
  <si>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</si>
  <si>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</si>
  <si>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</si>
  <si>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</si>
  <si>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</si>
  <si>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</si>
  <si>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</si>
  <si>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</si>
  <si>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</si>
  <si>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</si>
  <si>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</si>
  <si>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</si>
  <si>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</si>
  <si>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</si>
  <si>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</si>
  <si>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</si>
  <si>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</si>
  <si>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</si>
  <si>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</si>
  <si>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</si>
  <si>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</si>
  <si>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</si>
  <si>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</si>
  <si>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</si>
  <si>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</si>
  <si>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</si>
  <si>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</si>
  <si>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</si>
  <si>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</si>
  <si>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</si>
  <si>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</si>
  <si>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</si>
  <si>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</si>
  <si>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</si>
  <si>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</si>
  <si>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</si>
  <si>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</si>
  <si>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</si>
  <si>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</si>
  <si>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</si>
  <si>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</si>
  <si>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</si>
  <si>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</si>
  <si>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</si>
  <si>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</si>
  <si>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</si>
  <si>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</si>
  <si>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</si>
  <si>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</si>
  <si>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</si>
  <si>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</si>
  <si>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</si>
  <si>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</si>
  <si>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</si>
  <si>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</si>
  <si>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</si>
  <si>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</si>
  <si>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</si>
  <si>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</si>
  <si>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</si>
  <si>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</si>
  <si>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</si>
  <si>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</si>
  <si>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</si>
  <si>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</si>
  <si>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</si>
  <si>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</si>
  <si>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</si>
  <si>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</si>
  <si>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</si>
  <si>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</si>
  <si>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</si>
  <si>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</si>
  <si>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</si>
  <si>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</si>
  <si>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</si>
  <si>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</si>
  <si>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</si>
  <si>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</si>
  <si>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</si>
  <si>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</si>
  <si>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</si>
  <si>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</si>
  <si>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</si>
  <si>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</si>
  <si>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</si>
  <si>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</si>
  <si>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</si>
  <si>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</si>
  <si>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</si>
  <si>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</si>
  <si>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</si>
  <si>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</si>
  <si>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</si>
  <si>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</si>
  <si>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</si>
  <si>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</si>
  <si>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</si>
  <si>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</si>
  <si>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</si>
  <si>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</si>
  <si>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</si>
  <si>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</si>
  <si>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</si>
  <si>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</si>
  <si>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</si>
  <si>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</si>
  <si>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</si>
  <si>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</si>
  <si>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</si>
  <si>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</si>
  <si>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</si>
  <si>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</si>
  <si>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</si>
  <si>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</si>
  <si>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</si>
  <si>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</si>
  <si>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</si>
  <si>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</si>
  <si>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</si>
  <si>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</si>
  <si>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</si>
  <si>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</si>
  <si>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</si>
  <si>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</si>
  <si>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</si>
  <si>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</si>
  <si>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</si>
  <si>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</si>
  <si>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</si>
  <si>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</si>
  <si>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</si>
  <si>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</si>
  <si>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</si>
  <si>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</si>
  <si>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</si>
  <si>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</si>
  <si>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</si>
  <si>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</si>
  <si>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</si>
  <si>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</si>
  <si>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</si>
  <si>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</si>
  <si>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</si>
  <si>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</si>
  <si>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</si>
  <si>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</si>
  <si>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</si>
  <si>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</si>
  <si>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</si>
  <si>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</si>
  <si>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</si>
  <si>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</si>
  <si>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</si>
  <si>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</si>
  <si>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</si>
  <si>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</si>
  <si>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</si>
  <si>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</si>
  <si>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</si>
  <si>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</si>
  <si>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</si>
  <si>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</si>
  <si>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</si>
  <si>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</si>
  <si>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</si>
  <si>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</si>
  <si>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</si>
  <si>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</si>
  <si>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</si>
  <si>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</si>
  <si>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</si>
  <si>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</si>
  <si>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</si>
  <si>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</si>
  <si>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</si>
  <si>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</si>
  <si>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</si>
  <si>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</si>
  <si>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</si>
  <si>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</si>
  <si>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</si>
  <si>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</si>
  <si>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</si>
  <si>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</si>
  <si>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</si>
  <si>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</si>
  <si>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</si>
  <si>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</si>
  <si>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</si>
  <si>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</si>
  <si>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</si>
  <si>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</si>
  <si>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</si>
  <si>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</si>
  <si>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</si>
  <si>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</si>
  <si>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</si>
  <si>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</si>
  <si>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</si>
  <si>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</si>
  <si>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</si>
  <si>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</si>
  <si>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</si>
  <si>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</si>
  <si>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</si>
  <si>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</si>
  <si>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</si>
  <si>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</si>
  <si>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</si>
  <si>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</si>
  <si>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</si>
  <si>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</si>
  <si>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</si>
  <si>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</si>
  <si>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</si>
  <si>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</si>
  <si>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</si>
  <si>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</si>
  <si>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</si>
  <si>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</si>
  <si>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</si>
  <si>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</si>
  <si>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</si>
  <si>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</si>
  <si>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</si>
  <si>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</si>
  <si>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</si>
  <si>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</si>
  <si>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</si>
  <si>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</si>
  <si>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</si>
  <si>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</si>
  <si>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</si>
  <si>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</si>
  <si>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</si>
  <si>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</si>
  <si>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</si>
  <si>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</si>
  <si>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</si>
  <si>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</si>
  <si>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</si>
  <si>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</si>
  <si>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</si>
  <si>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</si>
  <si>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</si>
  <si>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</si>
  <si>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</si>
  <si>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</si>
  <si>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</si>
  <si>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</si>
  <si>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</si>
  <si>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</si>
  <si>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</si>
  <si>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</si>
  <si>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</si>
  <si>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</si>
  <si>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</si>
  <si>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</si>
  <si>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</si>
  <si>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</si>
  <si>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</si>
  <si>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</si>
  <si>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</si>
  <si>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</si>
  <si>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</si>
  <si>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</si>
  <si>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</si>
  <si>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</si>
  <si>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</si>
  <si>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</si>
  <si>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</si>
  <si>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</si>
  <si>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</si>
  <si>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</si>
  <si>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</si>
  <si>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</si>
  <si>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</si>
  <si>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</si>
  <si>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</si>
  <si>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</si>
  <si>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</si>
  <si>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</si>
  <si>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</si>
  <si>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</si>
  <si>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</si>
  <si>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</si>
  <si>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</si>
  <si>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</si>
  <si>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</si>
  <si>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</si>
  <si>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</si>
  <si>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</si>
  <si>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</si>
  <si>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</si>
  <si>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</si>
  <si>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</si>
  <si>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</si>
  <si>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</si>
  <si>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</si>
  <si>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</si>
  <si>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</si>
  <si>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</si>
  <si>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</si>
  <si>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</si>
  <si>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</si>
  <si>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</si>
  <si>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</si>
  <si>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</si>
  <si>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</si>
  <si>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</si>
  <si>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</si>
  <si>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</si>
  <si>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</si>
  <si>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</si>
  <si>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</si>
  <si>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</si>
  <si>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</si>
  <si>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</si>
  <si>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</si>
  <si>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</si>
  <si>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</si>
  <si>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</si>
  <si>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</si>
  <si>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</si>
  <si>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</si>
  <si>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</si>
  <si>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</si>
  <si>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</si>
  <si>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</si>
  <si>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</si>
  <si>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</si>
  <si>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</si>
  <si>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</si>
  <si>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</si>
  <si>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</si>
  <si>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</si>
  <si>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</si>
  <si>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</si>
  <si>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</si>
  <si>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</si>
  <si>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</si>
  <si>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</si>
  <si>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</si>
  <si>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</si>
  <si>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</si>
  <si>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</si>
  <si>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</si>
  <si>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</si>
  <si>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</si>
  <si>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</si>
  <si>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</si>
  <si>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</si>
  <si>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</si>
  <si>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</si>
  <si>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</si>
  <si>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</si>
  <si>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</si>
  <si>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</si>
  <si>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</si>
  <si>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</si>
  <si>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</si>
  <si>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</si>
  <si>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</si>
  <si>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</si>
  <si>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</si>
  <si>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</si>
  <si>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</si>
  <si>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</si>
  <si>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</si>
  <si>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</si>
  <si>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</si>
  <si>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</si>
  <si>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</si>
  <si>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</si>
  <si>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</si>
  <si>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</si>
  <si>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</si>
  <si>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</si>
  <si>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</si>
  <si>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</si>
  <si>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</si>
  <si>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</si>
  <si>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</si>
  <si>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</si>
  <si>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</si>
  <si>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</si>
  <si>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</si>
  <si>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</si>
  <si>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</si>
  <si>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</si>
  <si>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</si>
  <si>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</si>
  <si>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</si>
  <si>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</si>
  <si>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</si>
  <si>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</si>
  <si>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</si>
  <si>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</si>
  <si>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</si>
  <si>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</si>
  <si>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</si>
  <si>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</si>
  <si>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</si>
  <si>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</si>
  <si>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</si>
  <si>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</si>
  <si>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</si>
  <si>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</si>
  <si>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</si>
  <si>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</si>
  <si>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</si>
  <si>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</si>
  <si>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</si>
  <si>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</si>
  <si>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</si>
  <si>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</si>
  <si>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</si>
  <si>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</si>
  <si>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</si>
  <si>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</si>
  <si>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</si>
  <si>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</si>
  <si>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</si>
  <si>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</si>
  <si>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</si>
  <si>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</si>
  <si>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</si>
  <si>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</si>
  <si>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</si>
  <si>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</si>
  <si>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</si>
  <si>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</si>
  <si>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</si>
  <si>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</si>
  <si>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</si>
  <si>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</si>
  <si>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</si>
  <si>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</si>
  <si>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</si>
  <si>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</si>
  <si>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</si>
  <si>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</si>
  <si>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</si>
  <si>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</si>
  <si>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</si>
  <si>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</si>
  <si>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</si>
  <si>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</si>
  <si>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</si>
  <si>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</si>
  <si>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</si>
  <si>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</si>
  <si>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</si>
  <si>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</si>
  <si>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</si>
  <si>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</si>
  <si>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</si>
  <si>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</si>
  <si>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</si>
  <si>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</si>
  <si>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</si>
  <si>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</si>
  <si>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</si>
  <si>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</si>
  <si>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</si>
  <si>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</si>
  <si>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</si>
  <si>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</si>
  <si>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</si>
  <si>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</si>
  <si>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</si>
  <si>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</si>
  <si>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</si>
  <si>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</si>
  <si>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</si>
  <si>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</si>
  <si>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</si>
  <si>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</si>
  <si>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</si>
  <si>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</si>
  <si>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</si>
  <si>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</si>
  <si>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</si>
  <si>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</si>
  <si>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</si>
  <si>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</si>
  <si>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</si>
  <si>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</si>
  <si>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</si>
  <si>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</si>
  <si>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</si>
  <si>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</si>
  <si>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</si>
  <si>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</si>
  <si>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</si>
  <si>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</si>
  <si>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</si>
  <si>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</si>
  <si>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</si>
  <si>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</si>
  <si>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</si>
  <si>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</si>
  <si>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</si>
  <si>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</si>
  <si>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</si>
  <si>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</si>
  <si>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</si>
  <si>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</si>
  <si>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</si>
  <si>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</si>
  <si>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</si>
  <si>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</si>
  <si>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</si>
  <si>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</si>
  <si>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</si>
  <si>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</si>
  <si>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</si>
  <si>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</si>
  <si>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</si>
  <si>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</si>
  <si>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</si>
  <si>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</si>
  <si>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</si>
  <si>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</si>
  <si>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</si>
  <si>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</si>
  <si>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</si>
  <si>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</si>
  <si>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</si>
  <si>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</si>
  <si>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</si>
  <si>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</si>
  <si>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</si>
  <si>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</si>
  <si>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</si>
  <si>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</si>
  <si>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</si>
  <si>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</si>
  <si>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</si>
  <si>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</si>
  <si>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</si>
  <si>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</si>
  <si>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</si>
  <si>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</si>
  <si>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</si>
  <si>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</si>
  <si>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</si>
  <si>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</si>
  <si>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</si>
  <si>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</si>
  <si>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</si>
  <si>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</si>
  <si>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</si>
  <si>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</si>
  <si>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</si>
  <si>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</si>
  <si>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</si>
  <si>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</si>
  <si>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</si>
  <si>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</si>
  <si>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</si>
  <si>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</si>
  <si>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</si>
  <si>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</si>
  <si>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</si>
  <si>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</si>
  <si>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</si>
  <si>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</si>
  <si>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</si>
  <si>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</si>
  <si>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</si>
  <si>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</si>
  <si>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</si>
  <si>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</si>
  <si>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</si>
  <si>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</si>
  <si>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</si>
  <si>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</si>
  <si>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</si>
  <si>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</si>
  <si>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</si>
  <si>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</si>
  <si>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</si>
  <si>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</si>
  <si>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</si>
  <si>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</si>
  <si>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</si>
  <si>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</si>
  <si>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</si>
  <si>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</si>
  <si>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</si>
  <si>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</si>
  <si>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</si>
  <si>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</si>
  <si>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</si>
  <si>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</si>
  <si>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</si>
  <si>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</si>
  <si>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</si>
  <si>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</si>
  <si>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</si>
  <si>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</si>
  <si>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</si>
  <si>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</si>
  <si>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</si>
  <si>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</si>
  <si>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</si>
  <si>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</si>
  <si>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</si>
  <si>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</si>
  <si>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</si>
  <si>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</si>
  <si>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</si>
  <si>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</si>
  <si>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</si>
  <si>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</si>
  <si>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</si>
  <si>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</si>
  <si>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</si>
  <si>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</si>
  <si>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</si>
  <si>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</si>
  <si>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</si>
  <si>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</si>
  <si>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</si>
  <si>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</si>
  <si>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</si>
  <si>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</si>
  <si>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</si>
  <si>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</si>
  <si>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</si>
  <si>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</si>
  <si>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</si>
  <si>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</si>
  <si>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</si>
  <si>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</si>
  <si>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</si>
  <si>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</si>
  <si>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</si>
  <si>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</si>
  <si>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</si>
  <si>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</si>
  <si>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</si>
  <si>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</si>
  <si>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</si>
  <si>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</si>
  <si>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</si>
  <si>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</si>
  <si>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</si>
  <si>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</si>
  <si>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</si>
  <si>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</si>
  <si>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</si>
  <si>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</si>
  <si>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</si>
  <si>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</si>
  <si>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</si>
  <si>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</si>
  <si>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</si>
  <si>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</si>
  <si>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</si>
  <si>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</si>
  <si>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</si>
  <si>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</si>
  <si>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</si>
  <si>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</si>
  <si>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</si>
  <si>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</si>
  <si>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</si>
  <si>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</si>
  <si>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</si>
  <si>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</si>
  <si>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</si>
  <si>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</si>
  <si>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</si>
  <si>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</si>
  <si>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</si>
  <si>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</si>
  <si>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</si>
  <si>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</si>
  <si>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</si>
  <si>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</si>
  <si>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</si>
  <si>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</si>
  <si>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</si>
  <si>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</si>
  <si>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</si>
  <si>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</si>
  <si>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</si>
  <si>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</si>
  <si>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</si>
  <si>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</si>
  <si>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</si>
  <si>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</si>
  <si>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</si>
  <si>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</si>
  <si>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</si>
  <si>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</si>
  <si>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</si>
  <si>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</si>
  <si>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</si>
  <si>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</si>
  <si>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</si>
  <si>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</si>
  <si>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</si>
  <si>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</si>
  <si>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</si>
  <si>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</si>
  <si>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</si>
  <si>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</si>
  <si>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</si>
  <si>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</si>
  <si>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</si>
  <si>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</si>
  <si>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</si>
  <si>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</si>
  <si>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</si>
  <si>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</si>
  <si>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</si>
  <si>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</si>
  <si>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</si>
  <si>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</si>
  <si>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</si>
  <si>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</si>
  <si>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</si>
  <si>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</si>
  <si>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</si>
  <si>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</si>
  <si>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</si>
  <si>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</si>
  <si>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</si>
  <si>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</si>
  <si>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</si>
  <si>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</si>
  <si>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</si>
  <si>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</si>
  <si>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</si>
  <si>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</si>
  <si>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</si>
  <si>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</si>
  <si>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</si>
  <si>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</si>
  <si>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</si>
  <si>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</si>
  <si>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</si>
  <si>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</si>
  <si>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</si>
  <si>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</si>
  <si>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</si>
  <si>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</si>
  <si>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</si>
  <si>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</si>
  <si>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</si>
  <si>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</si>
  <si>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</si>
  <si>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</si>
  <si>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</si>
  <si>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</si>
  <si>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</si>
  <si>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</si>
  <si>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</si>
  <si>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</si>
  <si>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</si>
  <si>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</si>
  <si>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</si>
  <si>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</si>
  <si>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</si>
  <si>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</si>
  <si>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</si>
  <si>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</si>
  <si>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</si>
  <si>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</si>
  <si>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</si>
  <si>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</si>
  <si>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</si>
  <si>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</si>
  <si>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</si>
  <si>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</si>
  <si>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</si>
  <si>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</si>
  <si>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</si>
  <si>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</si>
  <si>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</si>
  <si>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</si>
  <si>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</si>
  <si>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</si>
  <si>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</si>
  <si>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</si>
  <si>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</si>
  <si>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</si>
  <si>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</si>
  <si>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</si>
  <si>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</si>
  <si>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</si>
  <si>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</si>
  <si>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</si>
  <si>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</si>
  <si>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</si>
  <si>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</si>
  <si>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</si>
  <si>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</si>
  <si>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</si>
  <si>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</si>
  <si>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</si>
  <si>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</si>
  <si>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</si>
  <si>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</si>
  <si>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</si>
  <si>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</si>
  <si>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</si>
  <si>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</si>
  <si>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</si>
  <si>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</si>
  <si>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</si>
  <si>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</si>
  <si>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</si>
  <si>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</si>
  <si>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</si>
  <si>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</si>
  <si>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</si>
  <si>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</si>
  <si>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</si>
  <si>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</si>
  <si>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</si>
  <si>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</si>
  <si>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</si>
  <si>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</si>
  <si>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</si>
  <si>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</si>
  <si>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</si>
  <si>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</si>
  <si>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</si>
  <si>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</si>
  <si>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</si>
  <si>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</si>
  <si>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</si>
  <si>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</si>
  <si>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</si>
  <si>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</si>
  <si>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</si>
  <si>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</si>
  <si>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</si>
  <si>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</si>
  <si>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</si>
  <si>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</si>
  <si>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</si>
  <si>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</si>
  <si>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</si>
  <si>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</si>
  <si>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</si>
  <si>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</si>
  <si>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</si>
  <si>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</si>
  <si>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</si>
  <si>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</si>
  <si>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</si>
  <si>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</si>
  <si>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</si>
  <si>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</si>
  <si>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</si>
  <si>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</si>
  <si>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</si>
  <si>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</si>
  <si>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</si>
  <si>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</si>
  <si>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</si>
  <si>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</si>
  <si>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</si>
  <si>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</si>
  <si>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</si>
  <si>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</si>
  <si>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</si>
  <si>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</si>
  <si>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</si>
  <si>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</si>
  <si>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</si>
  <si>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</si>
  <si>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</si>
  <si>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</si>
  <si>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</si>
  <si>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</si>
  <si>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</si>
  <si>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</si>
  <si>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</si>
  <si>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</si>
  <si>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</si>
  <si>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</si>
  <si>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</si>
  <si>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</si>
  <si>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</si>
  <si>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</si>
  <si>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</si>
  <si>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</si>
  <si>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</si>
  <si>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</si>
  <si>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</si>
  <si>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</si>
  <si>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</si>
  <si>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Hancock</t>
  </si>
  <si>
    <t>Southeastern Community Unit School District No. 337</t>
  </si>
  <si>
    <t>90 W. Green Street, P.O. Box 155</t>
  </si>
  <si>
    <t>Augusta</t>
  </si>
  <si>
    <t>shsprin@southestern337.com</t>
  </si>
  <si>
    <t>D. Todd Fox</t>
  </si>
  <si>
    <t>(217) 392-2172</t>
  </si>
  <si>
    <t>Meister,  Hilton, Chitwood &amp; Associates,  Inc.</t>
  </si>
  <si>
    <t>Ron Hilton</t>
  </si>
  <si>
    <t>809 W. Detweiller Drive, Suite 804</t>
  </si>
  <si>
    <t>Peoria</t>
  </si>
  <si>
    <t>IL</t>
  </si>
  <si>
    <t>(309) 683-0441</t>
  </si>
  <si>
    <t>(309) 683-0443</t>
  </si>
  <si>
    <t>066-004769</t>
  </si>
  <si>
    <t>ron.hilton1@comcast.net</t>
  </si>
  <si>
    <t>23. The District has prepared these financial statements using accounting practices prescribed or permitted by the Illinois State Board of Education, which differ from accounting principles generally accepted in the United States of America.</t>
  </si>
  <si>
    <t>Meister,  Hilton, Chitwood &amp; Associates, Inc.</t>
  </si>
  <si>
    <t>Western Area Schools</t>
  </si>
  <si>
    <t>WCISEC</t>
  </si>
  <si>
    <t>Purchasing Cooperative</t>
  </si>
  <si>
    <t>Quincy Area Vocational (Vo-Tech)</t>
  </si>
  <si>
    <t>Sports  Co-op (Central)</t>
  </si>
  <si>
    <t xml:space="preserve">                                                                                     Operations &amp; Maintenance Fund: Reimbursements $334</t>
  </si>
  <si>
    <t>Page 11, Line 1999 Other Local Revenues:  Educational Fund: Reimbursements $522,</t>
  </si>
  <si>
    <t>Page 16, Line 4190 Other Payments to In-State Govt Units: Education and Safe School tuition $10,950</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</si>
  <si>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</si>
  <si>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One employee is responsible for most aspects of the cash receipts, cash disbursements and payroll functions.  This individual is also responsible for recording these transactions in the general ledger and signing checks.</t>
  </si>
  <si>
    <t>This condition increases the possibility that errors or fraud may occur and not be detected on a timely basis.</t>
  </si>
  <si>
    <t>Due to the small size of the District and economic constraints, it is not practical to hire additional personnel to further segregate duties over the accounting functions. Duties have been assigned based on the experience and schedules of office personnel.</t>
  </si>
  <si>
    <t>When this condition exists, the Superintendent’s and Board of Education's close oversight and review of accounting information on a regular basis is the best means of preventing or detecting errors or fraud.  We also recommend that all checks be reviewed and signed by the Superintendent rather than the bookkeeper.</t>
  </si>
  <si>
    <t>Due to the small size of the District, it is not practical to hire additional personnel solely for the purpose of achieving an ideal segregation of duties over the accounting function.  Some segregation of duties has occurred as an outside individual has been contracted to perform the monthly bank reconciliations.  In addition, the Superintendent will review and sign all checks.</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</si>
  <si>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in the preparation of its annual financial statements that such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</si>
  <si>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</si>
  <si>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These reports are reviewed by the Superintendent and the Board of Education on a monthly basis.  However, changes in accounting standards may not be identified and implemented by the District.</t>
  </si>
  <si>
    <t>It is possible that a misstatement of the District's financial statements could occur due to incorrect application of accounting standards or ISBE requirements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</si>
  <si>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</si>
  <si>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</si>
  <si>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and the Board of Education's review of the balances and amounts are adequate in the circumstances and no additional procedures are considered necessary.</t>
  </si>
  <si>
    <t>Page 12, Line 3999 Other Restricted Revenue from State Sources:  Educational Fund; Library Per Capita Grant $1,500</t>
  </si>
  <si>
    <t>ED-Instruction-Purchased Services</t>
  </si>
  <si>
    <t>10-1000-300</t>
  </si>
  <si>
    <t>Quality Network Solutions</t>
  </si>
  <si>
    <t>Transportation-Pupil Transportation-Purchased Services</t>
  </si>
  <si>
    <t>40-2550-300</t>
  </si>
  <si>
    <t>Rose Carle</t>
  </si>
  <si>
    <t>Commerce Bank</t>
  </si>
  <si>
    <t>Kansas State Bank</t>
  </si>
  <si>
    <t>Tort-General Administration-Purchased Services</t>
  </si>
  <si>
    <t>80-2300-300</t>
  </si>
  <si>
    <t>Liberty Mutual Insurance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</si>
</sst>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26034337026</v>
      </c>
      <c r="B13" s="2038"/>
      <c r="C13" s="2038"/>
      <c r="D13" s="2038"/>
      <c r="E13" s="2038"/>
      <c r="F13" s="2038"/>
      <c r="G13" s="2038"/>
      <c r="H13" s="2039"/>
      <c r="I13" s="31"/>
      <c r="J13" s="30"/>
      <c r="K13" s="28"/>
      <c r="L13" s="30"/>
      <c r="M13" s="30"/>
      <c r="N13" s="30"/>
      <c r="O13" s="30"/>
      <c r="P13" s="30"/>
      <c r="Q13" s="30"/>
      <c r="R13" s="30"/>
      <c r="S13" s="30"/>
      <c r="T13" s="2042" t="s">
        <v>2085</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2086</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2079</v>
      </c>
      <c r="B17" s="1997"/>
      <c r="C17" s="1997"/>
      <c r="D17" s="1997"/>
      <c r="E17" s="1997"/>
      <c r="F17" s="1997"/>
      <c r="G17" s="1997"/>
      <c r="H17" s="2022"/>
      <c r="T17" s="2053" t="s">
        <v>2087</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2080</v>
      </c>
      <c r="B19" s="1982"/>
      <c r="C19" s="1982"/>
      <c r="D19" s="1982"/>
      <c r="E19" s="1982"/>
      <c r="F19" s="1982"/>
      <c r="G19" s="1982"/>
      <c r="H19" s="1962"/>
      <c r="I19" s="30"/>
      <c r="J19" s="99"/>
      <c r="K19" s="40"/>
      <c r="L19" s="38"/>
      <c r="M19" s="112" t="s">
        <v>333</v>
      </c>
      <c r="P19" s="27"/>
      <c r="Q19" s="27"/>
      <c r="R19" s="27"/>
      <c r="S19" s="31"/>
      <c r="T19" s="2036" t="s">
        <v>2088</v>
      </c>
      <c r="U19" s="1961"/>
      <c r="V19" s="1961"/>
      <c r="W19" s="1962"/>
      <c r="X19" s="2051" t="s">
        <v>2089</v>
      </c>
      <c r="Y19" s="2052"/>
      <c r="Z19" s="2049">
        <v>61615</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2081</v>
      </c>
      <c r="B21" s="1961"/>
      <c r="C21" s="1961"/>
      <c r="D21" s="1961"/>
      <c r="E21" s="1961"/>
      <c r="F21" s="1961"/>
      <c r="G21" s="1961"/>
      <c r="H21" s="1962"/>
      <c r="I21" s="2016" t="s">
        <v>699</v>
      </c>
      <c r="J21" s="2011"/>
      <c r="K21" s="2011"/>
      <c r="L21" s="2011"/>
      <c r="M21" s="2011"/>
      <c r="N21" s="2011"/>
      <c r="O21" s="2011"/>
      <c r="P21" s="2011"/>
      <c r="Q21" s="2011"/>
      <c r="R21" s="2011"/>
      <c r="S21" s="2017"/>
      <c r="T21" s="2060" t="s">
        <v>2090</v>
      </c>
      <c r="U21" s="2061"/>
      <c r="V21" s="2061"/>
      <c r="W21" s="2061"/>
      <c r="X21" s="2066" t="s">
        <v>2091</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2082</v>
      </c>
      <c r="B23" s="2014"/>
      <c r="C23" s="2014"/>
      <c r="D23" s="2014"/>
      <c r="E23" s="2014"/>
      <c r="F23" s="2014"/>
      <c r="G23" s="2014"/>
      <c r="H23" s="2015"/>
      <c r="T23" s="1996" t="s">
        <v>2092</v>
      </c>
      <c r="U23" s="2059"/>
      <c r="V23" s="2059"/>
      <c r="W23" s="2059"/>
      <c r="X23" s="2063">
        <v>43434</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62311</v>
      </c>
      <c r="B25" s="1961"/>
      <c r="C25" s="1961"/>
      <c r="D25" s="1961"/>
      <c r="E25" s="1961"/>
      <c r="F25" s="1961"/>
      <c r="G25" s="1961"/>
      <c r="H25" s="1962"/>
      <c r="I25" s="113"/>
      <c r="J25" s="1985"/>
      <c r="K25" s="1985"/>
      <c r="L25" s="1985"/>
      <c r="M25" s="1985"/>
      <c r="N25" s="1985"/>
      <c r="O25" s="1985"/>
      <c r="P25" s="1985"/>
      <c r="Q25" s="1985"/>
      <c r="R25" s="1985"/>
      <c r="S25" s="1986"/>
      <c r="T25" s="2056" t="s">
        <v>2093</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2083</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2082</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2084</v>
      </c>
      <c r="B42" s="1980"/>
      <c r="C42" s="1981"/>
      <c r="D42" s="1979"/>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1436252</v>
      </c>
      <c r="C4" s="1546"/>
      <c r="D4" s="1774">
        <f>B4-C4</f>
        <v>1436252</v>
      </c>
      <c r="E4" s="1546">
        <v>1524504</v>
      </c>
      <c r="F4" s="1774">
        <f>E4-C4</f>
        <v>1524504</v>
      </c>
    </row>
    <row r="5" spans="1:6" ht="13.7" customHeight="1" x14ac:dyDescent="0.2">
      <c r="A5" s="716" t="s">
        <v>925</v>
      </c>
      <c r="B5" s="1772">
        <f>'Revenues 9-14'!D5</f>
        <v>312032</v>
      </c>
      <c r="C5" s="585"/>
      <c r="D5" s="1775">
        <f t="shared" ref="D5:D18" si="0">B5-C5</f>
        <v>312032</v>
      </c>
      <c r="E5" s="585">
        <v>331414</v>
      </c>
      <c r="F5" s="1775">
        <f>E5-C5</f>
        <v>331414</v>
      </c>
    </row>
    <row r="6" spans="1:6" ht="13.7" customHeight="1" x14ac:dyDescent="0.2">
      <c r="A6" s="716" t="s">
        <v>431</v>
      </c>
      <c r="B6" s="1772">
        <f>'Revenues 9-14'!E5</f>
        <v>0</v>
      </c>
      <c r="C6" s="585"/>
      <c r="D6" s="1775">
        <f t="shared" si="0"/>
        <v>0</v>
      </c>
      <c r="E6" s="585">
        <v>0</v>
      </c>
      <c r="F6" s="1775">
        <f t="shared" ref="F6:F18" si="1">E6-C6</f>
        <v>0</v>
      </c>
    </row>
    <row r="7" spans="1:6" ht="13.7" customHeight="1" x14ac:dyDescent="0.2">
      <c r="A7" s="716" t="s">
        <v>157</v>
      </c>
      <c r="B7" s="1772">
        <f>'Revenues 9-14'!F5</f>
        <v>124813</v>
      </c>
      <c r="C7" s="585"/>
      <c r="D7" s="1775">
        <f t="shared" si="0"/>
        <v>124813</v>
      </c>
      <c r="E7" s="585">
        <v>132566</v>
      </c>
      <c r="F7" s="1775">
        <f t="shared" si="1"/>
        <v>132566</v>
      </c>
    </row>
    <row r="8" spans="1:6" ht="13.7" customHeight="1" x14ac:dyDescent="0.2">
      <c r="A8" s="716" t="s">
        <v>1241</v>
      </c>
      <c r="B8" s="1772">
        <f>'Revenues 9-14'!G5</f>
        <v>121398</v>
      </c>
      <c r="C8" s="585"/>
      <c r="D8" s="1775">
        <f t="shared" si="0"/>
        <v>121398</v>
      </c>
      <c r="E8" s="585">
        <v>75006</v>
      </c>
      <c r="F8" s="1775">
        <f t="shared" si="1"/>
        <v>75006</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31204</v>
      </c>
      <c r="C10" s="585"/>
      <c r="D10" s="1775">
        <f t="shared" si="0"/>
        <v>31204</v>
      </c>
      <c r="E10" s="585">
        <v>33141</v>
      </c>
      <c r="F10" s="1775">
        <f t="shared" si="1"/>
        <v>33141</v>
      </c>
    </row>
    <row r="11" spans="1:6" x14ac:dyDescent="0.2">
      <c r="A11" s="716" t="s">
        <v>429</v>
      </c>
      <c r="B11" s="1772">
        <f>'Revenues 9-14'!J5</f>
        <v>404656</v>
      </c>
      <c r="C11" s="585"/>
      <c r="D11" s="1775">
        <f t="shared" si="0"/>
        <v>404656</v>
      </c>
      <c r="E11" s="585">
        <v>400003</v>
      </c>
      <c r="F11" s="1775">
        <f t="shared" si="1"/>
        <v>400003</v>
      </c>
    </row>
    <row r="12" spans="1:6" ht="13.7" customHeight="1" x14ac:dyDescent="0.2">
      <c r="A12" s="716" t="s">
        <v>159</v>
      </c>
      <c r="B12" s="1772">
        <f>'Revenues 9-14'!K5</f>
        <v>31204</v>
      </c>
      <c r="C12" s="585"/>
      <c r="D12" s="1775">
        <f t="shared" si="0"/>
        <v>31204</v>
      </c>
      <c r="E12" s="585">
        <v>33141</v>
      </c>
      <c r="F12" s="1775">
        <f t="shared" si="1"/>
        <v>33141</v>
      </c>
    </row>
    <row r="13" spans="1:6" ht="13.7" customHeight="1" x14ac:dyDescent="0.2">
      <c r="A13" s="716" t="s">
        <v>993</v>
      </c>
      <c r="B13" s="1772">
        <f>SUM('Revenues 9-14'!C6:D6)</f>
        <v>31204</v>
      </c>
      <c r="C13" s="585"/>
      <c r="D13" s="1775">
        <f t="shared" si="0"/>
        <v>31204</v>
      </c>
      <c r="E13" s="585">
        <v>33141</v>
      </c>
      <c r="F13" s="1775">
        <f t="shared" si="1"/>
        <v>33141</v>
      </c>
    </row>
    <row r="14" spans="1:6" ht="13.7" customHeight="1" x14ac:dyDescent="0.2">
      <c r="A14" s="716" t="s">
        <v>430</v>
      </c>
      <c r="B14" s="1772">
        <f>SUM('Revenues 9-14'!C7:D7,'Revenues 9-14'!F7:H7)</f>
        <v>24962</v>
      </c>
      <c r="C14" s="585"/>
      <c r="D14" s="1775">
        <f t="shared" si="0"/>
        <v>24962</v>
      </c>
      <c r="E14" s="585">
        <v>26513</v>
      </c>
      <c r="F14" s="1775">
        <f t="shared" si="1"/>
        <v>26513</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121398</v>
      </c>
      <c r="C16" s="585"/>
      <c r="D16" s="1775">
        <f t="shared" si="0"/>
        <v>121398</v>
      </c>
      <c r="E16" s="585">
        <v>75006</v>
      </c>
      <c r="F16" s="1775">
        <f t="shared" si="1"/>
        <v>75006</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2639123</v>
      </c>
      <c r="C19" s="1773">
        <f>SUM(C4:C18)</f>
        <v>0</v>
      </c>
      <c r="D19" s="1773">
        <f>SUM(D4:D18)</f>
        <v>2639123</v>
      </c>
      <c r="E19" s="1773">
        <f>SUM(E4:E18)</f>
        <v>2664435</v>
      </c>
      <c r="F19" s="1773">
        <f>SUM(F4:F18)</f>
        <v>2664435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v>0</v>
      </c>
      <c r="I3" s="765"/>
      <c r="J3" s="766">
        <v>25814</v>
      </c>
      <c r="K3" s="766">
        <v>0</v>
      </c>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24962</v>
      </c>
      <c r="I5" s="773"/>
      <c r="J5" s="774"/>
      <c r="K5" s="774"/>
    </row>
    <row r="6" spans="1:11" x14ac:dyDescent="0.2">
      <c r="A6" s="775" t="s">
        <v>744</v>
      </c>
      <c r="B6" s="776"/>
      <c r="C6" s="776"/>
      <c r="D6" s="776"/>
      <c r="E6" s="777"/>
      <c r="F6" s="778" t="s">
        <v>904</v>
      </c>
      <c r="G6" s="765"/>
      <c r="H6" s="765">
        <v>3</v>
      </c>
      <c r="I6" s="765"/>
      <c r="J6" s="766"/>
      <c r="K6" s="766"/>
    </row>
    <row r="7" spans="1:11" x14ac:dyDescent="0.2">
      <c r="A7" s="779" t="s">
        <v>264</v>
      </c>
      <c r="B7" s="780"/>
      <c r="C7" s="780"/>
      <c r="D7" s="780"/>
      <c r="E7" s="781"/>
      <c r="F7" s="771" t="s">
        <v>905</v>
      </c>
      <c r="G7" s="768"/>
      <c r="H7" s="768"/>
      <c r="I7" s="768"/>
      <c r="J7" s="782"/>
      <c r="K7" s="766">
        <v>850</v>
      </c>
    </row>
    <row r="8" spans="1:11" x14ac:dyDescent="0.2">
      <c r="A8" s="779" t="s">
        <v>363</v>
      </c>
      <c r="B8" s="780"/>
      <c r="C8" s="780"/>
      <c r="D8" s="780"/>
      <c r="E8" s="781"/>
      <c r="F8" s="771" t="s">
        <v>906</v>
      </c>
      <c r="G8" s="783"/>
      <c r="H8" s="783"/>
      <c r="I8" s="783"/>
      <c r="J8" s="766">
        <v>16948</v>
      </c>
      <c r="K8" s="770"/>
    </row>
    <row r="9" spans="1:11" x14ac:dyDescent="0.2">
      <c r="A9" s="779" t="s">
        <v>140</v>
      </c>
      <c r="B9" s="780"/>
      <c r="C9" s="780"/>
      <c r="D9" s="780"/>
      <c r="E9" s="781"/>
      <c r="F9" s="778" t="s">
        <v>908</v>
      </c>
      <c r="G9" s="783"/>
      <c r="H9" s="772"/>
      <c r="I9" s="772"/>
      <c r="J9" s="782"/>
      <c r="K9" s="766">
        <v>8011</v>
      </c>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24965</v>
      </c>
      <c r="I12" s="1780">
        <f>SUM(I5:I11)</f>
        <v>0</v>
      </c>
      <c r="J12" s="1780">
        <f>SUM(J5:J11)</f>
        <v>16948</v>
      </c>
      <c r="K12" s="1780">
        <f>SUM(K5:K11)</f>
        <v>8861</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24965</v>
      </c>
      <c r="I14" s="772"/>
      <c r="J14" s="774"/>
      <c r="K14" s="766">
        <v>8861</v>
      </c>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24965</v>
      </c>
      <c r="I23" s="1780">
        <f>SUM(I14:I16,I21,I22)</f>
        <v>0</v>
      </c>
      <c r="J23" s="1780">
        <f>SUM(J14:J16,J21,J22)</f>
        <v>0</v>
      </c>
      <c r="K23" s="1780">
        <f>SUM(K14:K16,K21,K22)</f>
        <v>8861</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42762</v>
      </c>
      <c r="K24" s="1785">
        <f>SUM(K3,K12)-K23</f>
        <v>0</v>
      </c>
    </row>
    <row r="25" spans="1:11" ht="13.5" thickTop="1" x14ac:dyDescent="0.2">
      <c r="A25" s="799" t="s">
        <v>440</v>
      </c>
      <c r="B25" s="800"/>
      <c r="C25" s="800"/>
      <c r="D25" s="800"/>
      <c r="E25" s="801"/>
      <c r="F25" s="802">
        <v>714</v>
      </c>
      <c r="G25" s="803"/>
      <c r="H25" s="803"/>
      <c r="I25" s="803"/>
      <c r="J25" s="798">
        <v>42762</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21576</v>
      </c>
      <c r="D5" s="842"/>
      <c r="E5" s="842"/>
      <c r="F5" s="1782">
        <f>(C5+D5)-E5</f>
        <v>21576</v>
      </c>
      <c r="G5" s="838"/>
      <c r="H5" s="843"/>
      <c r="I5" s="843"/>
      <c r="J5" s="843"/>
      <c r="K5" s="794"/>
      <c r="L5" s="1791">
        <f>F5-K5</f>
        <v>21576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2943396</v>
      </c>
      <c r="D8" s="845"/>
      <c r="E8" s="845"/>
      <c r="F8" s="1782">
        <f>(C8+D8)-E8</f>
        <v>2943396</v>
      </c>
      <c r="G8" s="844">
        <v>50</v>
      </c>
      <c r="H8" s="766">
        <v>2714704</v>
      </c>
      <c r="I8" s="766">
        <v>6467</v>
      </c>
      <c r="J8" s="766"/>
      <c r="K8" s="1791">
        <f>(H8+I8)-J8</f>
        <v>2721171</v>
      </c>
      <c r="L8" s="1791">
        <f>F8-K8</f>
        <v>222225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260055</v>
      </c>
      <c r="D10" s="847">
        <v>7295</v>
      </c>
      <c r="E10" s="847"/>
      <c r="F10" s="1786">
        <f>(C10+D10)-E10</f>
        <v>267350</v>
      </c>
      <c r="G10" s="844">
        <v>20</v>
      </c>
      <c r="H10" s="848">
        <v>88390</v>
      </c>
      <c r="I10" s="848">
        <v>11751</v>
      </c>
      <c r="J10" s="848"/>
      <c r="K10" s="1791">
        <f>(H10+I10)-J10</f>
        <v>100141</v>
      </c>
      <c r="L10" s="1791">
        <f>F10-K10</f>
        <v>167209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129694</v>
      </c>
      <c r="D12" s="845">
        <v>15790</v>
      </c>
      <c r="E12" s="845"/>
      <c r="F12" s="1782">
        <f>(C12+D12)-E12</f>
        <v>145484</v>
      </c>
      <c r="G12" s="844">
        <v>10</v>
      </c>
      <c r="H12" s="766">
        <v>96132</v>
      </c>
      <c r="I12" s="766">
        <v>9392</v>
      </c>
      <c r="J12" s="766"/>
      <c r="K12" s="1791">
        <f>(H12+I12)-J12</f>
        <v>105524</v>
      </c>
      <c r="L12" s="1791">
        <f>F12-K12</f>
        <v>39960</v>
      </c>
    </row>
    <row r="13" spans="1:14" ht="14.25" thickTop="1" thickBot="1" x14ac:dyDescent="0.25">
      <c r="A13" s="849" t="s">
        <v>1184</v>
      </c>
      <c r="B13" s="841">
        <v>252</v>
      </c>
      <c r="C13" s="845">
        <v>697813</v>
      </c>
      <c r="D13" s="845">
        <v>0</v>
      </c>
      <c r="E13" s="845"/>
      <c r="F13" s="1782">
        <f>(C13+D13)-E13</f>
        <v>697813</v>
      </c>
      <c r="G13" s="844">
        <v>5</v>
      </c>
      <c r="H13" s="766">
        <v>643635</v>
      </c>
      <c r="I13" s="766">
        <v>20721</v>
      </c>
      <c r="J13" s="766"/>
      <c r="K13" s="1791">
        <f>(H13+I13)-J13</f>
        <v>664356</v>
      </c>
      <c r="L13" s="1791">
        <f>F13-K13</f>
        <v>33457</v>
      </c>
    </row>
    <row r="14" spans="1:14" ht="14.25" thickTop="1" thickBot="1" x14ac:dyDescent="0.25">
      <c r="A14" s="849" t="s">
        <v>1185</v>
      </c>
      <c r="B14" s="841">
        <v>253</v>
      </c>
      <c r="C14" s="766">
        <v>201989</v>
      </c>
      <c r="D14" s="766">
        <v>14536</v>
      </c>
      <c r="E14" s="766"/>
      <c r="F14" s="1782">
        <f>(C14+D14)-E14</f>
        <v>216525</v>
      </c>
      <c r="G14" s="844">
        <v>3</v>
      </c>
      <c r="H14" s="766">
        <v>164404</v>
      </c>
      <c r="I14" s="766">
        <v>21287</v>
      </c>
      <c r="J14" s="766"/>
      <c r="K14" s="1791">
        <f>(H14+I14)-J14</f>
        <v>185691</v>
      </c>
      <c r="L14" s="1791">
        <f>F14-K14</f>
        <v>30834</v>
      </c>
    </row>
    <row r="15" spans="1:14" ht="15" customHeight="1" thickTop="1" thickBot="1" x14ac:dyDescent="0.25">
      <c r="A15" s="1653" t="s">
        <v>549</v>
      </c>
      <c r="B15" s="1652">
        <v>260</v>
      </c>
      <c r="C15" s="845"/>
      <c r="D15" s="845">
        <v>103445</v>
      </c>
      <c r="E15" s="845"/>
      <c r="F15" s="1782">
        <f>(C15+D15)-E15</f>
        <v>103445</v>
      </c>
      <c r="G15" s="850" t="s">
        <v>917</v>
      </c>
      <c r="H15" s="782"/>
      <c r="I15" s="782"/>
      <c r="J15" s="782"/>
      <c r="K15" s="782"/>
      <c r="L15" s="1791">
        <f>F15-K15</f>
        <v>103445</v>
      </c>
    </row>
    <row r="16" spans="1:14" ht="15" customHeight="1" thickTop="1" thickBot="1" x14ac:dyDescent="0.25">
      <c r="A16" s="1787" t="s">
        <v>664</v>
      </c>
      <c r="B16" s="1788">
        <v>200</v>
      </c>
      <c r="C16" s="1782">
        <f>SUM(C3,C5:C6,C8:C10,C12:C15)</f>
        <v>4254523</v>
      </c>
      <c r="D16" s="1782">
        <f>SUM(D3,D5:D6,D8:D10,D12:D15)</f>
        <v>141066</v>
      </c>
      <c r="E16" s="1782">
        <f>SUM(E3,E5:E6,E8:E10,E12:E15)</f>
        <v>0</v>
      </c>
      <c r="F16" s="1782">
        <f>SUM(F3,F5:F6,F8:F10,F12:F15)</f>
        <v>4395589</v>
      </c>
      <c r="G16" s="844"/>
      <c r="H16" s="1782">
        <f>SUM(H3,H6,H8:H10,H12:H14,)</f>
        <v>3707265</v>
      </c>
      <c r="I16" s="1782">
        <f>SUM(I3,I6,I8:I10,I12:I14,)</f>
        <v>69618</v>
      </c>
      <c r="J16" s="1782">
        <f>SUM(J3,J6,J8:J10,J12:J14,)</f>
        <v>0</v>
      </c>
      <c r="K16" s="1782">
        <f>(H16+I16)-J16</f>
        <v>3776883</v>
      </c>
      <c r="L16" s="1782">
        <f>F16-K16</f>
        <v>618706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6672</v>
      </c>
      <c r="G17" s="838">
        <v>10</v>
      </c>
      <c r="H17" s="770"/>
      <c r="I17" s="1791">
        <f>F17/G17</f>
        <v>667.2</v>
      </c>
      <c r="J17" s="770"/>
      <c r="K17" s="796"/>
      <c r="L17" s="796"/>
    </row>
    <row r="18" spans="1:12" ht="14.25" thickTop="1" thickBot="1" x14ac:dyDescent="0.25">
      <c r="A18" s="1789" t="s">
        <v>706</v>
      </c>
      <c r="B18" s="1790"/>
      <c r="C18" s="772"/>
      <c r="D18" s="772"/>
      <c r="E18" s="772"/>
      <c r="F18" s="851"/>
      <c r="G18" s="852"/>
      <c r="H18" s="774"/>
      <c r="I18" s="1782">
        <f>SUM(I16,I17)</f>
        <v>70285.2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4143561</v>
      </c>
      <c r="G8" s="866"/>
    </row>
    <row r="9" spans="1:7" x14ac:dyDescent="0.2">
      <c r="A9" s="870" t="s">
        <v>480</v>
      </c>
      <c r="B9" s="871" t="s">
        <v>1989</v>
      </c>
      <c r="C9" s="872"/>
      <c r="D9" s="870" t="s">
        <v>522</v>
      </c>
      <c r="E9" s="869"/>
      <c r="F9" s="1935">
        <f>'Expenditures 15-22'!K151</f>
        <v>337182</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519466</v>
      </c>
      <c r="G11" s="873"/>
    </row>
    <row r="12" spans="1:7" x14ac:dyDescent="0.2">
      <c r="A12" s="870" t="s">
        <v>482</v>
      </c>
      <c r="B12" s="871" t="s">
        <v>1992</v>
      </c>
      <c r="C12" s="872"/>
      <c r="D12" s="870" t="s">
        <v>522</v>
      </c>
      <c r="E12" s="869"/>
      <c r="F12" s="1935">
        <f>'Expenditures 15-22'!K295</f>
        <v>202338</v>
      </c>
      <c r="G12" s="873"/>
    </row>
    <row r="13" spans="1:7" x14ac:dyDescent="0.2">
      <c r="A13" s="870" t="s">
        <v>108</v>
      </c>
      <c r="B13" s="871" t="s">
        <v>1993</v>
      </c>
      <c r="C13" s="872"/>
      <c r="D13" s="870" t="s">
        <v>522</v>
      </c>
      <c r="E13" s="869"/>
      <c r="F13" s="1935">
        <f>'Expenditures 15-22'!K342</f>
        <v>343823</v>
      </c>
      <c r="G13" s="874"/>
    </row>
    <row r="14" spans="1:7" ht="12" customHeight="1" thickBot="1" x14ac:dyDescent="0.25">
      <c r="A14" s="1792"/>
      <c r="B14" s="1793"/>
      <c r="C14" s="1794"/>
      <c r="D14" s="1795" t="s">
        <v>522</v>
      </c>
      <c r="E14" s="1796" t="s">
        <v>1015</v>
      </c>
      <c r="F14" s="1797">
        <f>SUM(F8:F13)</f>
        <v>5546370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1190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83652</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242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1544</v>
      </c>
      <c r="G52" s="866"/>
    </row>
    <row r="53" spans="1:7" x14ac:dyDescent="0.2">
      <c r="A53" s="870" t="s">
        <v>479</v>
      </c>
      <c r="B53" s="870" t="s">
        <v>1551</v>
      </c>
      <c r="C53" s="890">
        <f>'Expenditures 15-22'!B102</f>
        <v>4000</v>
      </c>
      <c r="D53" s="889" t="str">
        <f>'Expenditures 15-22'!A102</f>
        <v>Total Payments to Other Govt Units</v>
      </c>
      <c r="E53" s="869"/>
      <c r="F53" s="1939">
        <f>'Expenditures 15-22'!K102</f>
        <v>349892</v>
      </c>
      <c r="G53" s="866"/>
    </row>
    <row r="54" spans="1:7" x14ac:dyDescent="0.2">
      <c r="A54" s="870" t="s">
        <v>479</v>
      </c>
      <c r="B54" s="870" t="s">
        <v>1552</v>
      </c>
      <c r="C54" s="890" t="s">
        <v>1039</v>
      </c>
      <c r="D54" s="886" t="s">
        <v>1157</v>
      </c>
      <c r="E54" s="869"/>
      <c r="F54" s="1939">
        <f>'Expenditures 15-22'!G114</f>
        <v>24400</v>
      </c>
      <c r="G54" s="866"/>
    </row>
    <row r="55" spans="1:7" x14ac:dyDescent="0.2">
      <c r="A55" s="870" t="s">
        <v>479</v>
      </c>
      <c r="B55" s="870" t="s">
        <v>1553</v>
      </c>
      <c r="C55" s="890" t="s">
        <v>1039</v>
      </c>
      <c r="D55" s="886" t="s">
        <v>309</v>
      </c>
      <c r="E55" s="869"/>
      <c r="F55" s="1939">
        <f>'Expenditures 15-22'!I114</f>
        <v>2396</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7295</v>
      </c>
      <c r="G58" s="866"/>
    </row>
    <row r="59" spans="1:7" x14ac:dyDescent="0.2">
      <c r="A59" s="894" t="s">
        <v>480</v>
      </c>
      <c r="B59" s="857" t="s">
        <v>1996</v>
      </c>
      <c r="C59" s="895" t="s">
        <v>1039</v>
      </c>
      <c r="D59" s="857" t="s">
        <v>309</v>
      </c>
      <c r="F59" s="1942">
        <f>'Expenditures 15-22'!I151</f>
        <v>1417</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3583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475611</v>
      </c>
      <c r="G76" s="866"/>
    </row>
    <row r="77" spans="1:8" s="894" customFormat="1" ht="12" customHeight="1" thickTop="1" thickBot="1" x14ac:dyDescent="0.25">
      <c r="A77" s="1801"/>
      <c r="B77" s="1798"/>
      <c r="C77" s="1794"/>
      <c r="D77" s="1799" t="s">
        <v>2012</v>
      </c>
      <c r="E77" s="1796"/>
      <c r="F77" s="1802">
        <f>(F14-F76)</f>
        <v>5070759</v>
      </c>
      <c r="G77" s="870"/>
    </row>
    <row r="78" spans="1:8" s="894" customFormat="1" ht="12" customHeight="1" thickTop="1" x14ac:dyDescent="0.2">
      <c r="A78" s="1803"/>
      <c r="B78" s="1798"/>
      <c r="C78" s="1794"/>
      <c r="D78" s="1799" t="s">
        <v>2059</v>
      </c>
      <c r="E78" s="1796"/>
      <c r="F78" s="899">
        <v>428.23</v>
      </c>
      <c r="G78" s="900"/>
      <c r="H78" s="870"/>
    </row>
    <row r="79" spans="1:8" s="894" customFormat="1" ht="12" customHeight="1" thickBot="1" x14ac:dyDescent="0.25">
      <c r="A79" s="1804"/>
      <c r="B79" s="1798"/>
      <c r="C79" s="1794"/>
      <c r="D79" s="1799" t="s">
        <v>2013</v>
      </c>
      <c r="E79" s="1796" t="s">
        <v>1015</v>
      </c>
      <c r="F79" s="1805">
        <f>IF(F78&gt;0,F77/F78," Complete Line 78")</f>
        <v>11841.204492912686</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59273</v>
      </c>
      <c r="G94" s="913"/>
    </row>
    <row r="95" spans="1:7" x14ac:dyDescent="0.2">
      <c r="A95" s="909" t="s">
        <v>142</v>
      </c>
      <c r="B95" s="909" t="s">
        <v>177</v>
      </c>
      <c r="C95" s="911">
        <v>1700</v>
      </c>
      <c r="D95" s="919" t="str">
        <f>'Revenues 9-14'!A82</f>
        <v>Total District/School Activity Income</v>
      </c>
      <c r="E95" s="907"/>
      <c r="F95" s="1811">
        <f>SUM('Revenues 9-14'!C82,'Revenues 9-14'!D82)</f>
        <v>20245</v>
      </c>
      <c r="G95" s="913"/>
    </row>
    <row r="96" spans="1:7" x14ac:dyDescent="0.2">
      <c r="A96" s="909" t="s">
        <v>479</v>
      </c>
      <c r="B96" s="909" t="s">
        <v>178</v>
      </c>
      <c r="C96" s="911">
        <f>'Revenues 9-14'!B84</f>
        <v>1811</v>
      </c>
      <c r="D96" s="912" t="str">
        <f>'Revenues 9-14'!A84</f>
        <v>Rentals - Regular Textbooks</v>
      </c>
      <c r="E96" s="907"/>
      <c r="F96" s="1811">
        <f>'Revenues 9-14'!C84</f>
        <v>11877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112026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18801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2757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8011</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478945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8184</v>
      </c>
      <c r="G128" s="931"/>
    </row>
    <row r="129" spans="1:7" x14ac:dyDescent="0.2">
      <c r="A129" s="928" t="s">
        <v>685</v>
      </c>
      <c r="B129" s="928" t="s">
        <v>803</v>
      </c>
      <c r="C129" s="933">
        <v>4200</v>
      </c>
      <c r="D129" s="930" t="str">
        <f>'Revenues 9-14'!A201</f>
        <v>Total Food Service</v>
      </c>
      <c r="E129" s="907"/>
      <c r="F129" s="1811">
        <f>SUM('Revenues 9-14'!C201,'Revenues 9-14'!G201)</f>
        <v>182221</v>
      </c>
      <c r="G129" s="931"/>
    </row>
    <row r="130" spans="1:7" x14ac:dyDescent="0.2">
      <c r="A130" s="928" t="s">
        <v>689</v>
      </c>
      <c r="B130" s="928" t="s">
        <v>804</v>
      </c>
      <c r="C130" s="933">
        <v>4300</v>
      </c>
      <c r="D130" s="934" t="str">
        <f>'Revenues 9-14'!A211</f>
        <v>Total Title I</v>
      </c>
      <c r="E130" s="907"/>
      <c r="F130" s="1811">
        <f>SUM('Revenues 9-14'!C211,'Revenues 9-14'!D211,'Revenues 9-14'!F211,'Revenues 9-14'!G211)</f>
        <v>245301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96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9771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18354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156713</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1334075</v>
      </c>
    </row>
    <row r="179" spans="1:7" ht="12" customHeight="1" x14ac:dyDescent="0.2">
      <c r="A179" s="1792"/>
      <c r="B179" s="1806"/>
      <c r="C179" s="1807"/>
      <c r="D179" s="1808" t="s">
        <v>2015</v>
      </c>
      <c r="E179" s="1809"/>
      <c r="F179" s="1811">
        <f>'PCTC-OEPP 27-28'!F77-F178</f>
        <v>3736684</v>
      </c>
    </row>
    <row r="180" spans="1:7" ht="12" customHeight="1" x14ac:dyDescent="0.2">
      <c r="A180" s="1792"/>
      <c r="B180" s="1806"/>
      <c r="C180" s="1807"/>
      <c r="D180" s="1808" t="s">
        <v>1924</v>
      </c>
      <c r="E180" s="1809"/>
      <c r="F180" s="1811">
        <f>'Cap Outlay Deprec 26'!I18</f>
        <v>70285.2</v>
      </c>
    </row>
    <row r="181" spans="1:7" ht="12" customHeight="1" x14ac:dyDescent="0.2">
      <c r="A181" s="1792"/>
      <c r="B181" s="1806"/>
      <c r="C181" s="1807"/>
      <c r="D181" s="1808" t="s">
        <v>2016</v>
      </c>
      <c r="E181" s="1809"/>
      <c r="F181" s="1811">
        <f>F179+F180</f>
        <v>3806969.2</v>
      </c>
    </row>
    <row r="182" spans="1:7" ht="12" customHeight="1" x14ac:dyDescent="0.2">
      <c r="A182" s="1792"/>
      <c r="B182" s="1812"/>
      <c r="C182" s="1807"/>
      <c r="D182" s="1808" t="str">
        <f>D78</f>
        <v>9 Month ADA from District Average Daily Attendance/Prior General State Aid Inquiry 2017-2018</v>
      </c>
      <c r="E182" s="1809"/>
      <c r="F182" s="1813">
        <f>'PCTC-OEPP 27-28'!F78</f>
        <v>428.23</v>
      </c>
      <c r="G182" s="931"/>
    </row>
    <row r="183" spans="1:7" ht="12" customHeight="1" thickBot="1" x14ac:dyDescent="0.25">
      <c r="A183" s="1792"/>
      <c r="B183" s="1812"/>
      <c r="C183" s="1807"/>
      <c r="D183" s="1808" t="s">
        <v>2017</v>
      </c>
      <c r="E183" s="1809" t="s">
        <v>1626</v>
      </c>
      <c r="F183" s="1814">
        <f>F181/F182</f>
        <v>8890.0105083716699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2" sqref="D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2118</v>
      </c>
      <c r="B17" s="1958" t="s">
        <v>2119</v>
      </c>
      <c r="C17" s="1959" t="s">
        <v>2120</v>
      </c>
      <c r="D17" s="1867">
        <v>53357</v>
      </c>
      <c r="E17" s="1562">
        <f t="shared" ref="E17:E141" si="1">IF(D17&lt;=25000,D17,IF(D17&gt;25000,25000,0))</f>
        <v>25000</v>
      </c>
      <c r="F17" s="1815">
        <f t="shared" si="0"/>
        <v>25000</v>
      </c>
      <c r="G17" s="1816">
        <f>IF(F17=0,0,D17-F17)</f>
        <v>28357</v>
      </c>
      <c r="H17" s="1669"/>
    </row>
    <row r="18" spans="1:8" x14ac:dyDescent="0.25">
      <c r="A18" s="1957" t="s">
        <v>2121</v>
      </c>
      <c r="B18" s="1958" t="s">
        <v>2122</v>
      </c>
      <c r="C18" s="1959" t="s">
        <v>2123</v>
      </c>
      <c r="D18" s="1867">
        <v>30117</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5117</v>
      </c>
    </row>
    <row r="19" spans="1:8" x14ac:dyDescent="0.25">
      <c r="A19" s="1957" t="s">
        <v>2121</v>
      </c>
      <c r="B19" s="1958" t="s">
        <v>2122</v>
      </c>
      <c r="C19" s="1959" t="s">
        <v>2124</v>
      </c>
      <c r="D19" s="1867">
        <v>66746</v>
      </c>
      <c r="E19" s="1562">
        <f t="shared" si="2"/>
        <v>25000</v>
      </c>
      <c r="F19" s="1815">
        <f t="shared" si="3"/>
        <v>25000</v>
      </c>
      <c r="G19" s="1816">
        <f t="shared" si="4"/>
        <v>41746</v>
      </c>
    </row>
    <row r="20" spans="1:8" x14ac:dyDescent="0.25">
      <c r="A20" s="1957" t="s">
        <v>2121</v>
      </c>
      <c r="B20" s="1958" t="s">
        <v>2122</v>
      </c>
      <c r="C20" s="1959" t="s">
        <v>2125</v>
      </c>
      <c r="D20" s="1867">
        <v>47501</v>
      </c>
      <c r="E20" s="1562">
        <f t="shared" si="2"/>
        <v>25000</v>
      </c>
      <c r="F20" s="1815">
        <f t="shared" si="3"/>
        <v>25000</v>
      </c>
      <c r="G20" s="1816">
        <f t="shared" si="4"/>
        <v>22501</v>
      </c>
    </row>
    <row r="21" spans="1:8" x14ac:dyDescent="0.25">
      <c r="A21" s="1957" t="s">
        <v>2126</v>
      </c>
      <c r="B21" s="1958" t="s">
        <v>2127</v>
      </c>
      <c r="C21" s="1959" t="s">
        <v>2128</v>
      </c>
      <c r="D21" s="1867">
        <v>95978</v>
      </c>
      <c r="E21" s="1562">
        <f t="shared" si="2"/>
        <v>25000</v>
      </c>
      <c r="F21" s="1815">
        <f t="shared" si="3"/>
        <v>25000</v>
      </c>
      <c r="G21" s="1816">
        <f t="shared" si="4"/>
        <v>70978</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293699</v>
      </c>
      <c r="E141" s="1563">
        <f t="shared" si="1"/>
        <v>25000</v>
      </c>
      <c r="F141" s="1817">
        <f>SUM(F17:F140)</f>
        <v>125000</v>
      </c>
      <c r="G141" s="1818">
        <f>SUM(G17:G140)</f>
        <v>168699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E23" sqref="E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0</v>
      </c>
      <c r="F10" s="975"/>
      <c r="G10" s="976"/>
      <c r="H10" s="162"/>
      <c r="I10" s="162"/>
    </row>
    <row r="11" spans="1:9" s="669" customFormat="1" ht="22.5" customHeight="1" x14ac:dyDescent="0.2">
      <c r="A11" s="2306" t="s">
        <v>1945</v>
      </c>
      <c r="B11" s="2307"/>
      <c r="C11" s="2307"/>
      <c r="D11" s="2308"/>
      <c r="E11" s="978">
        <v>24094</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2596143</v>
      </c>
      <c r="F19" s="1822"/>
      <c r="G19" s="1824">
        <f>'Expenditures 15-22'!K33-SUM('Expenditures 15-22'!G33,'Expenditures 15-22'!I33)+'Expenditures 15-22'!D229</f>
        <v>2596143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170303</v>
      </c>
      <c r="F21" s="1825"/>
      <c r="G21" s="1828">
        <f>'Expenditures 15-22'!K42-SUM('Expenditures 15-22'!G42,'Expenditures 15-22'!I42)+'Expenditures 15-22'!K120-SUM('Expenditures 15-22'!G120,'Expenditures 15-22'!I120)+'Expenditures 15-22'!K180-SUM('Expenditures 15-22'!G180,'Expenditures 15-22'!I180)+'Expenditures 15-22'!D238</f>
        <v>170303</v>
      </c>
      <c r="H21" s="988"/>
      <c r="I21" s="162"/>
    </row>
    <row r="22" spans="1:9" s="669" customFormat="1" ht="12" customHeight="1" x14ac:dyDescent="0.2">
      <c r="A22" s="995" t="s">
        <v>585</v>
      </c>
      <c r="B22" s="996"/>
      <c r="C22" s="994">
        <v>2200</v>
      </c>
      <c r="D22" s="1825"/>
      <c r="E22" s="1827">
        <f>'Expenditures 15-22'!K47-SUM('Expenditures 15-22'!G47,'Expenditures 15-22'!I47)+'Expenditures 15-22'!D243</f>
        <v>68019</v>
      </c>
      <c r="F22" s="1825"/>
      <c r="G22" s="1828">
        <f>'Expenditures 15-22'!K47-SUM('Expenditures 15-22'!G47,'Expenditures 15-22'!I47)+'Expenditures 15-22'!D243</f>
        <v>68019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588851</v>
      </c>
      <c r="F23" s="1825"/>
      <c r="G23" s="1827">
        <f>'Expenditures 15-22'!K53-SUM('Expenditures 15-22'!G53,'Expenditures 15-22'!I53)+'Expenditures 15-22'!D257+'Expenditures 15-22'!K330-SUM('Expenditures 15-22'!G330,'Expenditures 15-22'!I330)</f>
        <v>588851</v>
      </c>
      <c r="H23" s="988"/>
      <c r="I23" s="162"/>
    </row>
    <row r="24" spans="1:9" s="669" customFormat="1" ht="12" customHeight="1" x14ac:dyDescent="0.2">
      <c r="A24" s="995" t="s">
        <v>587</v>
      </c>
      <c r="B24" s="996"/>
      <c r="C24" s="994">
        <v>2400</v>
      </c>
      <c r="D24" s="1825"/>
      <c r="E24" s="1827">
        <f>'Expenditures 15-22'!K57-SUM('Expenditures 15-22'!G57,'Expenditures 15-22'!I57)+'Expenditures 15-22'!D261</f>
        <v>433988</v>
      </c>
      <c r="F24" s="1825"/>
      <c r="G24" s="1828">
        <f>'Expenditures 15-22'!K57-SUM('Expenditures 15-22'!G57,'Expenditures 15-22'!I57)+'Expenditures 15-22'!D261</f>
        <v>433988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59476</v>
      </c>
      <c r="E27" s="1827">
        <f>E8</f>
        <v>0</v>
      </c>
      <c r="F27" s="1827">
        <f>'Expenditures 15-22'!K60-SUM('Expenditures 15-22'!G60,'Expenditures 15-22'!I60)+'Expenditures 15-22'!D264-E8</f>
        <v>59476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355383</v>
      </c>
      <c r="F28" s="1829">
        <f>'Expenditures 15-22'!K61-SUM('Expenditures 15-22'!G61,'Expenditures 15-22'!I61)+'Expenditures 15-22'!K124-SUM('Expenditures 15-22'!G124,'Expenditures 15-22'!I124)+'Expenditures 15-22'!D266-E9</f>
        <v>355383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583449</v>
      </c>
      <c r="F29" s="1825"/>
      <c r="G29" s="1828">
        <f>'Expenditures 15-22'!K62-SUM('Expenditures 15-22'!G62,'Expenditures 15-22'!I62)+'Expenditures 15-22'!K125-SUM('Expenditures 15-22'!G125,'Expenditures 15-22'!I125)+'Expenditures 15-22'!K182-SUM('Expenditures 15-22'!G182,'Expenditures 15-22'!I182)+'Expenditures 15-22'!D267</f>
        <v>583449</v>
      </c>
      <c r="H29" s="986"/>
    </row>
    <row r="30" spans="1:9" ht="12" customHeight="1" x14ac:dyDescent="0.2">
      <c r="A30" s="995" t="s">
        <v>102</v>
      </c>
      <c r="B30" s="998"/>
      <c r="C30" s="994">
        <v>2560</v>
      </c>
      <c r="D30" s="1825"/>
      <c r="E30" s="1827">
        <f>'Expenditures 15-22'!K63-SUM('Expenditures 15-22'!G63,'Expenditures 15-22'!I63)+'Expenditures 15-22'!D268-E10</f>
        <v>269820</v>
      </c>
      <c r="F30" s="1825"/>
      <c r="G30" s="1827">
        <f>'Expenditures 15-22'!K63-SUM('Expenditures 15-22'!G63,'Expenditures 15-22'!I63)+'Expenditures 15-22'!D268-E10</f>
        <v>269820</v>
      </c>
    </row>
    <row r="31" spans="1:9" ht="12" customHeight="1" x14ac:dyDescent="0.2">
      <c r="A31" s="995" t="s">
        <v>103</v>
      </c>
      <c r="B31" s="998"/>
      <c r="C31" s="994">
        <v>2570</v>
      </c>
      <c r="D31" s="1827">
        <f>'Expenditures 15-22'!K64-SUM('Expenditures 15-22'!G64,'Expenditures 15-22'!I64)+'Expenditures 15-22'!D269-E12</f>
        <v>15566</v>
      </c>
      <c r="E31" s="1827">
        <f>E12</f>
        <v>0</v>
      </c>
      <c r="F31" s="1827">
        <f>'Expenditures 15-22'!K64-SUM('Expenditures 15-22'!G64,'Expenditures 15-22'!I64)+'Expenditures 15-22'!D269-E12</f>
        <v>15566</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9643</v>
      </c>
      <c r="F35" s="1825"/>
      <c r="G35" s="1827">
        <f>'Expenditures 15-22'!K69-SUM('Expenditures 15-22'!G69,'Expenditures 15-22'!I69)+'Expenditures 15-22'!D274</f>
        <v>9643</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1544</v>
      </c>
      <c r="F39" s="1825"/>
      <c r="G39" s="1827">
        <f>'Expenditures 15-22'!K75-SUM('Expenditures 15-22'!G75,'Expenditures 15-22'!I75)+'Expenditures 15-22'!K130-SUM('Expenditures 15-22'!G130,'Expenditures 15-22'!I130)+'Expenditures 15-22'!K185-SUM('Expenditures 15-22'!G185,'Expenditures 15-22'!I185)+'Expenditures 15-22'!D280</f>
        <v>1544</v>
      </c>
    </row>
    <row r="40" spans="1:7" ht="12" customHeight="1" x14ac:dyDescent="0.2">
      <c r="A40" s="991" t="s">
        <v>1930</v>
      </c>
      <c r="B40" s="992"/>
      <c r="C40" s="994"/>
      <c r="D40" s="1825"/>
      <c r="E40" s="1829">
        <f>-'Contracts Paid in CY 29'!G141</f>
        <v>-168699</v>
      </c>
      <c r="F40" s="1825"/>
      <c r="G40" s="1829">
        <f>-'Contracts Paid in CY 29'!G141</f>
        <v>-168699</v>
      </c>
    </row>
    <row r="41" spans="1:7" ht="12" customHeight="1" x14ac:dyDescent="0.2">
      <c r="A41" s="999" t="s">
        <v>158</v>
      </c>
      <c r="B41" s="1000"/>
      <c r="C41" s="1001"/>
      <c r="D41" s="1829">
        <f>SUM(D19:D39)</f>
        <v>75042</v>
      </c>
      <c r="E41" s="1829">
        <f>SUM(E19:E40)</f>
        <v>4908444</v>
      </c>
      <c r="F41" s="1829">
        <f>SUM(F19:F39)</f>
        <v>430425</v>
      </c>
      <c r="G41" s="1829">
        <f>SUM(G19:G40)</f>
        <v>4553061</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75042</v>
      </c>
      <c r="F43" s="1830" t="s">
        <v>495</v>
      </c>
      <c r="G43" s="1831">
        <f>F41</f>
        <v>430425</v>
      </c>
    </row>
    <row r="44" spans="1:7" ht="12" customHeight="1" x14ac:dyDescent="0.2">
      <c r="A44" s="988"/>
      <c r="B44" s="162"/>
      <c r="C44" s="1002"/>
      <c r="D44" s="1830" t="s">
        <v>494</v>
      </c>
      <c r="E44" s="1831">
        <f>E41</f>
        <v>4908444</v>
      </c>
      <c r="F44" s="1830" t="s">
        <v>494</v>
      </c>
      <c r="G44" s="1831">
        <f>G41</f>
        <v>4553061</v>
      </c>
    </row>
    <row r="45" spans="1:7" ht="12" customHeight="1" x14ac:dyDescent="0.2">
      <c r="A45" s="988"/>
      <c r="B45" s="162"/>
      <c r="C45" s="162"/>
      <c r="D45" s="1832" t="s">
        <v>1063</v>
      </c>
      <c r="E45" s="1833">
        <f>(E43/E44)</f>
        <v>1.5288347997858385E-2</v>
      </c>
      <c r="F45" s="1832" t="s">
        <v>1063</v>
      </c>
      <c r="G45" s="1833">
        <f>(G43/G44)</f>
        <v>9.4535302733699367E-2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Southeastern Community Unit School District No. 337</v>
      </c>
      <c r="D6" s="2327"/>
      <c r="E6" s="2327"/>
      <c r="F6" s="1877"/>
    </row>
    <row r="7" spans="1:10" ht="11.25" customHeight="1" thickBot="1" x14ac:dyDescent="0.3">
      <c r="A7" s="1875"/>
      <c r="B7" s="1876"/>
      <c r="C7" s="2328">
        <f>COVER!A13</f>
        <v>26034337026</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c r="F19" s="1892" t="s">
        <v>2096</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2097</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2077</v>
      </c>
      <c r="D28" s="1890" t="s">
        <v>2077</v>
      </c>
      <c r="E28" s="1893"/>
      <c r="F28" s="1892" t="s">
        <v>2098</v>
      </c>
      <c r="H28" s="1903">
        <f t="shared" si="0"/>
        <v>5</v>
      </c>
      <c r="I28" s="1903">
        <f t="shared" si="1"/>
        <v>5</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2099</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2077</v>
      </c>
      <c r="D33" s="1890" t="s">
        <v>2077</v>
      </c>
      <c r="E33" s="1893"/>
      <c r="F33" s="1892" t="s">
        <v>2100</v>
      </c>
      <c r="H33" s="1903">
        <f t="shared" si="0"/>
        <v>5</v>
      </c>
      <c r="I33" s="1903">
        <f t="shared" si="1"/>
        <v>5</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Header>&amp;L&amp;8Page 31&amp;R&amp;8Page 31</oddHead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Southeastern Community Unit School District No. 337</v>
      </c>
      <c r="J6" s="2337"/>
      <c r="Q6" s="1686"/>
    </row>
    <row r="7" spans="1:17" x14ac:dyDescent="0.2">
      <c r="A7" s="2338" t="s">
        <v>924</v>
      </c>
      <c r="B7" s="2339"/>
      <c r="C7" s="2339"/>
      <c r="D7" s="2339"/>
      <c r="E7" s="2340"/>
      <c r="F7" s="1018"/>
      <c r="G7" s="1010"/>
      <c r="H7" s="1017" t="s">
        <v>390</v>
      </c>
      <c r="I7" s="2341">
        <f>COVER!A13</f>
        <v>26034337026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174162</v>
      </c>
      <c r="F12" s="1040"/>
      <c r="G12" s="1834">
        <f t="shared" ref="G12:G18" si="0">SUM(E12:F12)</f>
        <v>174162</v>
      </c>
      <c r="H12" s="1041">
        <v>181872</v>
      </c>
      <c r="I12" s="1040"/>
      <c r="J12" s="1834">
        <f t="shared" ref="J12:J18" si="1">SUM(H12:I12)</f>
        <v>181872</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c r="J15" s="1834">
        <f t="shared" si="1"/>
        <v>0</v>
      </c>
    </row>
    <row r="16" spans="1:17" ht="15" customHeight="1" x14ac:dyDescent="0.2">
      <c r="A16" s="1036">
        <v>5</v>
      </c>
      <c r="B16" s="1037" t="s">
        <v>103</v>
      </c>
      <c r="C16" s="1038"/>
      <c r="D16" s="1039">
        <v>2570</v>
      </c>
      <c r="E16" s="1834">
        <f>'Expenditures 15-22'!K64</f>
        <v>15566</v>
      </c>
      <c r="F16" s="1040"/>
      <c r="G16" s="1834">
        <f t="shared" si="0"/>
        <v>15566</v>
      </c>
      <c r="H16" s="1041">
        <v>15000</v>
      </c>
      <c r="I16" s="1040"/>
      <c r="J16" s="1834">
        <f t="shared" si="1"/>
        <v>15000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5" t="s">
        <v>7</v>
      </c>
      <c r="C18" s="2346"/>
      <c r="D18" s="2347"/>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189728</v>
      </c>
      <c r="F19" s="1836">
        <f t="shared" si="2"/>
        <v>0</v>
      </c>
      <c r="G19" s="1836">
        <f t="shared" si="2"/>
        <v>189728</v>
      </c>
      <c r="H19" s="1836">
        <f t="shared" si="2"/>
        <v>196872</v>
      </c>
      <c r="I19" s="1836">
        <f t="shared" si="2"/>
        <v>0</v>
      </c>
      <c r="J19" s="1836">
        <f t="shared" si="2"/>
        <v>196872</v>
      </c>
    </row>
    <row r="20" spans="1:10" ht="13.5" thickTop="1" x14ac:dyDescent="0.2">
      <c r="A20" s="1036">
        <v>9</v>
      </c>
      <c r="B20" s="2348" t="s">
        <v>1703</v>
      </c>
      <c r="C20" s="2348"/>
      <c r="D20" s="2349"/>
      <c r="E20" s="1047"/>
      <c r="F20" s="1047"/>
      <c r="G20" s="1047"/>
      <c r="H20" s="1047"/>
      <c r="I20" s="1047"/>
      <c r="J20" s="1837">
        <f>IF(AND(G19&gt;0,J19&gt;0),(((J19-G19)/G19)),"Enter Budget Data")</f>
        <v>3.7653904537021422E-2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c r="B6" s="329" t="s">
        <v>2101</v>
      </c>
    </row>
    <row r="7" spans="1:2" x14ac:dyDescent="0.2">
      <c r="A7" s="1069">
        <v>3</v>
      </c>
      <c r="B7" s="329" t="s">
        <v>2117</v>
      </c>
    </row>
    <row r="8" spans="1:2" x14ac:dyDescent="0.2">
      <c r="A8" s="1069">
        <v>4</v>
      </c>
      <c r="B8" s="329" t="s">
        <v>2103</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Southeastern Community Unit School District No. 337</v>
      </c>
    </row>
    <row r="65" spans="2:2" x14ac:dyDescent="0.2">
      <c r="B65" s="1071">
        <f>COVER!A13</f>
        <v>26034337026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4311370</v>
      </c>
      <c r="C8" s="1838">
        <f>'Acct Summary 7-8'!D8</f>
        <v>321451</v>
      </c>
      <c r="D8" s="1838">
        <f>'Acct Summary 7-8'!F8</f>
        <v>605612</v>
      </c>
      <c r="E8" s="1838">
        <f>'Acct Summary 7-8'!I8</f>
        <v>33382</v>
      </c>
      <c r="F8" s="1838">
        <f>SUM(B8:E8)</f>
        <v>5271815</v>
      </c>
    </row>
    <row r="9" spans="1:8" s="1080" customFormat="1" ht="14.25" customHeight="1" thickBot="1" x14ac:dyDescent="0.25">
      <c r="A9" s="1079" t="s">
        <v>1436</v>
      </c>
      <c r="B9" s="1839">
        <f>'Acct Summary 7-8'!C17</f>
        <v>4143561</v>
      </c>
      <c r="C9" s="1839">
        <f>'Acct Summary 7-8'!D17</f>
        <v>337182</v>
      </c>
      <c r="D9" s="1839">
        <f>'Acct Summary 7-8'!F17</f>
        <v>519466</v>
      </c>
      <c r="E9" s="1838"/>
      <c r="F9" s="1838">
        <f>SUM(B9:E9)</f>
        <v>5000209</v>
      </c>
    </row>
    <row r="10" spans="1:8" s="1080" customFormat="1" ht="14.25" thickTop="1" thickBot="1" x14ac:dyDescent="0.25">
      <c r="A10" s="1081" t="s">
        <v>1437</v>
      </c>
      <c r="B10" s="1840">
        <f>(B8-B9)</f>
        <v>167809</v>
      </c>
      <c r="C10" s="1840">
        <f>(C8-C9)</f>
        <v>-15731</v>
      </c>
      <c r="D10" s="1840">
        <f>(D8-D9)</f>
        <v>86146</v>
      </c>
      <c r="E10" s="1839">
        <f>(E8-E9)</f>
        <v>33382</v>
      </c>
      <c r="F10" s="1841">
        <f>SUM(F8-F9)</f>
        <v>271606</v>
      </c>
    </row>
    <row r="11" spans="1:8" s="1080" customFormat="1" ht="14.25" thickTop="1" thickBot="1" x14ac:dyDescent="0.25">
      <c r="A11" s="1082" t="s">
        <v>1785</v>
      </c>
      <c r="B11" s="1842">
        <f>'Acct Summary 7-8'!C81</f>
        <v>243717</v>
      </c>
      <c r="C11" s="1842">
        <f>'Acct Summary 7-8'!D81</f>
        <v>1265385</v>
      </c>
      <c r="D11" s="1842">
        <f>'Acct Summary 7-8'!F81</f>
        <v>86885</v>
      </c>
      <c r="E11" s="1842">
        <f>'Acct Summary 7-8'!I81</f>
        <v>329587</v>
      </c>
      <c r="F11" s="1843">
        <f>SUM(B11:E11)</f>
        <v>1925574</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26034337026</v>
      </c>
    </row>
    <row r="3" spans="1:2" x14ac:dyDescent="0.2">
      <c r="A3" t="s">
        <v>1013</v>
      </c>
      <c r="B3" s="138" t="str">
        <f>COVER!A15</f>
        <v>Hancock</v>
      </c>
    </row>
    <row r="4" spans="1:2" x14ac:dyDescent="0.2">
      <c r="A4" t="s">
        <v>1064</v>
      </c>
      <c r="B4" s="138" t="str">
        <f>COVER!A17</f>
        <v>Southeastern Community Unit School District No. 337</v>
      </c>
    </row>
    <row r="5" spans="1:2" x14ac:dyDescent="0.2">
      <c r="A5" t="s">
        <v>728</v>
      </c>
      <c r="B5" s="138" t="str">
        <f>COVER!A38</f>
        <v>D. Todd Fox</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243717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243717</v>
      </c>
      <c r="D92" s="2" t="str">
        <f t="shared" si="0"/>
        <v>Error?</v>
      </c>
    </row>
    <row r="93" spans="1:4" x14ac:dyDescent="0.2">
      <c r="A93" s="5">
        <v>32</v>
      </c>
      <c r="B93" s="138">
        <f>'Assets-Liab 5-6'!C41</f>
        <v>243717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1265385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1265385</v>
      </c>
      <c r="D123" s="2" t="str">
        <f t="shared" si="0"/>
        <v>Error?</v>
      </c>
    </row>
    <row r="124" spans="1:4" x14ac:dyDescent="0.2">
      <c r="A124" s="5">
        <v>63</v>
      </c>
      <c r="B124" s="138">
        <f>'Assets-Liab 5-6'!D41</f>
        <v>1265385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86885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86885</v>
      </c>
      <c r="D170" s="2" t="str">
        <f t="shared" si="1"/>
        <v>Error?</v>
      </c>
    </row>
    <row r="171" spans="1:4" x14ac:dyDescent="0.2">
      <c r="A171" s="5">
        <v>110</v>
      </c>
      <c r="B171" s="138">
        <f>'Assets-Liab 5-6'!F41</f>
        <v>86885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333103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173872</v>
      </c>
      <c r="D189" s="2" t="str">
        <f t="shared" si="1"/>
        <v>Error?</v>
      </c>
    </row>
    <row r="190" spans="1:4" x14ac:dyDescent="0.2">
      <c r="A190" s="5">
        <v>129</v>
      </c>
      <c r="B190" s="138">
        <f>'Assets-Liab 5-6'!G41</f>
        <v>333103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52154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9392</v>
      </c>
      <c r="D212" s="2" t="str">
        <f t="shared" si="2"/>
        <v>Error?</v>
      </c>
    </row>
    <row r="213" spans="1:4" x14ac:dyDescent="0.2">
      <c r="A213" s="12">
        <v>152</v>
      </c>
      <c r="B213" s="138">
        <f>'Assets-Liab 5-6'!H41</f>
        <v>52154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21576</v>
      </c>
      <c r="D273" s="2" t="str">
        <f t="shared" si="3"/>
        <v>Error?</v>
      </c>
    </row>
    <row r="274" spans="1:4" x14ac:dyDescent="0.2">
      <c r="A274" s="5">
        <v>213</v>
      </c>
      <c r="B274" s="138">
        <f>'Assets-Liab 5-6'!M17</f>
        <v>2943396</v>
      </c>
      <c r="D274" s="2" t="str">
        <f t="shared" si="3"/>
        <v>Error?</v>
      </c>
    </row>
    <row r="275" spans="1:4" x14ac:dyDescent="0.2">
      <c r="A275" s="5">
        <v>214</v>
      </c>
      <c r="B275" s="138">
        <f>'Assets-Liab 5-6'!M18</f>
        <v>267350</v>
      </c>
      <c r="D275" s="2" t="str">
        <f t="shared" si="3"/>
        <v>Error?</v>
      </c>
    </row>
    <row r="276" spans="1:4" x14ac:dyDescent="0.2">
      <c r="A276" s="5">
        <v>215</v>
      </c>
      <c r="B276" s="138">
        <f>'Assets-Liab 5-6'!M19</f>
        <v>1059822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4395589</v>
      </c>
      <c r="C279" s="2" t="s">
        <v>594</v>
      </c>
      <c r="D279" s="2" t="str">
        <f t="shared" si="3"/>
        <v>Error?</v>
      </c>
    </row>
    <row r="280" spans="1:4" x14ac:dyDescent="0.2">
      <c r="A280" s="5">
        <v>219</v>
      </c>
      <c r="B280" s="138">
        <f>'Assets-Liab 5-6'!M40</f>
        <v>4395589</v>
      </c>
      <c r="D280" s="2" t="str">
        <f t="shared" si="3"/>
        <v>Error?</v>
      </c>
    </row>
    <row r="281" spans="1:4" x14ac:dyDescent="0.2">
      <c r="A281" s="5">
        <v>220</v>
      </c>
      <c r="B281" s="138">
        <f>'Assets-Liab 5-6'!M41</f>
        <v>4395589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1061423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98113</v>
      </c>
      <c r="D717" s="2" t="str">
        <f t="shared" si="10"/>
        <v>Error?</v>
      </c>
    </row>
    <row r="718" spans="1:4" x14ac:dyDescent="0.2">
      <c r="A718" s="5">
        <v>657</v>
      </c>
      <c r="B718" s="138">
        <f>'Expenditures 15-22'!C14</f>
        <v>80359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1774551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38565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37998</v>
      </c>
      <c r="D724" s="2" t="str">
        <f t="shared" si="10"/>
        <v>Error?</v>
      </c>
    </row>
    <row r="725" spans="1:4" x14ac:dyDescent="0.2">
      <c r="A725" s="5">
        <v>664</v>
      </c>
      <c r="B725" s="138">
        <f>'Expenditures 15-22'!C40</f>
        <v>42113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118676</v>
      </c>
      <c r="C727" s="2" t="s">
        <v>594</v>
      </c>
      <c r="D727" s="2" t="str">
        <f t="shared" si="10"/>
        <v>Error?</v>
      </c>
    </row>
    <row r="728" spans="1:4" x14ac:dyDescent="0.2">
      <c r="A728" s="5">
        <v>667</v>
      </c>
      <c r="B728" s="138">
        <f>'Expenditures 15-22'!C44</f>
        <v>3511</v>
      </c>
      <c r="D728" s="2" t="str">
        <f t="shared" si="10"/>
        <v>Error?</v>
      </c>
    </row>
    <row r="729" spans="1:4" x14ac:dyDescent="0.2">
      <c r="A729" s="5">
        <v>668</v>
      </c>
      <c r="B729" s="138">
        <f>'Expenditures 15-22'!C45</f>
        <v>35927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39438</v>
      </c>
      <c r="C731" s="2" t="s">
        <v>594</v>
      </c>
      <c r="D731" s="2" t="str">
        <f t="shared" si="10"/>
        <v>Error?</v>
      </c>
    </row>
    <row r="732" spans="1:4" x14ac:dyDescent="0.2">
      <c r="A732" s="5">
        <v>671</v>
      </c>
      <c r="B732" s="138">
        <f>'Expenditures 15-22'!C49</f>
        <v>12185</v>
      </c>
      <c r="D732" s="2" t="str">
        <f t="shared" si="10"/>
        <v>Error?</v>
      </c>
    </row>
    <row r="733" spans="1:4" x14ac:dyDescent="0.2">
      <c r="A733" s="5">
        <v>672</v>
      </c>
      <c r="B733" s="138">
        <f>'Expenditures 15-22'!C50</f>
        <v>143927</v>
      </c>
      <c r="D733" s="2" t="str">
        <f t="shared" si="10"/>
        <v>Error?</v>
      </c>
    </row>
    <row r="734" spans="1:4" x14ac:dyDescent="0.2">
      <c r="A734" s="5">
        <v>673</v>
      </c>
      <c r="B734" s="138">
        <f>'Expenditures 15-22'!C53</f>
        <v>156112</v>
      </c>
      <c r="C734" s="2" t="s">
        <v>594</v>
      </c>
      <c r="D734" s="2" t="str">
        <f t="shared" si="10"/>
        <v>Error?</v>
      </c>
    </row>
    <row r="735" spans="1:4" x14ac:dyDescent="0.2">
      <c r="A735" s="5">
        <v>674</v>
      </c>
      <c r="B735" s="138">
        <f>'Expenditures 15-22'!C55</f>
        <v>311009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311009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47849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19098</v>
      </c>
      <c r="D741" s="2" t="str">
        <f t="shared" si="10"/>
        <v>Error?</v>
      </c>
    </row>
    <row r="742" spans="1:4" x14ac:dyDescent="0.2">
      <c r="A742" s="5">
        <v>681</v>
      </c>
      <c r="B742" s="138">
        <f>'Expenditures 15-22'!C63</f>
        <v>80997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147944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773179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2547730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300850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37661</v>
      </c>
      <c r="D775" s="2" t="str">
        <f t="shared" si="11"/>
        <v>Error?</v>
      </c>
    </row>
    <row r="776" spans="1:4" x14ac:dyDescent="0.2">
      <c r="A776" s="5">
        <v>715</v>
      </c>
      <c r="B776" s="138">
        <f>'Expenditures 15-22'!D14</f>
        <v>6596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500177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11948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11882</v>
      </c>
      <c r="D782" s="2" t="str">
        <f t="shared" si="11"/>
        <v>Error?</v>
      </c>
    </row>
    <row r="783" spans="1:4" x14ac:dyDescent="0.2">
      <c r="A783" s="5">
        <v>722</v>
      </c>
      <c r="B783" s="138">
        <f>'Expenditures 15-22'!D40</f>
        <v>13223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37053</v>
      </c>
      <c r="C785" s="2" t="s">
        <v>594</v>
      </c>
      <c r="D785" s="2" t="str">
        <f t="shared" si="11"/>
        <v>Error?</v>
      </c>
    </row>
    <row r="786" spans="1:4" x14ac:dyDescent="0.2">
      <c r="A786" s="5">
        <v>725</v>
      </c>
      <c r="B786" s="138">
        <f>'Expenditures 15-22'!D44</f>
        <v>510</v>
      </c>
      <c r="D786" s="2" t="str">
        <f t="shared" si="11"/>
        <v>Error?</v>
      </c>
    </row>
    <row r="787" spans="1:4" x14ac:dyDescent="0.2">
      <c r="A787" s="5">
        <v>726</v>
      </c>
      <c r="B787" s="138">
        <f>'Expenditures 15-22'!D45</f>
        <v>12985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13495</v>
      </c>
      <c r="C789" s="2" t="s">
        <v>594</v>
      </c>
      <c r="D789" s="2" t="str">
        <f t="shared" si="11"/>
        <v>Error?</v>
      </c>
    </row>
    <row r="790" spans="1:4" x14ac:dyDescent="0.2">
      <c r="A790" s="5">
        <v>729</v>
      </c>
      <c r="B790" s="138">
        <f>'Expenditures 15-22'!D49</f>
        <v>391</v>
      </c>
      <c r="D790" s="2" t="str">
        <f t="shared" si="11"/>
        <v>Error?</v>
      </c>
    </row>
    <row r="791" spans="1:4" x14ac:dyDescent="0.2">
      <c r="A791" s="5">
        <v>730</v>
      </c>
      <c r="B791" s="138">
        <f>'Expenditures 15-22'!D50</f>
        <v>22161</v>
      </c>
      <c r="D791" s="2" t="str">
        <f t="shared" si="11"/>
        <v>Error?</v>
      </c>
    </row>
    <row r="792" spans="1:4" x14ac:dyDescent="0.2">
      <c r="A792" s="5">
        <v>731</v>
      </c>
      <c r="B792" s="138">
        <f>'Expenditures 15-22'!D53</f>
        <v>22552</v>
      </c>
      <c r="C792" s="2" t="s">
        <v>594</v>
      </c>
      <c r="D792" s="2" t="str">
        <f t="shared" si="11"/>
        <v>Error?</v>
      </c>
    </row>
    <row r="793" spans="1:4" x14ac:dyDescent="0.2">
      <c r="A793" s="5">
        <v>732</v>
      </c>
      <c r="B793" s="138">
        <f>'Expenditures 15-22'!D55</f>
        <v>96066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96066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29167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29167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198333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698510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79663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920</v>
      </c>
      <c r="D833" s="2" t="str">
        <f t="shared" si="12"/>
        <v>Error?</v>
      </c>
    </row>
    <row r="834" spans="1:4" x14ac:dyDescent="0.2">
      <c r="A834" s="5">
        <v>773</v>
      </c>
      <c r="B834" s="138">
        <f>'Expenditures 15-22'!E14</f>
        <v>26420</v>
      </c>
      <c r="D834" s="2" t="str">
        <f t="shared" si="12"/>
        <v>Error?</v>
      </c>
    </row>
    <row r="835" spans="1:4" x14ac:dyDescent="0.2">
      <c r="A835" s="5">
        <v>774</v>
      </c>
      <c r="B835" s="138">
        <f>'Expenditures 15-22'!E15</f>
        <v>68</v>
      </c>
      <c r="D835" s="2" t="str">
        <f t="shared" si="12"/>
        <v>Error?</v>
      </c>
    </row>
    <row r="836" spans="1:4" x14ac:dyDescent="0.2">
      <c r="A836" s="5">
        <v>775</v>
      </c>
      <c r="B836" s="138">
        <f>'Expenditures 15-22'!E33</f>
        <v>154322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395</v>
      </c>
      <c r="D840" s="2" t="str">
        <f t="shared" si="12"/>
        <v>Error?</v>
      </c>
    </row>
    <row r="841" spans="1:4" x14ac:dyDescent="0.2">
      <c r="A841" s="5">
        <v>780</v>
      </c>
      <c r="B841" s="138">
        <f>'Expenditures 15-22'!E40</f>
        <v>12520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12915</v>
      </c>
      <c r="C843" s="2" t="s">
        <v>594</v>
      </c>
      <c r="D843" s="2" t="str">
        <f t="shared" si="12"/>
        <v>Error?</v>
      </c>
    </row>
    <row r="844" spans="1:4" x14ac:dyDescent="0.2">
      <c r="A844" s="5">
        <v>783</v>
      </c>
      <c r="B844" s="138">
        <f>'Expenditures 15-22'!E44</f>
        <v>10276</v>
      </c>
      <c r="D844" s="2" t="str">
        <f t="shared" si="12"/>
        <v>Error?</v>
      </c>
    </row>
    <row r="845" spans="1:4" x14ac:dyDescent="0.2">
      <c r="A845" s="5">
        <v>784</v>
      </c>
      <c r="B845" s="138">
        <f>'Expenditures 15-22'!E45</f>
        <v>2301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12577</v>
      </c>
      <c r="C847" s="2" t="s">
        <v>594</v>
      </c>
      <c r="D847" s="2" t="str">
        <f t="shared" si="12"/>
        <v>Error?</v>
      </c>
    </row>
    <row r="848" spans="1:4" x14ac:dyDescent="0.2">
      <c r="A848" s="5">
        <v>787</v>
      </c>
      <c r="B848" s="138">
        <f>'Expenditures 15-22'!E49</f>
        <v>36805</v>
      </c>
      <c r="D848" s="2" t="str">
        <f t="shared" si="12"/>
        <v>Error?</v>
      </c>
    </row>
    <row r="849" spans="1:4" x14ac:dyDescent="0.2">
      <c r="A849" s="5">
        <v>788</v>
      </c>
      <c r="B849" s="138">
        <f>'Expenditures 15-22'!E50</f>
        <v>4919</v>
      </c>
      <c r="D849" s="2" t="str">
        <f t="shared" si="12"/>
        <v>Error?</v>
      </c>
    </row>
    <row r="850" spans="1:4" x14ac:dyDescent="0.2">
      <c r="A850" s="5">
        <v>789</v>
      </c>
      <c r="B850" s="138">
        <f>'Expenditures 15-22'!E53</f>
        <v>41724</v>
      </c>
      <c r="C850" s="2" t="s">
        <v>594</v>
      </c>
      <c r="D850" s="2" t="str">
        <f t="shared" si="12"/>
        <v>Error?</v>
      </c>
    </row>
    <row r="851" spans="1:4" x14ac:dyDescent="0.2">
      <c r="A851" s="5">
        <v>790</v>
      </c>
      <c r="B851" s="138">
        <f>'Expenditures 15-22'!E55</f>
        <v>536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2263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2704</v>
      </c>
      <c r="D858" s="2" t="str">
        <f t="shared" si="12"/>
        <v>Error?</v>
      </c>
    </row>
    <row r="859" spans="1:4" x14ac:dyDescent="0.2">
      <c r="A859" s="5">
        <v>798</v>
      </c>
      <c r="B859" s="138">
        <f>'Expenditures 15-22'!E64</f>
        <v>9684</v>
      </c>
      <c r="D859" s="2" t="str">
        <f t="shared" si="12"/>
        <v>Error?</v>
      </c>
    </row>
    <row r="860" spans="1:4" x14ac:dyDescent="0.2">
      <c r="A860" s="10">
        <v>799</v>
      </c>
      <c r="D860" s="2" t="str">
        <f t="shared" si="12"/>
        <v>OK</v>
      </c>
    </row>
    <row r="861" spans="1:4" x14ac:dyDescent="0.2">
      <c r="A861" s="5">
        <v>800</v>
      </c>
      <c r="B861" s="138">
        <f>'Expenditures 15-22'!E65</f>
        <v>14651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9643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9643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92046</v>
      </c>
      <c r="C871" s="2" t="s">
        <v>594</v>
      </c>
      <c r="D871" s="2" t="str">
        <f t="shared" si="12"/>
        <v>Error?</v>
      </c>
    </row>
    <row r="872" spans="1:4" x14ac:dyDescent="0.2">
      <c r="A872" s="5">
        <v>811</v>
      </c>
      <c r="B872" s="138">
        <f>'Expenditures 15-22'!E75</f>
        <v>553</v>
      </c>
      <c r="D872" s="2" t="str">
        <f t="shared" si="12"/>
        <v>Error?</v>
      </c>
    </row>
    <row r="873" spans="1:4" x14ac:dyDescent="0.2">
      <c r="A873" s="5">
        <v>812</v>
      </c>
      <c r="B873" s="138">
        <f>'Expenditures 15-22'!E114</f>
        <v>246921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40483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9733</v>
      </c>
      <c r="D891" s="2" t="str">
        <f t="shared" si="12"/>
        <v>Error?</v>
      </c>
    </row>
    <row r="892" spans="1:4" x14ac:dyDescent="0.2">
      <c r="A892" s="5">
        <v>831</v>
      </c>
      <c r="B892" s="138">
        <f>'Expenditures 15-22'!F14</f>
        <v>11848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100097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43</v>
      </c>
      <c r="D902" s="2" t="str">
        <f t="shared" si="13"/>
        <v>Error?</v>
      </c>
    </row>
    <row r="903" spans="1:4" x14ac:dyDescent="0.2">
      <c r="A903" s="5">
        <v>842</v>
      </c>
      <c r="B903" s="138">
        <f>'Expenditures 15-22'!F45</f>
        <v>1941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1984</v>
      </c>
      <c r="C905" s="2" t="s">
        <v>594</v>
      </c>
      <c r="D905" s="2" t="str">
        <f t="shared" si="13"/>
        <v>Error?</v>
      </c>
    </row>
    <row r="906" spans="1:4" x14ac:dyDescent="0.2">
      <c r="A906" s="5">
        <v>845</v>
      </c>
      <c r="B906" s="138">
        <f>'Expenditures 15-22'!F49</f>
        <v>1170</v>
      </c>
      <c r="D906" s="2" t="str">
        <f t="shared" si="13"/>
        <v>Error?</v>
      </c>
    </row>
    <row r="907" spans="1:4" x14ac:dyDescent="0.2">
      <c r="A907" s="5">
        <v>846</v>
      </c>
      <c r="B907" s="138">
        <f>'Expenditures 15-22'!F50</f>
        <v>3155</v>
      </c>
      <c r="D907" s="2" t="str">
        <f t="shared" si="13"/>
        <v>Error?</v>
      </c>
    </row>
    <row r="908" spans="1:4" x14ac:dyDescent="0.2">
      <c r="A908" s="5">
        <v>847</v>
      </c>
      <c r="B908" s="138">
        <f>'Expenditures 15-22'!F53</f>
        <v>4325</v>
      </c>
      <c r="C908" s="2" t="s">
        <v>594</v>
      </c>
      <c r="D908" s="2" t="str">
        <f t="shared" si="13"/>
        <v>Error?</v>
      </c>
    </row>
    <row r="909" spans="1:4" x14ac:dyDescent="0.2">
      <c r="A909" s="5">
        <v>848</v>
      </c>
      <c r="B909" s="138">
        <f>'Expenditures 15-22'!F55</f>
        <v>2830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2830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133400</v>
      </c>
      <c r="D916" s="2" t="str">
        <f t="shared" si="13"/>
        <v>Error?</v>
      </c>
    </row>
    <row r="917" spans="1:4" x14ac:dyDescent="0.2">
      <c r="A917" s="5">
        <v>856</v>
      </c>
      <c r="B917" s="138">
        <f>'Expenditures 15-22'!F64</f>
        <v>5882</v>
      </c>
      <c r="D917" s="2" t="str">
        <f t="shared" si="13"/>
        <v>Error?</v>
      </c>
    </row>
    <row r="918" spans="1:4" x14ac:dyDescent="0.2">
      <c r="A918" s="10">
        <v>857</v>
      </c>
      <c r="D918" s="2" t="str">
        <f t="shared" si="13"/>
        <v>OK</v>
      </c>
    </row>
    <row r="919" spans="1:4" x14ac:dyDescent="0.2">
      <c r="A919" s="5">
        <v>858</v>
      </c>
      <c r="B919" s="138">
        <f>'Expenditures 15-22'!F65</f>
        <v>139660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148799</v>
      </c>
      <c r="C929" s="2" t="s">
        <v>594</v>
      </c>
      <c r="D929" s="2" t="str">
        <f t="shared" si="13"/>
        <v>Error?</v>
      </c>
    </row>
    <row r="930" spans="1:4" x14ac:dyDescent="0.2">
      <c r="A930" s="5">
        <v>869</v>
      </c>
      <c r="B930" s="138">
        <f>'Expenditures 15-22'!F75</f>
        <v>991</v>
      </c>
      <c r="D930" s="2" t="str">
        <f t="shared" si="13"/>
        <v>Error?</v>
      </c>
    </row>
    <row r="931" spans="1:4" x14ac:dyDescent="0.2">
      <c r="A931" s="5">
        <v>870</v>
      </c>
      <c r="B931" s="138">
        <f>'Expenditures 15-22'!F114</f>
        <v>249887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15896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20366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4034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4034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24400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174</v>
      </c>
      <c r="D1009" s="2" t="str">
        <f t="shared" si="14"/>
        <v>Error?</v>
      </c>
    </row>
    <row r="1010" spans="1:4" x14ac:dyDescent="0.2">
      <c r="A1010" s="5">
        <v>949</v>
      </c>
      <c r="B1010" s="138">
        <f>'Expenditures 15-22'!H33</f>
        <v>8214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2183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2183</v>
      </c>
      <c r="C1024" s="2" t="s">
        <v>594</v>
      </c>
      <c r="D1024" s="2" t="str">
        <f t="shared" si="15"/>
        <v>Error?</v>
      </c>
    </row>
    <row r="1025" spans="1:4" x14ac:dyDescent="0.2">
      <c r="A1025" s="5">
        <v>964</v>
      </c>
      <c r="B1025" s="138">
        <f>'Expenditures 15-22'!H55</f>
        <v>831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831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3014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349892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361120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1498966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146427</v>
      </c>
      <c r="C1105" s="2" t="s">
        <v>594</v>
      </c>
      <c r="D1105" s="2" t="str">
        <f t="shared" si="16"/>
        <v>Error?</v>
      </c>
    </row>
    <row r="1106" spans="1:4" x14ac:dyDescent="0.2">
      <c r="A1106" s="5">
        <v>1045</v>
      </c>
      <c r="B1106" s="138">
        <f>'Expenditures 15-22'!K14</f>
        <v>125913</v>
      </c>
      <c r="C1106" s="2" t="s">
        <v>594</v>
      </c>
      <c r="D1106" s="2" t="str">
        <f t="shared" si="16"/>
        <v>Error?</v>
      </c>
    </row>
    <row r="1107" spans="1:4" x14ac:dyDescent="0.2">
      <c r="A1107" s="5">
        <v>1046</v>
      </c>
      <c r="B1107" s="138">
        <f>'Expenditures 15-22'!K15</f>
        <v>242</v>
      </c>
      <c r="C1107" s="2" t="s">
        <v>594</v>
      </c>
      <c r="D1107" s="2" t="str">
        <f t="shared" si="16"/>
        <v>Error?</v>
      </c>
    </row>
    <row r="1108" spans="1:4" x14ac:dyDescent="0.2">
      <c r="A1108" s="5">
        <v>1047</v>
      </c>
      <c r="B1108" s="138">
        <f>'Expenditures 15-22'!K33</f>
        <v>2559368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50513</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50275</v>
      </c>
      <c r="C1112" s="2" t="s">
        <v>594</v>
      </c>
      <c r="D1112" s="2" t="str">
        <f t="shared" si="16"/>
        <v>Error?</v>
      </c>
    </row>
    <row r="1113" spans="1:4" x14ac:dyDescent="0.2">
      <c r="A1113" s="5">
        <v>1052</v>
      </c>
      <c r="B1113" s="138">
        <f>'Expenditures 15-22'!K40</f>
        <v>67856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168644</v>
      </c>
      <c r="C1115" s="2" t="s">
        <v>594</v>
      </c>
      <c r="D1115" s="2" t="str">
        <f t="shared" si="16"/>
        <v>Error?</v>
      </c>
    </row>
    <row r="1116" spans="1:4" x14ac:dyDescent="0.2">
      <c r="A1116" s="5">
        <v>1055</v>
      </c>
      <c r="B1116" s="138">
        <f>'Expenditures 15-22'!K44</f>
        <v>14340</v>
      </c>
      <c r="C1116" s="2" t="s">
        <v>594</v>
      </c>
      <c r="D1116" s="2" t="str">
        <f t="shared" si="16"/>
        <v>Error?</v>
      </c>
    </row>
    <row r="1117" spans="1:4" x14ac:dyDescent="0.2">
      <c r="A1117" s="5">
        <v>1056</v>
      </c>
      <c r="B1117" s="138">
        <f>'Expenditures 15-22'!K45</f>
        <v>53154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67494</v>
      </c>
      <c r="C1119" s="2" t="s">
        <v>594</v>
      </c>
      <c r="D1119" s="2" t="str">
        <f t="shared" si="16"/>
        <v>Error?</v>
      </c>
    </row>
    <row r="1120" spans="1:4" x14ac:dyDescent="0.2">
      <c r="A1120" s="5">
        <v>1059</v>
      </c>
      <c r="B1120" s="138">
        <f>'Expenditures 15-22'!K49</f>
        <v>53489</v>
      </c>
      <c r="C1120" s="2" t="s">
        <v>594</v>
      </c>
      <c r="D1120" s="2" t="str">
        <f t="shared" si="16"/>
        <v>Error?</v>
      </c>
    </row>
    <row r="1121" spans="1:4" x14ac:dyDescent="0.2">
      <c r="A1121" s="5">
        <v>1060</v>
      </c>
      <c r="B1121" s="138">
        <f>'Expenditures 15-22'!K50</f>
        <v>174162</v>
      </c>
      <c r="C1121" s="2" t="s">
        <v>594</v>
      </c>
      <c r="D1121" s="2" t="str">
        <f t="shared" si="16"/>
        <v>Error?</v>
      </c>
    </row>
    <row r="1122" spans="1:4" x14ac:dyDescent="0.2">
      <c r="A1122" s="5">
        <v>1061</v>
      </c>
      <c r="B1122" s="138">
        <f>'Expenditures 15-22'!K53</f>
        <v>227651</v>
      </c>
      <c r="C1122" s="2" t="s">
        <v>594</v>
      </c>
      <c r="D1122" s="2" t="str">
        <f t="shared" si="16"/>
        <v>Error?</v>
      </c>
    </row>
    <row r="1123" spans="1:4" x14ac:dyDescent="0.2">
      <c r="A1123" s="5">
        <v>1062</v>
      </c>
      <c r="B1123" s="138">
        <f>'Expenditures 15-22'!K55</f>
        <v>414233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414233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50490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19098</v>
      </c>
      <c r="C1129" s="2" t="s">
        <v>594</v>
      </c>
      <c r="D1129" s="2" t="str">
        <f t="shared" si="16"/>
        <v>Error?</v>
      </c>
    </row>
    <row r="1130" spans="1:4" x14ac:dyDescent="0.2">
      <c r="A1130" s="5">
        <v>1069</v>
      </c>
      <c r="B1130" s="138">
        <f>'Expenditures 15-22'!K63</f>
        <v>259938</v>
      </c>
      <c r="C1130" s="2" t="s">
        <v>594</v>
      </c>
      <c r="D1130" s="2" t="str">
        <f t="shared" si="16"/>
        <v>Error?</v>
      </c>
    </row>
    <row r="1131" spans="1:4" x14ac:dyDescent="0.2">
      <c r="A1131" s="5">
        <v>1070</v>
      </c>
      <c r="B1131" s="138">
        <f>'Expenditures 15-22'!K64</f>
        <v>15566</v>
      </c>
      <c r="C1131" s="2" t="s">
        <v>594</v>
      </c>
      <c r="D1131" s="2" t="str">
        <f t="shared" si="16"/>
        <v>Error?</v>
      </c>
    </row>
    <row r="1132" spans="1:4" x14ac:dyDescent="0.2">
      <c r="A1132" s="10">
        <v>1071</v>
      </c>
      <c r="D1132" s="2" t="str">
        <f t="shared" si="16"/>
        <v>OK</v>
      </c>
    </row>
    <row r="1133" spans="1:4" x14ac:dyDescent="0.2">
      <c r="A1133" s="5">
        <v>1072</v>
      </c>
      <c r="B1133" s="138">
        <f>'Expenditures 15-22'!K65</f>
        <v>345092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9643</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9643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1232757</v>
      </c>
      <c r="C1143" s="2" t="s">
        <v>594</v>
      </c>
      <c r="D1143" s="2" t="str">
        <f t="shared" si="16"/>
        <v>Error?</v>
      </c>
    </row>
    <row r="1144" spans="1:4" x14ac:dyDescent="0.2">
      <c r="A1144" s="5">
        <v>1083</v>
      </c>
      <c r="B1144" s="138">
        <f>'Expenditures 15-22'!K75</f>
        <v>1544</v>
      </c>
      <c r="C1144" s="2" t="s">
        <v>594</v>
      </c>
      <c r="D1144" s="2" t="str">
        <f t="shared" si="16"/>
        <v>Error?</v>
      </c>
    </row>
    <row r="1145" spans="1:4" x14ac:dyDescent="0.2">
      <c r="A1145" s="5">
        <v>1084</v>
      </c>
      <c r="B1145" s="138">
        <f>'Expenditures 15-22'!K102</f>
        <v>349892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4143561</v>
      </c>
      <c r="C1152" s="2" t="s">
        <v>594</v>
      </c>
      <c r="D1152" s="2" t="str">
        <f t="shared" si="17"/>
        <v>Error?</v>
      </c>
    </row>
    <row r="1153" spans="1:4" x14ac:dyDescent="0.2">
      <c r="A1153" s="5">
        <v>1092</v>
      </c>
      <c r="B1153" s="138">
        <f>'Expenditures 15-22'!K115</f>
        <v>167809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153558</v>
      </c>
      <c r="D1221" s="2" t="str">
        <f t="shared" si="18"/>
        <v>Error?</v>
      </c>
    </row>
    <row r="1222" spans="1:4" x14ac:dyDescent="0.2">
      <c r="A1222" s="10">
        <v>1161</v>
      </c>
      <c r="D1222" s="2" t="str">
        <f t="shared" si="18"/>
        <v>OK</v>
      </c>
    </row>
    <row r="1223" spans="1:4" x14ac:dyDescent="0.2">
      <c r="A1223" s="5">
        <v>1162</v>
      </c>
      <c r="B1223" s="138">
        <f>'Expenditures 15-22'!C127</f>
        <v>153558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153558</v>
      </c>
      <c r="C1225" s="2" t="s">
        <v>594</v>
      </c>
      <c r="D1225" s="2" t="str">
        <f t="shared" si="18"/>
        <v>Error?</v>
      </c>
    </row>
    <row r="1226" spans="1:4" x14ac:dyDescent="0.2">
      <c r="A1226" s="5">
        <v>1165</v>
      </c>
      <c r="B1226" s="138">
        <f>'Expenditures 15-22'!C151</f>
        <v>153558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36585</v>
      </c>
      <c r="D1229" s="2" t="str">
        <f t="shared" si="18"/>
        <v>Error?</v>
      </c>
    </row>
    <row r="1230" spans="1:4" x14ac:dyDescent="0.2">
      <c r="A1230" s="10">
        <v>1169</v>
      </c>
      <c r="D1230" s="2" t="str">
        <f t="shared" si="18"/>
        <v>OK</v>
      </c>
    </row>
    <row r="1231" spans="1:4" x14ac:dyDescent="0.2">
      <c r="A1231" s="5">
        <v>1170</v>
      </c>
      <c r="B1231" s="138">
        <f>'Expenditures 15-22'!D127</f>
        <v>36585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36585</v>
      </c>
      <c r="C1233" s="2" t="s">
        <v>594</v>
      </c>
      <c r="D1233" s="2" t="str">
        <f t="shared" si="18"/>
        <v>Error?</v>
      </c>
    </row>
    <row r="1234" spans="1:4" x14ac:dyDescent="0.2">
      <c r="A1234" s="5">
        <v>1173</v>
      </c>
      <c r="B1234" s="138">
        <f>'Expenditures 15-22'!D151</f>
        <v>36585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38479</v>
      </c>
      <c r="D1237" s="2" t="str">
        <f t="shared" si="18"/>
        <v>Error?</v>
      </c>
    </row>
    <row r="1238" spans="1:4" x14ac:dyDescent="0.2">
      <c r="A1238" s="10">
        <v>1177</v>
      </c>
      <c r="D1238" s="2" t="str">
        <f t="shared" si="18"/>
        <v>OK</v>
      </c>
    </row>
    <row r="1239" spans="1:4" x14ac:dyDescent="0.2">
      <c r="A1239" s="5">
        <v>1178</v>
      </c>
      <c r="B1239" s="138">
        <f>'Expenditures 15-22'!E127</f>
        <v>38479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38479</v>
      </c>
      <c r="C1241" s="2" t="s">
        <v>594</v>
      </c>
      <c r="D1241" s="2" t="str">
        <f t="shared" si="18"/>
        <v>Error?</v>
      </c>
    </row>
    <row r="1242" spans="1:4" x14ac:dyDescent="0.2">
      <c r="A1242" s="5">
        <v>1181</v>
      </c>
      <c r="B1242" s="138">
        <f>'Expenditures 15-22'!E151</f>
        <v>38479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99848</v>
      </c>
      <c r="D1245" s="2" t="str">
        <f t="shared" si="18"/>
        <v>Error?</v>
      </c>
    </row>
    <row r="1246" spans="1:4" x14ac:dyDescent="0.2">
      <c r="A1246" s="10">
        <v>1185</v>
      </c>
      <c r="D1246" s="2" t="str">
        <f t="shared" si="18"/>
        <v>OK</v>
      </c>
    </row>
    <row r="1247" spans="1:4" x14ac:dyDescent="0.2">
      <c r="A1247" s="5">
        <v>1186</v>
      </c>
      <c r="B1247" s="138">
        <f>'Expenditures 15-22'!F127</f>
        <v>99848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99848</v>
      </c>
      <c r="C1249" s="2" t="s">
        <v>594</v>
      </c>
      <c r="D1249" s="2" t="str">
        <f t="shared" si="18"/>
        <v>Error?</v>
      </c>
    </row>
    <row r="1250" spans="1:4" x14ac:dyDescent="0.2">
      <c r="A1250" s="5">
        <v>1189</v>
      </c>
      <c r="B1250" s="138">
        <f>'Expenditures 15-22'!F151</f>
        <v>99848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7295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7295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7295</v>
      </c>
      <c r="C1258" s="2" t="s">
        <v>594</v>
      </c>
      <c r="D1258" s="2" t="str">
        <f t="shared" si="18"/>
        <v>Error?</v>
      </c>
    </row>
    <row r="1259" spans="1:4" x14ac:dyDescent="0.2">
      <c r="A1259" s="5">
        <v>1198</v>
      </c>
      <c r="B1259" s="138">
        <f>'Expenditures 15-22'!G151</f>
        <v>7295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337182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337182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337182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337182</v>
      </c>
      <c r="C1288" s="2" t="s">
        <v>594</v>
      </c>
      <c r="D1288" s="2" t="str">
        <f t="shared" si="19"/>
        <v>Error?</v>
      </c>
    </row>
    <row r="1289" spans="1:4" x14ac:dyDescent="0.2">
      <c r="A1289" s="5">
        <v>1228</v>
      </c>
      <c r="B1289" s="138">
        <f>'Expenditures 15-22'!K152</f>
        <v>-15731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270779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270779</v>
      </c>
      <c r="C1339" s="2" t="s">
        <v>594</v>
      </c>
      <c r="D1339" s="2" t="str">
        <f t="shared" si="19"/>
        <v>Error?</v>
      </c>
    </row>
    <row r="1340" spans="1:4" x14ac:dyDescent="0.2">
      <c r="A1340" s="5">
        <v>1279</v>
      </c>
      <c r="B1340" s="138">
        <f>'Expenditures 15-22'!C210</f>
        <v>270779</v>
      </c>
      <c r="C1340" s="2" t="s">
        <v>594</v>
      </c>
      <c r="D1340" s="2" t="str">
        <f t="shared" si="19"/>
        <v>Error?</v>
      </c>
    </row>
    <row r="1341" spans="1:4" x14ac:dyDescent="0.2">
      <c r="A1341" s="5">
        <v>1280</v>
      </c>
      <c r="B1341" s="138">
        <f>'Expenditures 15-22'!D182</f>
        <v>32431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32431</v>
      </c>
      <c r="C1345" s="2" t="s">
        <v>594</v>
      </c>
      <c r="D1345" s="2" t="str">
        <f t="shared" si="20"/>
        <v>Error?</v>
      </c>
    </row>
    <row r="1346" spans="1:4" x14ac:dyDescent="0.2">
      <c r="A1346" s="5">
        <v>1285</v>
      </c>
      <c r="B1346" s="138">
        <f>'Expenditures 15-22'!D210</f>
        <v>32431</v>
      </c>
      <c r="C1346" s="2" t="s">
        <v>594</v>
      </c>
      <c r="D1346" s="2" t="str">
        <f t="shared" si="20"/>
        <v>Error?</v>
      </c>
    </row>
    <row r="1347" spans="1:4" x14ac:dyDescent="0.2">
      <c r="A1347" s="5">
        <v>1286</v>
      </c>
      <c r="B1347" s="138">
        <f>'Expenditures 15-22'!E182</f>
        <v>151932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151932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151932</v>
      </c>
      <c r="C1353" s="2" t="s">
        <v>594</v>
      </c>
      <c r="D1353" s="2" t="str">
        <f t="shared" si="20"/>
        <v>Error?</v>
      </c>
    </row>
    <row r="1354" spans="1:4" x14ac:dyDescent="0.2">
      <c r="A1354" s="5">
        <v>1293</v>
      </c>
      <c r="B1354" s="138">
        <f>'Expenditures 15-22'!F182</f>
        <v>64324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64324</v>
      </c>
      <c r="C1358" s="2" t="s">
        <v>594</v>
      </c>
      <c r="D1358" s="2" t="str">
        <f t="shared" si="20"/>
        <v>Error?</v>
      </c>
    </row>
    <row r="1359" spans="1:4" x14ac:dyDescent="0.2">
      <c r="A1359" s="5">
        <v>1298</v>
      </c>
      <c r="B1359" s="138">
        <f>'Expenditures 15-22'!F210</f>
        <v>64324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519466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519466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519466</v>
      </c>
      <c r="C1388" s="2" t="s">
        <v>594</v>
      </c>
      <c r="D1388" s="2" t="str">
        <f t="shared" si="20"/>
        <v>Error?</v>
      </c>
    </row>
    <row r="1389" spans="1:4" x14ac:dyDescent="0.2">
      <c r="A1389" s="5">
        <v>1328</v>
      </c>
      <c r="B1389" s="138">
        <f>'Expenditures 15-22'!K211</f>
        <v>86146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1346</v>
      </c>
      <c r="D1407" s="2" t="str">
        <f t="shared" ref="D1407:D1470" si="21">IF(ISBLANK(B1407),"OK",IF(A1407-B1407=0,"OK","Error?"))</f>
        <v>OK</v>
      </c>
    </row>
    <row r="1408" spans="1:4" x14ac:dyDescent="0.2">
      <c r="A1408" s="5">
        <v>1347</v>
      </c>
      <c r="B1408" s="138">
        <f>'Expenditures 15-22'!D223</f>
        <v>2890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58782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538</v>
      </c>
      <c r="D1414" s="2" t="str">
        <f t="shared" si="21"/>
        <v>Error?</v>
      </c>
    </row>
    <row r="1415" spans="1:4" x14ac:dyDescent="0.2">
      <c r="A1415" s="5">
        <v>1354</v>
      </c>
      <c r="B1415" s="138">
        <f>'Expenditures 15-22'!D236</f>
        <v>589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1659</v>
      </c>
      <c r="C1417" s="2" t="s">
        <v>594</v>
      </c>
      <c r="D1417" s="2" t="str">
        <f t="shared" si="21"/>
        <v>Error?</v>
      </c>
    </row>
    <row r="1418" spans="1:4" x14ac:dyDescent="0.2">
      <c r="A1418" s="5">
        <v>1357</v>
      </c>
      <c r="B1418" s="138">
        <f>'Expenditures 15-22'!D240</f>
        <v>51</v>
      </c>
      <c r="D1418" s="2" t="str">
        <f t="shared" si="21"/>
        <v>Error?</v>
      </c>
    </row>
    <row r="1419" spans="1:4" x14ac:dyDescent="0.2">
      <c r="A1419" s="5">
        <v>1358</v>
      </c>
      <c r="B1419" s="138">
        <f>'Expenditures 15-22'!D241</f>
        <v>474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8856</v>
      </c>
      <c r="D1423" s="2" t="str">
        <f t="shared" si="21"/>
        <v>Error?</v>
      </c>
    </row>
    <row r="1424" spans="1:4" x14ac:dyDescent="0.2">
      <c r="A1424" s="5">
        <v>1363</v>
      </c>
      <c r="B1424" s="138">
        <f>'Expenditures 15-22'!D257</f>
        <v>26917</v>
      </c>
      <c r="C1424" s="2" t="s">
        <v>594</v>
      </c>
      <c r="D1424" s="2" t="str">
        <f t="shared" si="21"/>
        <v>Error?</v>
      </c>
    </row>
    <row r="1425" spans="1:4" x14ac:dyDescent="0.2">
      <c r="A1425" s="5">
        <v>1364</v>
      </c>
      <c r="B1425" s="138">
        <f>'Expenditures 15-22'!D259</f>
        <v>19755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19755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8986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26913</v>
      </c>
      <c r="D1431" s="2" t="str">
        <f t="shared" si="21"/>
        <v>Error?</v>
      </c>
    </row>
    <row r="1432" spans="1:4" x14ac:dyDescent="0.2">
      <c r="A1432" s="5">
        <v>1371</v>
      </c>
      <c r="B1432" s="138">
        <f>'Expenditures 15-22'!D267</f>
        <v>44885</v>
      </c>
      <c r="D1432" s="2" t="str">
        <f t="shared" si="21"/>
        <v>Error?</v>
      </c>
    </row>
    <row r="1433" spans="1:4" x14ac:dyDescent="0.2">
      <c r="A1433" s="5">
        <v>1372</v>
      </c>
      <c r="B1433" s="138">
        <f>'Expenditures 15-22'!D268</f>
        <v>13916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94700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143556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202338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1346</v>
      </c>
      <c r="C1471" s="2" t="s">
        <v>594</v>
      </c>
      <c r="D1471" s="2" t="str">
        <f t="shared" ref="D1471:D1534" si="22">IF(ISBLANK(B1471),"OK",IF(A1471-B1471=0,"OK","Error?"))</f>
        <v>Error?</v>
      </c>
    </row>
    <row r="1472" spans="1:4" x14ac:dyDescent="0.2">
      <c r="A1472" s="5">
        <v>1411</v>
      </c>
      <c r="B1472" s="138">
        <f>'Expenditures 15-22'!K223</f>
        <v>2890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58782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532</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538</v>
      </c>
      <c r="C1478" s="2" t="s">
        <v>594</v>
      </c>
      <c r="D1478" s="2" t="str">
        <f t="shared" si="22"/>
        <v>Error?</v>
      </c>
    </row>
    <row r="1479" spans="1:4" x14ac:dyDescent="0.2">
      <c r="A1479" s="5">
        <v>1418</v>
      </c>
      <c r="B1479" s="138">
        <f>'Expenditures 15-22'!K236</f>
        <v>589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1659</v>
      </c>
      <c r="C1481" s="2" t="s">
        <v>594</v>
      </c>
      <c r="D1481" s="2" t="str">
        <f t="shared" si="22"/>
        <v>Error?</v>
      </c>
    </row>
    <row r="1482" spans="1:4" x14ac:dyDescent="0.2">
      <c r="A1482" s="5">
        <v>1421</v>
      </c>
      <c r="B1482" s="138">
        <f>'Expenditures 15-22'!K240</f>
        <v>51</v>
      </c>
      <c r="C1482" s="2" t="s">
        <v>594</v>
      </c>
      <c r="D1482" s="2" t="str">
        <f t="shared" si="22"/>
        <v>Error?</v>
      </c>
    </row>
    <row r="1483" spans="1:4" x14ac:dyDescent="0.2">
      <c r="A1483" s="5">
        <v>1422</v>
      </c>
      <c r="B1483" s="138">
        <f>'Expenditures 15-22'!K241</f>
        <v>474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525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8856</v>
      </c>
      <c r="C1487" s="2" t="s">
        <v>594</v>
      </c>
      <c r="D1487" s="2" t="str">
        <f t="shared" si="22"/>
        <v>Error?</v>
      </c>
    </row>
    <row r="1488" spans="1:4" x14ac:dyDescent="0.2">
      <c r="A1488" s="5">
        <v>1427</v>
      </c>
      <c r="B1488" s="138">
        <f>'Expenditures 15-22'!K257</f>
        <v>26917</v>
      </c>
      <c r="C1488" s="2" t="s">
        <v>594</v>
      </c>
      <c r="D1488" s="2" t="str">
        <f t="shared" si="22"/>
        <v>Error?</v>
      </c>
    </row>
    <row r="1489" spans="1:4" x14ac:dyDescent="0.2">
      <c r="A1489" s="5">
        <v>1428</v>
      </c>
      <c r="B1489" s="138">
        <f>'Expenditures 15-22'!K259</f>
        <v>19755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19755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8986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26913</v>
      </c>
      <c r="C1495" s="2" t="s">
        <v>594</v>
      </c>
      <c r="D1495" s="2" t="str">
        <f t="shared" si="22"/>
        <v>Error?</v>
      </c>
    </row>
    <row r="1496" spans="1:4" x14ac:dyDescent="0.2">
      <c r="A1496" s="5">
        <v>1435</v>
      </c>
      <c r="B1496" s="138">
        <f>'Expenditures 15-22'!K267</f>
        <v>44885</v>
      </c>
      <c r="C1496" s="2" t="s">
        <v>594</v>
      </c>
      <c r="D1496" s="2" t="str">
        <f t="shared" si="22"/>
        <v>Error?</v>
      </c>
    </row>
    <row r="1497" spans="1:4" x14ac:dyDescent="0.2">
      <c r="A1497" s="5">
        <v>1436</v>
      </c>
      <c r="B1497" s="138">
        <f>'Expenditures 15-22'!K268</f>
        <v>13916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94700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143556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202338</v>
      </c>
      <c r="C1517" s="2" t="s">
        <v>594</v>
      </c>
      <c r="D1517" s="2" t="str">
        <f t="shared" si="22"/>
        <v>Error?</v>
      </c>
    </row>
    <row r="1518" spans="1:4" x14ac:dyDescent="0.2">
      <c r="A1518" s="5">
        <v>1457</v>
      </c>
      <c r="B1518" s="138">
        <f>'Expenditures 15-22'!K296</f>
        <v>45245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17231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75908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243717</v>
      </c>
      <c r="C1630" s="2" t="s">
        <v>594</v>
      </c>
      <c r="D1630" s="2" t="str">
        <f t="shared" si="24"/>
        <v>Error?</v>
      </c>
    </row>
    <row r="1631" spans="1:4" x14ac:dyDescent="0.2">
      <c r="A1631" s="5">
        <v>1570</v>
      </c>
      <c r="B1631" s="138">
        <f>'Acct Summary 7-8'!D79</f>
        <v>1281116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1265385</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739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86885</v>
      </c>
      <c r="C1672" s="2" t="s">
        <v>594</v>
      </c>
      <c r="D1672" s="2" t="str">
        <f t="shared" si="25"/>
        <v>Error?</v>
      </c>
    </row>
    <row r="1673" spans="1:4" x14ac:dyDescent="0.2">
      <c r="A1673" s="5">
        <v>1612</v>
      </c>
      <c r="B1673" s="138">
        <f>'Acct Summary 7-8'!G79</f>
        <v>287858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333103</v>
      </c>
      <c r="C1686" s="2" t="s">
        <v>594</v>
      </c>
      <c r="D1686" s="2" t="str">
        <f t="shared" si="25"/>
        <v>Error?</v>
      </c>
    </row>
    <row r="1687" spans="1:4" x14ac:dyDescent="0.2">
      <c r="A1687" s="5">
        <v>1626</v>
      </c>
      <c r="B1687" s="138">
        <f>'Acct Summary 7-8'!H79</f>
        <v>34923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52154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1436252</v>
      </c>
      <c r="C1744" s="2" t="s">
        <v>594</v>
      </c>
      <c r="D1744" s="2" t="str">
        <f t="shared" si="26"/>
        <v>Error?</v>
      </c>
    </row>
    <row r="1745" spans="1:5" x14ac:dyDescent="0.2">
      <c r="A1745" s="5">
        <v>1684</v>
      </c>
      <c r="B1745" s="138">
        <f>'Tax Sched 23'!B5</f>
        <v>312032</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124813</v>
      </c>
      <c r="C1747" s="2" t="s">
        <v>594</v>
      </c>
      <c r="D1747" s="2" t="str">
        <f t="shared" si="26"/>
        <v>Error?</v>
      </c>
    </row>
    <row r="1748" spans="1:5" x14ac:dyDescent="0.2">
      <c r="A1748" s="5">
        <v>1687</v>
      </c>
      <c r="B1748" s="138">
        <f>'Tax Sched 23'!B8</f>
        <v>121398</v>
      </c>
      <c r="C1748" s="2" t="s">
        <v>594</v>
      </c>
      <c r="D1748" s="2" t="str">
        <f t="shared" si="26"/>
        <v>Error?</v>
      </c>
    </row>
    <row r="1749" spans="1:5" x14ac:dyDescent="0.2">
      <c r="A1749" s="5">
        <v>1688</v>
      </c>
      <c r="B1749" s="138">
        <f>'Tax Sched 23'!B10</f>
        <v>31204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404656</v>
      </c>
      <c r="C1752" s="2" t="s">
        <v>594</v>
      </c>
      <c r="D1752" s="2" t="str">
        <f t="shared" si="26"/>
        <v>Error?</v>
      </c>
    </row>
    <row r="1753" spans="1:5" x14ac:dyDescent="0.2">
      <c r="A1753" s="5">
        <v>1692</v>
      </c>
      <c r="B1753" s="138">
        <f>'Tax Sched 23'!B12</f>
        <v>31204</v>
      </c>
      <c r="C1753" s="2" t="s">
        <v>594</v>
      </c>
      <c r="D1753" s="2" t="str">
        <f t="shared" si="26"/>
        <v>Error?</v>
      </c>
    </row>
    <row r="1754" spans="1:5" x14ac:dyDescent="0.2">
      <c r="A1754" s="5">
        <v>1693</v>
      </c>
      <c r="B1754" s="138">
        <f>'Tax Sched 23'!B14</f>
        <v>24962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2639123</v>
      </c>
      <c r="C1759" s="2" t="s">
        <v>594</v>
      </c>
      <c r="D1759" s="2" t="str">
        <f t="shared" si="26"/>
        <v>Error?</v>
      </c>
    </row>
    <row r="1760" spans="1:5" x14ac:dyDescent="0.2">
      <c r="A1760" s="5">
        <v>1699</v>
      </c>
      <c r="B1760" s="138">
        <f>'Tax Sched 23'!D4</f>
        <v>1436252</v>
      </c>
      <c r="C1760" s="2" t="s">
        <v>594</v>
      </c>
      <c r="D1760" s="2" t="str">
        <f t="shared" si="26"/>
        <v>Error?</v>
      </c>
    </row>
    <row r="1761" spans="1:5" x14ac:dyDescent="0.2">
      <c r="A1761" s="5">
        <v>1700</v>
      </c>
      <c r="B1761" s="138">
        <f>'Tax Sched 23'!D5</f>
        <v>312032</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124813</v>
      </c>
      <c r="C1763" s="2" t="s">
        <v>594</v>
      </c>
      <c r="D1763" s="2" t="str">
        <f t="shared" si="26"/>
        <v>Error?</v>
      </c>
    </row>
    <row r="1764" spans="1:5" x14ac:dyDescent="0.2">
      <c r="A1764" s="5">
        <v>1703</v>
      </c>
      <c r="B1764" s="138">
        <f>'Tax Sched 23'!D8</f>
        <v>121398</v>
      </c>
      <c r="C1764" s="2" t="s">
        <v>594</v>
      </c>
      <c r="D1764" s="2" t="str">
        <f t="shared" si="26"/>
        <v>Error?</v>
      </c>
    </row>
    <row r="1765" spans="1:5" x14ac:dyDescent="0.2">
      <c r="A1765" s="5">
        <v>1704</v>
      </c>
      <c r="B1765" s="138">
        <f>'Tax Sched 23'!D10</f>
        <v>31204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404656</v>
      </c>
      <c r="C1768" s="2" t="s">
        <v>594</v>
      </c>
      <c r="D1768" s="2" t="str">
        <f t="shared" si="26"/>
        <v>Error?</v>
      </c>
    </row>
    <row r="1769" spans="1:5" x14ac:dyDescent="0.2">
      <c r="A1769" s="5">
        <v>1708</v>
      </c>
      <c r="B1769" s="138">
        <f>'Tax Sched 23'!D12</f>
        <v>31204</v>
      </c>
      <c r="C1769" s="2" t="s">
        <v>594</v>
      </c>
      <c r="D1769" s="2" t="str">
        <f t="shared" si="26"/>
        <v>Error?</v>
      </c>
    </row>
    <row r="1770" spans="1:5" x14ac:dyDescent="0.2">
      <c r="A1770" s="5">
        <v>1709</v>
      </c>
      <c r="B1770" s="138">
        <f>'Tax Sched 23'!D14</f>
        <v>24962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2639123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1524504</v>
      </c>
      <c r="C1792" s="2" t="s">
        <v>594</v>
      </c>
      <c r="D1792" s="2" t="str">
        <f t="shared" si="27"/>
        <v>Error?</v>
      </c>
    </row>
    <row r="1793" spans="1:4" x14ac:dyDescent="0.2">
      <c r="A1793" s="5">
        <v>1732</v>
      </c>
      <c r="B1793" s="138">
        <f>'Tax Sched 23'!F5</f>
        <v>331414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132566</v>
      </c>
      <c r="C1795" s="2" t="s">
        <v>594</v>
      </c>
      <c r="D1795" s="2" t="str">
        <f t="shared" si="27"/>
        <v>Error?</v>
      </c>
    </row>
    <row r="1796" spans="1:4" x14ac:dyDescent="0.2">
      <c r="A1796" s="5">
        <v>1735</v>
      </c>
      <c r="B1796" s="138">
        <f>'Tax Sched 23'!F8</f>
        <v>75006</v>
      </c>
      <c r="C1796" s="2" t="s">
        <v>594</v>
      </c>
      <c r="D1796" s="2" t="str">
        <f t="shared" si="27"/>
        <v>Error?</v>
      </c>
    </row>
    <row r="1797" spans="1:4" x14ac:dyDescent="0.2">
      <c r="A1797" s="5">
        <v>1736</v>
      </c>
      <c r="B1797" s="138">
        <f>'Tax Sched 23'!F10</f>
        <v>33141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400003</v>
      </c>
      <c r="C1800" s="2" t="s">
        <v>594</v>
      </c>
      <c r="D1800" s="2" t="str">
        <f t="shared" si="27"/>
        <v>Error?</v>
      </c>
    </row>
    <row r="1801" spans="1:4" x14ac:dyDescent="0.2">
      <c r="A1801" s="5">
        <v>1740</v>
      </c>
      <c r="B1801" s="138">
        <f>'Tax Sched 23'!F12</f>
        <v>33141</v>
      </c>
      <c r="C1801" s="2" t="s">
        <v>594</v>
      </c>
      <c r="D1801" s="2" t="str">
        <f t="shared" si="27"/>
        <v>Error?</v>
      </c>
    </row>
    <row r="1802" spans="1:4" x14ac:dyDescent="0.2">
      <c r="A1802" s="5">
        <v>1741</v>
      </c>
      <c r="B1802" s="138">
        <f>'Tax Sched 23'!F14</f>
        <v>26513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2664435</v>
      </c>
      <c r="C1807" s="2" t="s">
        <v>594</v>
      </c>
      <c r="D1807" s="2" t="str">
        <f t="shared" si="27"/>
        <v>Error?</v>
      </c>
    </row>
    <row r="1808" spans="1:4" x14ac:dyDescent="0.2">
      <c r="A1808" s="5">
        <v>1747</v>
      </c>
      <c r="B1808" s="138">
        <f>'Tax Sched 23'!E4</f>
        <v>1524504</v>
      </c>
      <c r="D1808" s="2" t="str">
        <f t="shared" si="27"/>
        <v>Error?</v>
      </c>
    </row>
    <row r="1809" spans="1:4" x14ac:dyDescent="0.2">
      <c r="A1809" s="5">
        <v>1748</v>
      </c>
      <c r="B1809" s="138">
        <f>'Tax Sched 23'!E5</f>
        <v>331414</v>
      </c>
      <c r="D1809" s="2" t="str">
        <f t="shared" si="27"/>
        <v>Error?</v>
      </c>
    </row>
    <row r="1810" spans="1:4" x14ac:dyDescent="0.2">
      <c r="A1810" s="5">
        <v>1749</v>
      </c>
      <c r="B1810" s="138">
        <f>'Tax Sched 23'!E6</f>
        <v>0</v>
      </c>
      <c r="D1810" s="2" t="str">
        <f t="shared" si="27"/>
        <v>Error?</v>
      </c>
    </row>
    <row r="1811" spans="1:4" x14ac:dyDescent="0.2">
      <c r="A1811" s="5">
        <v>1750</v>
      </c>
      <c r="B1811" s="138">
        <f>'Tax Sched 23'!E7</f>
        <v>132566</v>
      </c>
      <c r="D1811" s="2" t="str">
        <f t="shared" si="27"/>
        <v>Error?</v>
      </c>
    </row>
    <row r="1812" spans="1:4" x14ac:dyDescent="0.2">
      <c r="A1812" s="5">
        <v>1751</v>
      </c>
      <c r="B1812" s="138">
        <f>'Tax Sched 23'!E8</f>
        <v>75006</v>
      </c>
      <c r="D1812" s="2" t="str">
        <f t="shared" si="27"/>
        <v>Error?</v>
      </c>
    </row>
    <row r="1813" spans="1:4" x14ac:dyDescent="0.2">
      <c r="A1813" s="5">
        <v>1752</v>
      </c>
      <c r="B1813" s="138">
        <f>'Tax Sched 23'!E10</f>
        <v>33141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400003</v>
      </c>
      <c r="D1816" s="2" t="str">
        <f t="shared" si="27"/>
        <v>Error?</v>
      </c>
    </row>
    <row r="1817" spans="1:4" x14ac:dyDescent="0.2">
      <c r="A1817" s="5">
        <v>1756</v>
      </c>
      <c r="B1817" s="138">
        <f>'Tax Sched 23'!E12</f>
        <v>33141</v>
      </c>
      <c r="D1817" s="2" t="str">
        <f t="shared" si="27"/>
        <v>Error?</v>
      </c>
    </row>
    <row r="1818" spans="1:4" x14ac:dyDescent="0.2">
      <c r="A1818" s="5">
        <v>1757</v>
      </c>
      <c r="B1818" s="138">
        <f>'Tax Sched 23'!E14</f>
        <v>26513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2664435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24962</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24965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24965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21576</v>
      </c>
      <c r="D2008" s="2" t="str">
        <f t="shared" si="30"/>
        <v>Error?</v>
      </c>
    </row>
    <row r="2009" spans="1:4" x14ac:dyDescent="0.2">
      <c r="A2009" s="5">
        <v>1948</v>
      </c>
      <c r="B2009" s="138">
        <f>'Cap Outlay Deprec 26'!C8</f>
        <v>2943396</v>
      </c>
      <c r="D2009" s="2" t="str">
        <f t="shared" si="30"/>
        <v>Error?</v>
      </c>
    </row>
    <row r="2010" spans="1:4" x14ac:dyDescent="0.2">
      <c r="A2010" s="5">
        <v>1949</v>
      </c>
      <c r="B2010" s="138">
        <f>'Cap Outlay Deprec 26'!C10</f>
        <v>260055</v>
      </c>
      <c r="D2010" s="2" t="str">
        <f t="shared" si="30"/>
        <v>Error?</v>
      </c>
    </row>
    <row r="2011" spans="1:4" x14ac:dyDescent="0.2">
      <c r="A2011" s="5">
        <v>1950</v>
      </c>
      <c r="B2011" s="138">
        <f>'Cap Outlay Deprec 26'!C12</f>
        <v>129694</v>
      </c>
      <c r="D2011" s="2" t="str">
        <f t="shared" si="30"/>
        <v>Error?</v>
      </c>
    </row>
    <row r="2012" spans="1:4" x14ac:dyDescent="0.2">
      <c r="A2012" s="5">
        <v>1951</v>
      </c>
      <c r="B2012" s="138">
        <f>'Cap Outlay Deprec 26'!C13</f>
        <v>697813</v>
      </c>
      <c r="D2012" s="2" t="str">
        <f t="shared" si="30"/>
        <v>Error?</v>
      </c>
    </row>
    <row r="2013" spans="1:4" x14ac:dyDescent="0.2">
      <c r="A2013" s="5">
        <v>1952</v>
      </c>
      <c r="B2013" s="138">
        <f>'Cap Outlay Deprec 26'!C16</f>
        <v>4254523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7295</v>
      </c>
      <c r="D2016" s="2" t="str">
        <f t="shared" si="30"/>
        <v>Error?</v>
      </c>
    </row>
    <row r="2017" spans="1:4" x14ac:dyDescent="0.2">
      <c r="A2017" s="5">
        <v>1956</v>
      </c>
      <c r="B2017" s="138">
        <f>'Cap Outlay Deprec 26'!D12</f>
        <v>15790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141066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21576</v>
      </c>
      <c r="C2026" s="2" t="s">
        <v>594</v>
      </c>
      <c r="D2026" s="2" t="str">
        <f t="shared" si="30"/>
        <v>Error?</v>
      </c>
    </row>
    <row r="2027" spans="1:4" x14ac:dyDescent="0.2">
      <c r="A2027" s="5">
        <v>1966</v>
      </c>
      <c r="B2027" s="138">
        <f>'Cap Outlay Deprec 26'!F8</f>
        <v>2943396</v>
      </c>
      <c r="C2027" s="2" t="s">
        <v>594</v>
      </c>
      <c r="D2027" s="2" t="str">
        <f t="shared" si="30"/>
        <v>Error?</v>
      </c>
    </row>
    <row r="2028" spans="1:4" x14ac:dyDescent="0.2">
      <c r="A2028" s="5">
        <v>1967</v>
      </c>
      <c r="B2028" s="138">
        <f>'Cap Outlay Deprec 26'!F10</f>
        <v>267350</v>
      </c>
      <c r="C2028" s="2" t="s">
        <v>594</v>
      </c>
      <c r="D2028" s="2" t="str">
        <f t="shared" si="30"/>
        <v>Error?</v>
      </c>
    </row>
    <row r="2029" spans="1:4" x14ac:dyDescent="0.2">
      <c r="A2029" s="5">
        <v>1968</v>
      </c>
      <c r="B2029" s="138">
        <f>'Cap Outlay Deprec 26'!F12</f>
        <v>145484</v>
      </c>
      <c r="C2029" s="2" t="s">
        <v>594</v>
      </c>
      <c r="D2029" s="2" t="str">
        <f t="shared" si="30"/>
        <v>Error?</v>
      </c>
    </row>
    <row r="2030" spans="1:4" x14ac:dyDescent="0.2">
      <c r="A2030" s="5">
        <v>1969</v>
      </c>
      <c r="B2030" s="138">
        <f>'Cap Outlay Deprec 26'!F13</f>
        <v>697813</v>
      </c>
      <c r="C2030" s="2" t="s">
        <v>594</v>
      </c>
      <c r="D2030" s="2" t="str">
        <f t="shared" si="30"/>
        <v>Error?</v>
      </c>
    </row>
    <row r="2031" spans="1:4" x14ac:dyDescent="0.2">
      <c r="A2031" s="5">
        <v>1970</v>
      </c>
      <c r="B2031" s="138">
        <f>'Cap Outlay Deprec 26'!F16</f>
        <v>4395589</v>
      </c>
      <c r="C2031" s="2" t="s">
        <v>594</v>
      </c>
      <c r="D2031" s="2" t="str">
        <f t="shared" si="30"/>
        <v>Error?</v>
      </c>
    </row>
    <row r="2032" spans="1:4" x14ac:dyDescent="0.2">
      <c r="A2032" s="10">
        <v>1971</v>
      </c>
      <c r="D2032" s="2" t="str">
        <f t="shared" si="30"/>
        <v>OK</v>
      </c>
    </row>
    <row r="2033" spans="1:4" x14ac:dyDescent="0.2">
      <c r="A2033" s="5">
        <v>1972</v>
      </c>
      <c r="B2033" s="138">
        <f>'Cap Outlay Deprec 26'!H8</f>
        <v>2714704</v>
      </c>
      <c r="D2033" s="2" t="str">
        <f t="shared" si="30"/>
        <v>Error?</v>
      </c>
    </row>
    <row r="2034" spans="1:4" x14ac:dyDescent="0.2">
      <c r="A2034" s="5">
        <v>1973</v>
      </c>
      <c r="B2034" s="138">
        <f>'Cap Outlay Deprec 26'!H10</f>
        <v>88390</v>
      </c>
      <c r="D2034" s="2" t="str">
        <f t="shared" si="30"/>
        <v>Error?</v>
      </c>
    </row>
    <row r="2035" spans="1:4" x14ac:dyDescent="0.2">
      <c r="A2035" s="5">
        <v>1974</v>
      </c>
      <c r="B2035" s="138">
        <f>'Cap Outlay Deprec 26'!H12</f>
        <v>96132</v>
      </c>
      <c r="D2035" s="2" t="str">
        <f t="shared" si="30"/>
        <v>Error?</v>
      </c>
    </row>
    <row r="2036" spans="1:4" x14ac:dyDescent="0.2">
      <c r="A2036" s="5">
        <v>1975</v>
      </c>
      <c r="B2036" s="138">
        <f>'Cap Outlay Deprec 26'!H13</f>
        <v>643635</v>
      </c>
      <c r="D2036" s="2" t="str">
        <f t="shared" si="30"/>
        <v>Error?</v>
      </c>
    </row>
    <row r="2037" spans="1:4" x14ac:dyDescent="0.2">
      <c r="A2037" s="5">
        <v>1976</v>
      </c>
      <c r="B2037" s="138">
        <f>'Cap Outlay Deprec 26'!H16</f>
        <v>3707265</v>
      </c>
      <c r="C2037" s="2" t="s">
        <v>594</v>
      </c>
      <c r="D2037" s="2" t="str">
        <f t="shared" si="30"/>
        <v>Error?</v>
      </c>
    </row>
    <row r="2038" spans="1:4" x14ac:dyDescent="0.2">
      <c r="A2038" s="10">
        <v>1977</v>
      </c>
      <c r="D2038" s="2" t="str">
        <f t="shared" si="30"/>
        <v>OK</v>
      </c>
    </row>
    <row r="2039" spans="1:4" x14ac:dyDescent="0.2">
      <c r="A2039" s="5">
        <v>1978</v>
      </c>
      <c r="B2039" s="138">
        <f>'Cap Outlay Deprec 26'!I8</f>
        <v>6467</v>
      </c>
      <c r="D2039" s="2" t="str">
        <f t="shared" si="30"/>
        <v>Error?</v>
      </c>
    </row>
    <row r="2040" spans="1:4" x14ac:dyDescent="0.2">
      <c r="A2040" s="5">
        <v>1979</v>
      </c>
      <c r="B2040" s="138">
        <f>'Cap Outlay Deprec 26'!I10</f>
        <v>11751</v>
      </c>
      <c r="D2040" s="2" t="str">
        <f t="shared" si="30"/>
        <v>Error?</v>
      </c>
    </row>
    <row r="2041" spans="1:4" x14ac:dyDescent="0.2">
      <c r="A2041" s="5">
        <v>1980</v>
      </c>
      <c r="B2041" s="138">
        <f>'Cap Outlay Deprec 26'!I12</f>
        <v>9392</v>
      </c>
      <c r="D2041" s="2" t="str">
        <f t="shared" si="30"/>
        <v>Error?</v>
      </c>
    </row>
    <row r="2042" spans="1:4" x14ac:dyDescent="0.2">
      <c r="A2042" s="5">
        <v>1981</v>
      </c>
      <c r="B2042" s="138">
        <f>'Cap Outlay Deprec 26'!I13</f>
        <v>20721</v>
      </c>
      <c r="D2042" s="2" t="str">
        <f t="shared" si="30"/>
        <v>Error?</v>
      </c>
    </row>
    <row r="2043" spans="1:4" x14ac:dyDescent="0.2">
      <c r="A2043" s="5">
        <v>1982</v>
      </c>
      <c r="B2043" s="138">
        <f>'Cap Outlay Deprec 26'!I16</f>
        <v>69618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2721171</v>
      </c>
      <c r="C2051" s="2" t="s">
        <v>594</v>
      </c>
      <c r="D2051" s="2" t="str">
        <f t="shared" si="31"/>
        <v>Error?</v>
      </c>
    </row>
    <row r="2052" spans="1:4" x14ac:dyDescent="0.2">
      <c r="A2052" s="5">
        <v>1991</v>
      </c>
      <c r="B2052" s="138">
        <f>'Cap Outlay Deprec 26'!K10</f>
        <v>100141</v>
      </c>
      <c r="C2052" s="2" t="s">
        <v>594</v>
      </c>
      <c r="D2052" s="2" t="str">
        <f t="shared" si="31"/>
        <v>Error?</v>
      </c>
    </row>
    <row r="2053" spans="1:4" x14ac:dyDescent="0.2">
      <c r="A2053" s="5">
        <v>1992</v>
      </c>
      <c r="B2053" s="138">
        <f>'Cap Outlay Deprec 26'!K12</f>
        <v>105524</v>
      </c>
      <c r="C2053" s="2" t="s">
        <v>594</v>
      </c>
      <c r="D2053" s="2" t="str">
        <f t="shared" si="31"/>
        <v>Error?</v>
      </c>
    </row>
    <row r="2054" spans="1:4" x14ac:dyDescent="0.2">
      <c r="A2054" s="5">
        <v>1993</v>
      </c>
      <c r="B2054" s="138">
        <f>'Cap Outlay Deprec 26'!K13</f>
        <v>664356</v>
      </c>
      <c r="C2054" s="2" t="s">
        <v>594</v>
      </c>
      <c r="D2054" s="2" t="str">
        <f t="shared" si="31"/>
        <v>Error?</v>
      </c>
    </row>
    <row r="2055" spans="1:4" x14ac:dyDescent="0.2">
      <c r="A2055" s="5">
        <v>1994</v>
      </c>
      <c r="B2055" s="138">
        <f>'Cap Outlay Deprec 26'!K16</f>
        <v>3776883</v>
      </c>
      <c r="C2055" s="2" t="s">
        <v>594</v>
      </c>
      <c r="D2055" s="2" t="str">
        <f t="shared" si="31"/>
        <v>Error?</v>
      </c>
    </row>
    <row r="2056" spans="1:4" x14ac:dyDescent="0.2">
      <c r="A2056" s="5">
        <v>1995</v>
      </c>
      <c r="B2056" s="138">
        <f>'Cap Outlay Deprec 26'!L5</f>
        <v>21576</v>
      </c>
      <c r="C2056" s="2" t="s">
        <v>594</v>
      </c>
      <c r="D2056" s="2" t="str">
        <f t="shared" si="31"/>
        <v>Error?</v>
      </c>
    </row>
    <row r="2057" spans="1:4" x14ac:dyDescent="0.2">
      <c r="A2057" s="5">
        <v>1996</v>
      </c>
      <c r="B2057" s="138">
        <f>'Cap Outlay Deprec 26'!L8</f>
        <v>222225</v>
      </c>
      <c r="C2057" s="2" t="s">
        <v>594</v>
      </c>
      <c r="D2057" s="2" t="str">
        <f t="shared" si="31"/>
        <v>Error?</v>
      </c>
    </row>
    <row r="2058" spans="1:4" x14ac:dyDescent="0.2">
      <c r="A2058" s="5">
        <v>1997</v>
      </c>
      <c r="B2058" s="138">
        <f>'Cap Outlay Deprec 26'!L10</f>
        <v>167209</v>
      </c>
      <c r="C2058" s="2" t="s">
        <v>594</v>
      </c>
      <c r="D2058" s="2" t="str">
        <f t="shared" si="31"/>
        <v>Error?</v>
      </c>
    </row>
    <row r="2059" spans="1:4" x14ac:dyDescent="0.2">
      <c r="A2059" s="5">
        <v>1998</v>
      </c>
      <c r="B2059" s="138">
        <f>'Cap Outlay Deprec 26'!L12</f>
        <v>39960</v>
      </c>
      <c r="C2059" s="2" t="s">
        <v>594</v>
      </c>
      <c r="D2059" s="2" t="str">
        <f t="shared" si="31"/>
        <v>Error?</v>
      </c>
    </row>
    <row r="2060" spans="1:4" x14ac:dyDescent="0.2">
      <c r="A2060" s="5">
        <v>1999</v>
      </c>
      <c r="B2060" s="138">
        <f>'Cap Outlay Deprec 26'!L13</f>
        <v>33457</v>
      </c>
      <c r="C2060" s="2" t="s">
        <v>594</v>
      </c>
      <c r="D2060" s="2" t="str">
        <f t="shared" si="31"/>
        <v>Error?</v>
      </c>
    </row>
    <row r="2061" spans="1:4" x14ac:dyDescent="0.2">
      <c r="A2061" s="5">
        <v>2000</v>
      </c>
      <c r="B2061" s="138">
        <f>'Cap Outlay Deprec 26'!L16</f>
        <v>618706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346184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346184</v>
      </c>
      <c r="C2088" s="2" t="s">
        <v>594</v>
      </c>
      <c r="D2088" s="2" t="str">
        <f t="shared" si="31"/>
        <v>Error?</v>
      </c>
    </row>
    <row r="2089" spans="1:4" x14ac:dyDescent="0.2">
      <c r="A2089" s="5">
        <v>2028</v>
      </c>
      <c r="B2089" s="138">
        <f>'Expenditures 15-22'!K92</f>
        <v>3708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159231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42762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1654144</v>
      </c>
      <c r="C2551" s="2" t="s">
        <v>594</v>
      </c>
      <c r="D2551" s="2" t="str">
        <f t="shared" si="38"/>
        <v>Error?</v>
      </c>
    </row>
    <row r="2552" spans="1:4" x14ac:dyDescent="0.2">
      <c r="A2552" s="10">
        <v>2491</v>
      </c>
      <c r="D2552" s="2" t="str">
        <f t="shared" si="38"/>
        <v>OK</v>
      </c>
    </row>
    <row r="2553" spans="1:4" x14ac:dyDescent="0.2">
      <c r="A2553" s="5">
        <v>2492</v>
      </c>
      <c r="B2553" s="138">
        <f>'Acct Summary 7-8'!C6</f>
        <v>2193299</v>
      </c>
      <c r="C2553" s="2" t="s">
        <v>594</v>
      </c>
      <c r="D2553" s="2" t="str">
        <f t="shared" si="38"/>
        <v>Error?</v>
      </c>
    </row>
    <row r="2554" spans="1:4" x14ac:dyDescent="0.2">
      <c r="A2554" s="5">
        <v>2493</v>
      </c>
      <c r="B2554" s="138">
        <f>'Acct Summary 7-8'!C7</f>
        <v>463927</v>
      </c>
      <c r="C2554" s="2" t="s">
        <v>594</v>
      </c>
      <c r="D2554" s="2" t="str">
        <f t="shared" si="38"/>
        <v>Error?</v>
      </c>
    </row>
    <row r="2555" spans="1:4" x14ac:dyDescent="0.2">
      <c r="A2555" s="5">
        <v>2494</v>
      </c>
      <c r="B2555" s="138">
        <f>'Acct Summary 7-8'!C8</f>
        <v>4311370</v>
      </c>
      <c r="C2555" s="2" t="s">
        <v>594</v>
      </c>
      <c r="D2555" s="2" t="str">
        <f t="shared" si="38"/>
        <v>Error?</v>
      </c>
    </row>
    <row r="2556" spans="1:4" x14ac:dyDescent="0.2">
      <c r="A2556" s="5">
        <v>2495</v>
      </c>
      <c r="B2556" s="138">
        <f>'Acct Summary 7-8'!C12</f>
        <v>2559368</v>
      </c>
      <c r="C2556" s="2" t="s">
        <v>594</v>
      </c>
      <c r="D2556" s="2" t="str">
        <f t="shared" si="38"/>
        <v>Error?</v>
      </c>
    </row>
    <row r="2557" spans="1:4" x14ac:dyDescent="0.2">
      <c r="A2557" s="5">
        <v>2496</v>
      </c>
      <c r="B2557" s="138">
        <f>'Acct Summary 7-8'!C13</f>
        <v>1232757</v>
      </c>
      <c r="C2557" s="2" t="s">
        <v>594</v>
      </c>
      <c r="D2557" s="2" t="str">
        <f t="shared" si="38"/>
        <v>Error?</v>
      </c>
    </row>
    <row r="2558" spans="1:4" x14ac:dyDescent="0.2">
      <c r="A2558" s="5">
        <v>2497</v>
      </c>
      <c r="B2558" s="138">
        <f>'Acct Summary 7-8'!C14</f>
        <v>1544</v>
      </c>
      <c r="C2558" s="2" t="s">
        <v>594</v>
      </c>
      <c r="D2558" s="2" t="str">
        <f t="shared" si="38"/>
        <v>Error?</v>
      </c>
    </row>
    <row r="2559" spans="1:4" x14ac:dyDescent="0.2">
      <c r="A2559" s="5">
        <v>2498</v>
      </c>
      <c r="B2559" s="138">
        <f>'Acct Summary 7-8'!C15</f>
        <v>349892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4143561</v>
      </c>
      <c r="C2561" s="2" t="s">
        <v>594</v>
      </c>
      <c r="D2561" s="2" t="str">
        <f t="shared" si="39"/>
        <v>Error?</v>
      </c>
    </row>
    <row r="2562" spans="1:4" x14ac:dyDescent="0.2">
      <c r="A2562" s="5">
        <v>2501</v>
      </c>
      <c r="B2562" s="138">
        <f>'Acct Summary 7-8'!C20</f>
        <v>167809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321451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321451</v>
      </c>
      <c r="C2568" s="2" t="s">
        <v>594</v>
      </c>
      <c r="D2568" s="2" t="str">
        <f t="shared" si="39"/>
        <v>Error?</v>
      </c>
    </row>
    <row r="2569" spans="1:4" x14ac:dyDescent="0.2">
      <c r="A2569" s="5">
        <v>2508</v>
      </c>
      <c r="B2569" s="138">
        <f>'Acct Summary 7-8'!D13</f>
        <v>337182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337182</v>
      </c>
      <c r="C2573" s="2" t="s">
        <v>594</v>
      </c>
      <c r="D2573" s="2" t="str">
        <f t="shared" si="39"/>
        <v>Error?</v>
      </c>
    </row>
    <row r="2574" spans="1:4" x14ac:dyDescent="0.2">
      <c r="A2574" s="5">
        <v>2513</v>
      </c>
      <c r="B2574" s="138">
        <f>'Acct Summary 7-8'!D20</f>
        <v>-15731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126667</v>
      </c>
      <c r="C2591" s="2" t="s">
        <v>594</v>
      </c>
      <c r="D2591" s="2" t="str">
        <f t="shared" si="39"/>
        <v>Error?</v>
      </c>
    </row>
    <row r="2592" spans="1:4" x14ac:dyDescent="0.2">
      <c r="A2592" s="10">
        <v>2531</v>
      </c>
      <c r="D2592" s="2" t="str">
        <f t="shared" si="39"/>
        <v>OK</v>
      </c>
    </row>
    <row r="2593" spans="1:4" x14ac:dyDescent="0.2">
      <c r="A2593" s="5">
        <v>2532</v>
      </c>
      <c r="B2593" s="138">
        <f>'Acct Summary 7-8'!F6</f>
        <v>478945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605612</v>
      </c>
      <c r="C2595" s="2" t="s">
        <v>594</v>
      </c>
      <c r="D2595" s="2" t="str">
        <f t="shared" si="39"/>
        <v>Error?</v>
      </c>
    </row>
    <row r="2596" spans="1:4" x14ac:dyDescent="0.2">
      <c r="A2596" s="5">
        <v>2535</v>
      </c>
      <c r="B2596" s="138">
        <f>'Acct Summary 7-8'!F13</f>
        <v>519466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519466</v>
      </c>
      <c r="C2600" s="2" t="s">
        <v>594</v>
      </c>
      <c r="D2600" s="2" t="str">
        <f t="shared" si="39"/>
        <v>Error?</v>
      </c>
    </row>
    <row r="2601" spans="1:4" x14ac:dyDescent="0.2">
      <c r="A2601" s="5">
        <v>2540</v>
      </c>
      <c r="B2601" s="138">
        <f>'Acct Summary 7-8'!F20</f>
        <v>86146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247583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247583</v>
      </c>
      <c r="C2606" s="2" t="s">
        <v>594</v>
      </c>
      <c r="D2606" s="2" t="str">
        <f t="shared" si="39"/>
        <v>Error?</v>
      </c>
    </row>
    <row r="2607" spans="1:4" x14ac:dyDescent="0.2">
      <c r="A2607" s="5">
        <v>2546</v>
      </c>
      <c r="B2607" s="138">
        <f>'Acct Summary 7-8'!G12</f>
        <v>58782</v>
      </c>
      <c r="C2607" s="2" t="s">
        <v>594</v>
      </c>
      <c r="D2607" s="2" t="str">
        <f t="shared" si="39"/>
        <v>Error?</v>
      </c>
    </row>
    <row r="2608" spans="1:4" x14ac:dyDescent="0.2">
      <c r="A2608" s="5">
        <v>2547</v>
      </c>
      <c r="B2608" s="138">
        <f>'Acct Summary 7-8'!G13</f>
        <v>143556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202338</v>
      </c>
      <c r="C2612" s="2" t="s">
        <v>594</v>
      </c>
      <c r="D2612" s="2" t="str">
        <f t="shared" si="39"/>
        <v>Error?</v>
      </c>
    </row>
    <row r="2613" spans="1:4" x14ac:dyDescent="0.2">
      <c r="A2613" s="5">
        <v>2552</v>
      </c>
      <c r="B2613" s="138">
        <f>'Acct Summary 7-8'!G20</f>
        <v>45245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17231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17231</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17231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103445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329587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44636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329587</v>
      </c>
      <c r="D2912" s="2" t="str">
        <f t="shared" si="44"/>
        <v>Error?</v>
      </c>
    </row>
    <row r="2913" spans="1:4" x14ac:dyDescent="0.2">
      <c r="A2913" s="5">
        <v>2852</v>
      </c>
      <c r="B2913" s="138">
        <f>'Assets-Liab 5-6'!I41</f>
        <v>329587</v>
      </c>
      <c r="C2913" s="2" t="s">
        <v>594</v>
      </c>
      <c r="D2913" s="2" t="str">
        <f t="shared" si="44"/>
        <v>Error?</v>
      </c>
    </row>
    <row r="2914" spans="1:4" x14ac:dyDescent="0.2">
      <c r="A2914" s="5">
        <v>2853</v>
      </c>
      <c r="B2914" s="138">
        <f>'Assets-Liab 5-6'!L33</f>
        <v>44636</v>
      </c>
      <c r="D2914" s="2" t="str">
        <f t="shared" si="44"/>
        <v>Error?</v>
      </c>
    </row>
    <row r="2915" spans="1:4" x14ac:dyDescent="0.2">
      <c r="A2915" s="10">
        <v>2854</v>
      </c>
      <c r="D2915" s="2" t="str">
        <f t="shared" si="44"/>
        <v>OK</v>
      </c>
    </row>
    <row r="2916" spans="1:4" x14ac:dyDescent="0.2">
      <c r="A2916" s="5">
        <v>2855</v>
      </c>
      <c r="B2916" s="138">
        <f>'Assets-Liab 5-6'!L34</f>
        <v>44636</v>
      </c>
      <c r="C2916" s="2" t="s">
        <v>594</v>
      </c>
      <c r="D2916" s="2" t="str">
        <f t="shared" si="44"/>
        <v>Error?</v>
      </c>
    </row>
    <row r="2917" spans="1:4" x14ac:dyDescent="0.2">
      <c r="A2917" s="5">
        <v>2856</v>
      </c>
      <c r="B2917" s="138">
        <f>'Assets-Liab 5-6'!L41</f>
        <v>44636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335234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10950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335234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10950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150406</v>
      </c>
      <c r="D3055" s="2" t="str">
        <f t="shared" si="46"/>
        <v>Error?</v>
      </c>
    </row>
    <row r="3056" spans="1:4" x14ac:dyDescent="0.2">
      <c r="A3056" s="5">
        <v>2995</v>
      </c>
      <c r="B3056" s="138">
        <f>'Expenditures 15-22'!D10</f>
        <v>30036</v>
      </c>
      <c r="D3056" s="2" t="str">
        <f t="shared" si="46"/>
        <v>Error?</v>
      </c>
    </row>
    <row r="3057" spans="1:4" x14ac:dyDescent="0.2">
      <c r="A3057" s="5">
        <v>2996</v>
      </c>
      <c r="B3057" s="138">
        <f>'Expenditures 15-22'!E10</f>
        <v>18768</v>
      </c>
      <c r="D3057" s="2" t="str">
        <f t="shared" si="46"/>
        <v>Error?</v>
      </c>
    </row>
    <row r="3058" spans="1:4" x14ac:dyDescent="0.2">
      <c r="A3058" s="5">
        <v>2997</v>
      </c>
      <c r="B3058" s="138">
        <f>'Expenditures 15-22'!F10</f>
        <v>35205</v>
      </c>
      <c r="D3058" s="2" t="str">
        <f t="shared" si="46"/>
        <v>Error?</v>
      </c>
    </row>
    <row r="3059" spans="1:4" x14ac:dyDescent="0.2">
      <c r="A3059" s="5">
        <v>2998</v>
      </c>
      <c r="B3059" s="138">
        <f>'Expenditures 15-22'!G10</f>
        <v>4470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239185</v>
      </c>
      <c r="C3062" s="2" t="s">
        <v>594</v>
      </c>
      <c r="D3062" s="2" t="str">
        <f t="shared" si="46"/>
        <v>Error?</v>
      </c>
    </row>
    <row r="3063" spans="1:4" x14ac:dyDescent="0.2">
      <c r="A3063" s="10">
        <v>3002</v>
      </c>
      <c r="D3063" s="2" t="str">
        <f t="shared" si="46"/>
        <v>OK</v>
      </c>
    </row>
    <row r="3064" spans="1:4" x14ac:dyDescent="0.2">
      <c r="A3064" s="5">
        <v>3003</v>
      </c>
      <c r="B3064" s="138">
        <f>'Expenditures 15-22'!D219</f>
        <v>8005</v>
      </c>
      <c r="D3064" s="2" t="str">
        <f t="shared" si="46"/>
        <v>Error?</v>
      </c>
    </row>
    <row r="3065" spans="1:4" x14ac:dyDescent="0.2">
      <c r="A3065" s="5">
        <v>3004</v>
      </c>
      <c r="B3065" s="138">
        <f>'Expenditures 15-22'!K219</f>
        <v>8005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33382</v>
      </c>
      <c r="C3225" s="2" t="s">
        <v>594</v>
      </c>
      <c r="D3225" s="2" t="str">
        <f t="shared" si="49"/>
        <v>Error?</v>
      </c>
    </row>
    <row r="3226" spans="1:4" x14ac:dyDescent="0.2">
      <c r="A3226" s="5">
        <v>3165</v>
      </c>
      <c r="B3226" s="138">
        <f>'Acct Summary 7-8'!I8</f>
        <v>33382</v>
      </c>
      <c r="C3226" s="2" t="s">
        <v>594</v>
      </c>
      <c r="D3226" s="2" t="str">
        <f t="shared" si="49"/>
        <v>Error?</v>
      </c>
    </row>
    <row r="3227" spans="1:4" x14ac:dyDescent="0.2">
      <c r="A3227" s="5">
        <v>3166</v>
      </c>
      <c r="B3227" s="138">
        <f>'Acct Summary 7-8'!I20</f>
        <v>33382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167809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-15731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86146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45245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17231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33382</v>
      </c>
      <c r="C3320" s="2" t="s">
        <v>594</v>
      </c>
      <c r="D3320" s="2" t="str">
        <f t="shared" si="50"/>
        <v>Error?</v>
      </c>
    </row>
    <row r="3321" spans="1:4" x14ac:dyDescent="0.2">
      <c r="A3321" s="5">
        <v>3260</v>
      </c>
      <c r="B3321" s="138">
        <f>'Acct Summary 7-8'!I79</f>
        <v>296205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329587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310420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102039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27535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8040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439994</v>
      </c>
      <c r="C3380" s="2" t="s">
        <v>594</v>
      </c>
      <c r="D3380" s="2" t="str">
        <f t="shared" si="51"/>
        <v>Error?</v>
      </c>
    </row>
    <row r="3381" spans="1:4" x14ac:dyDescent="0.2">
      <c r="A3381" s="5">
        <v>3320</v>
      </c>
      <c r="B3381" s="138">
        <f>'Expenditures 15-22'!K19</f>
        <v>8040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19022</v>
      </c>
      <c r="D3387" s="2" t="str">
        <f t="shared" si="51"/>
        <v>Error?</v>
      </c>
    </row>
    <row r="3388" spans="1:4" x14ac:dyDescent="0.2">
      <c r="A3388" s="5">
        <v>3327</v>
      </c>
      <c r="B3388" s="138">
        <f>'Expenditures 15-22'!D217</f>
        <v>23716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19022</v>
      </c>
      <c r="C3390" s="2" t="s">
        <v>594</v>
      </c>
      <c r="D3390" s="2" t="str">
        <f t="shared" si="51"/>
        <v>Error?</v>
      </c>
    </row>
    <row r="3391" spans="1:4" x14ac:dyDescent="0.2">
      <c r="A3391" s="5">
        <v>3330</v>
      </c>
      <c r="B3391" s="138">
        <f>'Expenditures 15-22'!K217</f>
        <v>23716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243717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1265385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86885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333103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52154</v>
      </c>
      <c r="D3425" s="2" t="str">
        <f t="shared" si="52"/>
        <v>Error?</v>
      </c>
    </row>
    <row r="3426" spans="1:4" x14ac:dyDescent="0.2">
      <c r="A3426" s="10">
        <v>3365</v>
      </c>
      <c r="D3426" s="2" t="str">
        <f t="shared" si="52"/>
        <v>OK</v>
      </c>
    </row>
    <row r="3427" spans="1:4" x14ac:dyDescent="0.2">
      <c r="A3427" s="5">
        <v>3366</v>
      </c>
      <c r="B3427" s="138">
        <f>'Assets-Liab 5-6'!I4</f>
        <v>329587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44636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121398</v>
      </c>
      <c r="C3446" s="2" t="s">
        <v>594</v>
      </c>
      <c r="D3446" s="2" t="str">
        <f t="shared" si="52"/>
        <v>Error?</v>
      </c>
    </row>
    <row r="3447" spans="1:4" x14ac:dyDescent="0.2">
      <c r="A3447" s="5">
        <v>3386</v>
      </c>
      <c r="B3447" s="138">
        <f>'Tax Sched 23'!D16</f>
        <v>121398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75006</v>
      </c>
      <c r="C3449" s="2" t="s">
        <v>594</v>
      </c>
      <c r="D3449" s="2" t="str">
        <f t="shared" si="52"/>
        <v>Error?</v>
      </c>
    </row>
    <row r="3450" spans="1:4" x14ac:dyDescent="0.2">
      <c r="A3450" s="5">
        <v>3389</v>
      </c>
      <c r="B3450" s="138">
        <f>'Tax Sched 23'!E16</f>
        <v>75006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103445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103445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103445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234751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234751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234751</v>
      </c>
      <c r="D3567" s="2" t="str">
        <f t="shared" si="54"/>
        <v>Error?</v>
      </c>
    </row>
    <row r="3568" spans="1:4" x14ac:dyDescent="0.2">
      <c r="A3568" s="5">
        <v>3507</v>
      </c>
      <c r="B3568" s="138">
        <f>'Assets-Liab 5-6'!K41</f>
        <v>234751</v>
      </c>
      <c r="C3568" s="2" t="s">
        <v>594</v>
      </c>
      <c r="D3568" s="2" t="str">
        <f t="shared" si="54"/>
        <v>Error?</v>
      </c>
    </row>
    <row r="3569" spans="1:4" x14ac:dyDescent="0.2">
      <c r="A3569" s="5">
        <v>3508</v>
      </c>
      <c r="B3569" s="138">
        <f>'Acct Summary 7-8'!K4</f>
        <v>33241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33241</v>
      </c>
      <c r="C3571" s="2" t="s">
        <v>594</v>
      </c>
      <c r="D3571" s="2" t="str">
        <f t="shared" si="54"/>
        <v>Error?</v>
      </c>
    </row>
    <row r="3572" spans="1:4" x14ac:dyDescent="0.2">
      <c r="A3572" s="5">
        <v>3511</v>
      </c>
      <c r="B3572" s="138">
        <f>'Acct Summary 7-8'!K13</f>
        <v>103445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103445</v>
      </c>
      <c r="C3575" s="2" t="s">
        <v>594</v>
      </c>
      <c r="D3575" s="2" t="str">
        <f t="shared" si="54"/>
        <v>Error?</v>
      </c>
    </row>
    <row r="3576" spans="1:4" x14ac:dyDescent="0.2">
      <c r="A3576" s="5">
        <v>3515</v>
      </c>
      <c r="B3576" s="138">
        <f>'Acct Summary 7-8'!K20</f>
        <v>-70204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-70204</v>
      </c>
      <c r="C3588" s="2" t="s">
        <v>594</v>
      </c>
      <c r="D3588" s="2" t="str">
        <f t="shared" si="55"/>
        <v>Error?</v>
      </c>
    </row>
    <row r="3589" spans="1:4" x14ac:dyDescent="0.2">
      <c r="A3589" s="5">
        <v>3528</v>
      </c>
      <c r="B3589" s="138">
        <f>'Acct Summary 7-8'!K79</f>
        <v>304955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234751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103445</v>
      </c>
      <c r="D3646" s="2" t="str">
        <f t="shared" si="55"/>
        <v>Error?</v>
      </c>
    </row>
    <row r="3647" spans="1:4" x14ac:dyDescent="0.2">
      <c r="A3647" s="5">
        <v>3586</v>
      </c>
      <c r="B3647" s="138">
        <f>'Expenditures 15-22'!G350</f>
        <v>103445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103445</v>
      </c>
      <c r="C3649" s="2" t="s">
        <v>594</v>
      </c>
      <c r="D3649" s="2" t="str">
        <f t="shared" si="56"/>
        <v>Error?</v>
      </c>
    </row>
    <row r="3650" spans="1:4" x14ac:dyDescent="0.2">
      <c r="A3650" s="5">
        <v>3589</v>
      </c>
      <c r="B3650" s="138">
        <f>'Expenditures 15-22'!G367</f>
        <v>103445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103445</v>
      </c>
      <c r="C3669" s="2" t="s">
        <v>594</v>
      </c>
      <c r="D3669" s="2" t="str">
        <f t="shared" si="56"/>
        <v>Error?</v>
      </c>
    </row>
    <row r="3670" spans="1:4" x14ac:dyDescent="0.2">
      <c r="A3670" s="5">
        <v>3609</v>
      </c>
      <c r="B3670" s="138">
        <f>'Expenditures 15-22'!K350</f>
        <v>103445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103445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103445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-70204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31204</v>
      </c>
      <c r="C3725" s="2" t="s">
        <v>594</v>
      </c>
      <c r="D3725" s="2" t="str">
        <f t="shared" si="57"/>
        <v>Error?</v>
      </c>
    </row>
    <row r="3726" spans="1:4" x14ac:dyDescent="0.2">
      <c r="A3726" s="5">
        <v>3665</v>
      </c>
      <c r="B3726" s="138">
        <f>'Tax Sched 23'!D13</f>
        <v>31204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33141</v>
      </c>
      <c r="C3728" s="2" t="s">
        <v>594</v>
      </c>
      <c r="D3728" s="2" t="str">
        <f t="shared" si="57"/>
        <v>Error?</v>
      </c>
    </row>
    <row r="3729" spans="1:4" x14ac:dyDescent="0.2">
      <c r="A3729" s="5">
        <v>3668</v>
      </c>
      <c r="B3729" s="138">
        <f>'Tax Sched 23'!E13</f>
        <v>33141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1621147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5932517</v>
      </c>
      <c r="C4122" s="2" t="s">
        <v>594</v>
      </c>
      <c r="D4122" s="2" t="str">
        <f t="shared" si="63"/>
        <v>Error?</v>
      </c>
    </row>
    <row r="4123" spans="1:4" x14ac:dyDescent="0.2">
      <c r="A4123" s="5">
        <v>4062</v>
      </c>
      <c r="B4123" s="138">
        <f>'Acct Summary 7-8'!D10</f>
        <v>321451</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605612</v>
      </c>
      <c r="C4125" s="2" t="s">
        <v>594</v>
      </c>
      <c r="D4125" s="2" t="str">
        <f t="shared" si="63"/>
        <v>Error?</v>
      </c>
    </row>
    <row r="4126" spans="1:4" x14ac:dyDescent="0.2">
      <c r="A4126" s="5">
        <v>4065</v>
      </c>
      <c r="B4126" s="138">
        <f>'Acct Summary 7-8'!G10</f>
        <v>247583</v>
      </c>
      <c r="C4126" s="2" t="s">
        <v>594</v>
      </c>
      <c r="D4126" s="2" t="str">
        <f t="shared" si="63"/>
        <v>Error?</v>
      </c>
    </row>
    <row r="4127" spans="1:4" x14ac:dyDescent="0.2">
      <c r="A4127" s="5">
        <v>4066</v>
      </c>
      <c r="B4127" s="138">
        <f>'Acct Summary 7-8'!H10</f>
        <v>17231</v>
      </c>
      <c r="C4127" s="2" t="s">
        <v>594</v>
      </c>
      <c r="D4127" s="2" t="str">
        <f t="shared" si="63"/>
        <v>Error?</v>
      </c>
    </row>
    <row r="4128" spans="1:4" x14ac:dyDescent="0.2">
      <c r="A4128" s="5">
        <v>4067</v>
      </c>
      <c r="B4128" s="138">
        <f>'Acct Summary 7-8'!I10</f>
        <v>33382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33241</v>
      </c>
      <c r="C4130" s="2" t="s">
        <v>594</v>
      </c>
      <c r="D4130" s="2" t="str">
        <f t="shared" si="63"/>
        <v>Error?</v>
      </c>
    </row>
    <row r="4131" spans="1:4" x14ac:dyDescent="0.2">
      <c r="A4131" s="5">
        <v>4070</v>
      </c>
      <c r="B4131" s="138">
        <f>'Acct Summary 7-8'!C18</f>
        <v>1621147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5764708</v>
      </c>
      <c r="C4136" s="2" t="s">
        <v>594</v>
      </c>
      <c r="D4136" s="2" t="str">
        <f t="shared" si="63"/>
        <v>Error?</v>
      </c>
    </row>
    <row r="4137" spans="1:4" x14ac:dyDescent="0.2">
      <c r="A4137" s="5">
        <v>4076</v>
      </c>
      <c r="B4137" s="138">
        <f>'Acct Summary 7-8'!D19</f>
        <v>337182</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519466</v>
      </c>
      <c r="C4139" s="2" t="s">
        <v>594</v>
      </c>
      <c r="D4139" s="2" t="str">
        <f t="shared" si="63"/>
        <v>Error?</v>
      </c>
    </row>
    <row r="4140" spans="1:4" x14ac:dyDescent="0.2">
      <c r="A4140" s="5">
        <v>4079</v>
      </c>
      <c r="B4140" s="138">
        <f>'Acct Summary 7-8'!G19</f>
        <v>202338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103445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3000</v>
      </c>
      <c r="C4268" s="2" t="s">
        <v>594</v>
      </c>
      <c r="D4268" s="2" t="str">
        <f t="shared" si="65"/>
        <v>Error?</v>
      </c>
    </row>
    <row r="4269" spans="1:5" x14ac:dyDescent="0.2">
      <c r="A4269" s="12">
        <v>4208</v>
      </c>
      <c r="B4269" s="138">
        <f>'FP Info 3'!J16</f>
        <v>1925574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9771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18354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8184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8184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66282792</v>
      </c>
      <c r="D4995" s="2" t="str">
        <f t="shared" si="77"/>
        <v>Error?</v>
      </c>
    </row>
    <row r="4996" spans="1:4" x14ac:dyDescent="0.2">
      <c r="A4996" s="12">
        <v>4935</v>
      </c>
      <c r="B4996" s="138">
        <f>'FP Info 3'!H31</f>
        <v>9147025.2960000001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31204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1436252</v>
      </c>
      <c r="D5061" s="2" t="str">
        <f t="shared" si="78"/>
        <v>Error?</v>
      </c>
    </row>
    <row r="5062" spans="1:4" x14ac:dyDescent="0.2">
      <c r="A5062" s="10">
        <v>5001</v>
      </c>
      <c r="D5062" s="2" t="str">
        <f t="shared" si="78"/>
        <v>OK</v>
      </c>
    </row>
    <row r="5063" spans="1:4" x14ac:dyDescent="0.2">
      <c r="A5063" s="5">
        <v>5002</v>
      </c>
      <c r="B5063" s="138">
        <f>'Revenues 9-14'!C7</f>
        <v>24962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1492418</v>
      </c>
      <c r="C5066" s="2" t="s">
        <v>594</v>
      </c>
      <c r="D5066" s="2" t="str">
        <f t="shared" si="78"/>
        <v>Error?</v>
      </c>
    </row>
    <row r="5067" spans="1:4" x14ac:dyDescent="0.2">
      <c r="A5067" s="5">
        <v>5006</v>
      </c>
      <c r="B5067" s="138">
        <f>'Revenues 9-14'!C14</f>
        <v>541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59441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59982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4659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4659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686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6509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59273</v>
      </c>
      <c r="C5096" s="2" t="s">
        <v>594</v>
      </c>
      <c r="D5096" s="2" t="str">
        <f t="shared" si="78"/>
        <v>Error?</v>
      </c>
    </row>
    <row r="5097" spans="1:4" x14ac:dyDescent="0.2">
      <c r="A5097" s="5">
        <v>5036</v>
      </c>
      <c r="B5097" s="138">
        <f>'Revenues 9-14'!C77</f>
        <v>20245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20245</v>
      </c>
      <c r="C5102" s="2" t="s">
        <v>594</v>
      </c>
      <c r="D5102" s="2" t="str">
        <f t="shared" si="78"/>
        <v>Error?</v>
      </c>
    </row>
    <row r="5103" spans="1:4" x14ac:dyDescent="0.2">
      <c r="A5103" s="5">
        <v>5042</v>
      </c>
      <c r="B5103" s="138">
        <f>'Revenues 9-14'!C84</f>
        <v>11877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11877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1618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522</v>
      </c>
      <c r="D5119" s="2" t="str">
        <f t="shared" ref="D5119:D5182" si="79">IF(ISBLANK(B5119),"OK",IF(A5119-B5119=0,"OK","Error?"))</f>
        <v>Error?</v>
      </c>
    </row>
    <row r="5120" spans="1:4" x14ac:dyDescent="0.2">
      <c r="A5120" s="5">
        <v>5059</v>
      </c>
      <c r="B5120" s="138">
        <f>'Revenues 9-14'!C108</f>
        <v>5690</v>
      </c>
      <c r="C5120" s="2" t="s">
        <v>594</v>
      </c>
      <c r="D5120" s="2" t="str">
        <f t="shared" si="79"/>
        <v>Error?</v>
      </c>
    </row>
    <row r="5121" spans="1:4" x14ac:dyDescent="0.2">
      <c r="A5121" s="5">
        <v>5060</v>
      </c>
      <c r="B5121" s="138">
        <f>'Revenues 9-14'!C109</f>
        <v>1654144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1909869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1909869</v>
      </c>
      <c r="C5132" s="2" t="s">
        <v>594</v>
      </c>
      <c r="D5132" s="2" t="str">
        <f t="shared" si="79"/>
        <v>Error?</v>
      </c>
    </row>
    <row r="5133" spans="1:4" x14ac:dyDescent="0.2">
      <c r="A5133" s="5">
        <v>5072</v>
      </c>
      <c r="B5133" s="138">
        <f>'Revenues 9-14'!C124</f>
        <v>34829</v>
      </c>
      <c r="D5133" s="2" t="str">
        <f t="shared" si="79"/>
        <v>Error?</v>
      </c>
    </row>
    <row r="5134" spans="1:4" x14ac:dyDescent="0.2">
      <c r="A5134" s="5">
        <v>5073</v>
      </c>
      <c r="B5134" s="138">
        <f>'Revenues 9-14'!C125</f>
        <v>35103</v>
      </c>
      <c r="D5134" s="2" t="str">
        <f t="shared" si="79"/>
        <v>Error?</v>
      </c>
    </row>
    <row r="5135" spans="1:4" x14ac:dyDescent="0.2">
      <c r="A5135" s="5">
        <v>5074</v>
      </c>
      <c r="B5135" s="138">
        <f>'Revenues 9-14'!C126</f>
        <v>42094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112026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15004</v>
      </c>
      <c r="D5152" s="2" t="str">
        <f t="shared" si="79"/>
        <v>Error?</v>
      </c>
    </row>
    <row r="5153" spans="1:4" x14ac:dyDescent="0.2">
      <c r="A5153" s="5">
        <v>5092</v>
      </c>
      <c r="B5153" s="138">
        <f>'Revenues 9-14'!C135</f>
        <v>3797</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18801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2757</v>
      </c>
      <c r="D5167" s="2" t="str">
        <f t="shared" si="79"/>
        <v>Error?</v>
      </c>
    </row>
    <row r="5168" spans="1:4" x14ac:dyDescent="0.2">
      <c r="A5168" s="5">
        <v>5107</v>
      </c>
      <c r="B5168" s="138">
        <f>'Revenues 9-14'!C147</f>
        <v>8011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140335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283430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2193299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129633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52588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182221</v>
      </c>
      <c r="C5246" s="2" t="s">
        <v>594</v>
      </c>
      <c r="D5246" s="2" t="str">
        <f t="shared" si="80"/>
        <v>Error?</v>
      </c>
    </row>
    <row r="5247" spans="1:4" x14ac:dyDescent="0.2">
      <c r="A5247" s="5">
        <v>5186</v>
      </c>
      <c r="B5247" s="138">
        <f>'Revenues 9-14'!C203</f>
        <v>245301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245301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463927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463927</v>
      </c>
      <c r="C5326" s="2" t="s">
        <v>594</v>
      </c>
      <c r="D5326" s="2" t="str">
        <f t="shared" si="82"/>
        <v>Error?</v>
      </c>
    </row>
    <row r="5327" spans="1:4" x14ac:dyDescent="0.2">
      <c r="A5327" s="5">
        <v>5266</v>
      </c>
      <c r="B5327" s="138">
        <f>'Revenues 9-14'!C275</f>
        <v>4311370</v>
      </c>
      <c r="C5327" s="2" t="s">
        <v>594</v>
      </c>
      <c r="D5327" s="2" t="str">
        <f t="shared" si="82"/>
        <v>Error?</v>
      </c>
    </row>
    <row r="5328" spans="1:4" x14ac:dyDescent="0.2">
      <c r="A5328" s="5">
        <v>5267</v>
      </c>
      <c r="B5328" s="138">
        <f>'Revenues 9-14'!D5</f>
        <v>312032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312032</v>
      </c>
      <c r="C5334" s="2" t="s">
        <v>594</v>
      </c>
      <c r="D5334" s="2" t="str">
        <f t="shared" si="82"/>
        <v>Error?</v>
      </c>
    </row>
    <row r="5335" spans="1:4" x14ac:dyDescent="0.2">
      <c r="A5335" s="5">
        <v>5274</v>
      </c>
      <c r="B5335" s="138">
        <f>'Revenues 9-14'!D14</f>
        <v>113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113</v>
      </c>
      <c r="C5339" s="2" t="s">
        <v>594</v>
      </c>
      <c r="D5339" s="2" t="str">
        <f t="shared" si="82"/>
        <v>Error?</v>
      </c>
    </row>
    <row r="5340" spans="1:4" x14ac:dyDescent="0.2">
      <c r="A5340" s="5">
        <v>5279</v>
      </c>
      <c r="B5340" s="138">
        <f>'Revenues 9-14'!D65</f>
        <v>9306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9306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321451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321451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124813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124813</v>
      </c>
      <c r="C5557" s="2" t="s">
        <v>594</v>
      </c>
      <c r="D5557" s="2" t="str">
        <f t="shared" si="85"/>
        <v>Error?</v>
      </c>
    </row>
    <row r="5558" spans="1:4" x14ac:dyDescent="0.2">
      <c r="A5558" s="5">
        <v>5497</v>
      </c>
      <c r="B5558" s="138">
        <f>'Revenues 9-14'!F14</f>
        <v>45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1190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1190</v>
      </c>
      <c r="C5579" s="2" t="s">
        <v>594</v>
      </c>
      <c r="D5579" s="2" t="str">
        <f t="shared" si="86"/>
        <v>Error?</v>
      </c>
    </row>
    <row r="5580" spans="1:4" x14ac:dyDescent="0.2">
      <c r="A5580" s="5">
        <v>5519</v>
      </c>
      <c r="B5580" s="138">
        <f>'Revenues 9-14'!F65</f>
        <v>285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334</v>
      </c>
      <c r="D5586" s="2" t="str">
        <f t="shared" si="86"/>
        <v>Error?</v>
      </c>
    </row>
    <row r="5587" spans="1:4" x14ac:dyDescent="0.2">
      <c r="A5587" s="5">
        <v>5526</v>
      </c>
      <c r="B5587" s="138">
        <f>'Revenues 9-14'!F108</f>
        <v>334</v>
      </c>
      <c r="C5587" s="2" t="s">
        <v>594</v>
      </c>
      <c r="D5587" s="2" t="str">
        <f t="shared" si="86"/>
        <v>Error?</v>
      </c>
    </row>
    <row r="5588" spans="1:4" x14ac:dyDescent="0.2">
      <c r="A5588" s="5">
        <v>5527</v>
      </c>
      <c r="B5588" s="138">
        <f>'Revenues 9-14'!F109</f>
        <v>126667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234424</v>
      </c>
      <c r="D5615" s="2" t="str">
        <f t="shared" si="86"/>
        <v>Error?</v>
      </c>
    </row>
    <row r="5616" spans="1:4" x14ac:dyDescent="0.2">
      <c r="A5616" s="10">
        <v>5555</v>
      </c>
      <c r="D5616" s="2" t="str">
        <f t="shared" si="86"/>
        <v>OK</v>
      </c>
    </row>
    <row r="5617" spans="1:4" x14ac:dyDescent="0.2">
      <c r="A5617" s="5">
        <v>5556</v>
      </c>
      <c r="B5617" s="138">
        <f>'Revenues 9-14'!F152</f>
        <v>244521</v>
      </c>
      <c r="D5617" s="2" t="str">
        <f t="shared" si="86"/>
        <v>Error?</v>
      </c>
    </row>
    <row r="5618" spans="1:4" x14ac:dyDescent="0.2">
      <c r="A5618" s="5">
        <v>5557</v>
      </c>
      <c r="B5618" s="138">
        <f>'Revenues 9-14'!F154</f>
        <v>478945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478945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478945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605612</v>
      </c>
      <c r="C5720" s="2" t="s">
        <v>594</v>
      </c>
      <c r="D5720" s="2" t="str">
        <f t="shared" si="88"/>
        <v>Error?</v>
      </c>
    </row>
    <row r="5721" spans="1:4" x14ac:dyDescent="0.2">
      <c r="A5721" s="5">
        <v>5660</v>
      </c>
      <c r="B5721" s="138">
        <f>'Revenues 9-14'!G5</f>
        <v>121398</v>
      </c>
      <c r="D5721" s="2" t="str">
        <f t="shared" si="88"/>
        <v>Error?</v>
      </c>
    </row>
    <row r="5722" spans="1:4" x14ac:dyDescent="0.2">
      <c r="A5722" s="5">
        <v>5661</v>
      </c>
      <c r="B5722" s="138">
        <f>'Revenues 9-14'!G7</f>
        <v>0</v>
      </c>
      <c r="D5722" s="2" t="str">
        <f t="shared" si="88"/>
        <v>Error?</v>
      </c>
    </row>
    <row r="5723" spans="1:4" x14ac:dyDescent="0.2">
      <c r="A5723" s="5">
        <v>5662</v>
      </c>
      <c r="B5723" s="138">
        <f>'Revenues 9-14'!G8</f>
        <v>121398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242796</v>
      </c>
      <c r="C5725" s="2" t="s">
        <v>594</v>
      </c>
      <c r="D5725" s="2" t="str">
        <f t="shared" si="88"/>
        <v>Error?</v>
      </c>
    </row>
    <row r="5726" spans="1:4" x14ac:dyDescent="0.2">
      <c r="A5726" s="5">
        <v>5665</v>
      </c>
      <c r="B5726" s="138">
        <f>'Revenues 9-14'!G14</f>
        <v>94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2094</v>
      </c>
      <c r="C5730" s="2" t="s">
        <v>594</v>
      </c>
      <c r="D5730" s="2" t="str">
        <f t="shared" si="88"/>
        <v>Error?</v>
      </c>
    </row>
    <row r="5731" spans="1:4" x14ac:dyDescent="0.2">
      <c r="A5731" s="5">
        <v>5670</v>
      </c>
      <c r="B5731" s="138">
        <f>'Revenues 9-14'!G65</f>
        <v>2693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2693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247583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283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16948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17231</v>
      </c>
      <c r="C5915" s="2" t="s">
        <v>594</v>
      </c>
      <c r="D5915" s="2" t="str">
        <f t="shared" si="91"/>
        <v>Error?</v>
      </c>
    </row>
    <row r="5916" spans="1:4" x14ac:dyDescent="0.2">
      <c r="A5916" s="5">
        <v>5855</v>
      </c>
      <c r="B5916" s="138">
        <f>'Revenues 9-14'!I5</f>
        <v>31204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31204</v>
      </c>
      <c r="C5918" s="2" t="s">
        <v>594</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594</v>
      </c>
      <c r="D5923" s="2" t="str">
        <f t="shared" si="91"/>
        <v>Error?</v>
      </c>
    </row>
    <row r="5924" spans="1:4" x14ac:dyDescent="0.2">
      <c r="A5924" s="5">
        <v>5863</v>
      </c>
      <c r="B5924" s="138">
        <f>'Revenues 9-14'!I65</f>
        <v>2167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2167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33382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31204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31204</v>
      </c>
      <c r="C5987" s="2" t="s">
        <v>594</v>
      </c>
      <c r="D5987" s="2" t="str">
        <f t="shared" si="92"/>
        <v>Error?</v>
      </c>
    </row>
    <row r="5988" spans="1:4" x14ac:dyDescent="0.2">
      <c r="A5988" s="5">
        <v>5927</v>
      </c>
      <c r="B5988" s="138">
        <f>'Revenues 9-14'!K14</f>
        <v>11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v>
      </c>
      <c r="C5992" s="2" t="s">
        <v>594</v>
      </c>
      <c r="D5992" s="2" t="str">
        <f t="shared" si="92"/>
        <v>Error?</v>
      </c>
    </row>
    <row r="5993" spans="1:4" x14ac:dyDescent="0.2">
      <c r="A5993" s="5">
        <v>5932</v>
      </c>
      <c r="B5993" s="138">
        <f>'Revenues 9-14'!K65</f>
        <v>2026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2026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33241</v>
      </c>
      <c r="C6023" s="2" t="s">
        <v>594</v>
      </c>
      <c r="D6023" s="2" t="str">
        <f t="shared" si="93"/>
        <v>Error?</v>
      </c>
    </row>
    <row r="6024" spans="1:5" x14ac:dyDescent="0.2">
      <c r="A6024" s="5">
        <v>5963</v>
      </c>
      <c r="B6024" s="138">
        <f>'Revenues 9-14'!G109</f>
        <v>247583</v>
      </c>
      <c r="C6024" s="2" t="s">
        <v>594</v>
      </c>
      <c r="D6024" s="2" t="str">
        <f t="shared" si="93"/>
        <v>Error?</v>
      </c>
    </row>
    <row r="6025" spans="1:5" x14ac:dyDescent="0.2">
      <c r="A6025" s="5">
        <v>5964</v>
      </c>
      <c r="B6025" s="138">
        <f>'Revenues 9-14'!H109</f>
        <v>17231</v>
      </c>
      <c r="C6025" s="2" t="s">
        <v>594</v>
      </c>
      <c r="D6025" s="2" t="str">
        <f t="shared" si="93"/>
        <v>Error?</v>
      </c>
    </row>
    <row r="6026" spans="1:5" x14ac:dyDescent="0.2">
      <c r="A6026" s="5">
        <v>5965</v>
      </c>
      <c r="B6026" s="138">
        <f>'Revenues 9-14'!I109</f>
        <v>33382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33241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52078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24094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428.23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266293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266293</v>
      </c>
      <c r="D6215" s="2" t="str">
        <f t="shared" si="96"/>
        <v>Error?</v>
      </c>
      <c r="E6215" s="2" t="s">
        <v>199</v>
      </c>
    </row>
    <row r="6216" spans="1:5" x14ac:dyDescent="0.2">
      <c r="A6216">
        <v>6155</v>
      </c>
      <c r="B6216" s="138">
        <f>'Assets-Liab 5-6'!J41</f>
        <v>266293</v>
      </c>
      <c r="D6216" s="2" t="str">
        <f t="shared" si="96"/>
        <v>Error?</v>
      </c>
      <c r="E6216" s="2" t="s">
        <v>199</v>
      </c>
    </row>
    <row r="6217" spans="1:5" x14ac:dyDescent="0.2">
      <c r="A6217">
        <v>6156</v>
      </c>
      <c r="B6217" s="138">
        <f>'Assets-Liab 5-6'!J4</f>
        <v>266293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407170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407170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407170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343823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343823</v>
      </c>
      <c r="D6229" s="2" t="str">
        <f t="shared" si="96"/>
        <v>Error?</v>
      </c>
      <c r="E6229" s="2" t="s">
        <v>199</v>
      </c>
    </row>
    <row r="6230" spans="1:5" x14ac:dyDescent="0.2">
      <c r="A6230">
        <v>6169</v>
      </c>
      <c r="B6230" s="138">
        <f>'Acct Summary 7-8'!J20</f>
        <v>63347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63347</v>
      </c>
      <c r="D6263" s="2" t="str">
        <f t="shared" si="96"/>
        <v>Error?</v>
      </c>
      <c r="E6263" s="2" t="s">
        <v>199</v>
      </c>
    </row>
    <row r="6264" spans="1:5" x14ac:dyDescent="0.2">
      <c r="A6264">
        <v>6203</v>
      </c>
      <c r="B6264" s="138">
        <f>'Acct Summary 7-8'!J79</f>
        <v>202946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266293</v>
      </c>
      <c r="D6266" s="2" t="str">
        <f t="shared" si="96"/>
        <v>Error?</v>
      </c>
      <c r="E6266" s="2" t="s">
        <v>199</v>
      </c>
    </row>
    <row r="6267" spans="1:5" x14ac:dyDescent="0.2">
      <c r="A6267">
        <v>6206</v>
      </c>
      <c r="B6267" s="138">
        <f>'Acct Summary 7-8'!C82</f>
        <v>167809</v>
      </c>
      <c r="D6267" s="2" t="str">
        <f t="shared" si="96"/>
        <v>Error?</v>
      </c>
      <c r="E6267" s="2" t="s">
        <v>199</v>
      </c>
    </row>
    <row r="6268" spans="1:5" x14ac:dyDescent="0.2">
      <c r="A6268">
        <v>6207</v>
      </c>
      <c r="B6268" s="138">
        <f>'Acct Summary 7-8'!D82</f>
        <v>-15731</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86146</v>
      </c>
      <c r="D6270" s="2" t="str">
        <f t="shared" si="96"/>
        <v>Error?</v>
      </c>
      <c r="E6270" s="2" t="s">
        <v>199</v>
      </c>
    </row>
    <row r="6271" spans="1:5" x14ac:dyDescent="0.2">
      <c r="A6271">
        <v>6210</v>
      </c>
      <c r="B6271" s="138">
        <f>'Acct Summary 7-8'!G82</f>
        <v>45245</v>
      </c>
      <c r="D6271" s="2" t="str">
        <f t="shared" ref="D6271:D6334" si="97">IF(ISBLANK(B6271),"OK",IF(A6271-B6271=0,"OK","Error?"))</f>
        <v>Error?</v>
      </c>
      <c r="E6271" s="2" t="s">
        <v>199</v>
      </c>
    </row>
    <row r="6272" spans="1:5" x14ac:dyDescent="0.2">
      <c r="A6272">
        <v>6211</v>
      </c>
      <c r="B6272" s="138">
        <f>'Acct Summary 7-8'!H82</f>
        <v>17231</v>
      </c>
      <c r="D6272" s="2" t="str">
        <f t="shared" si="97"/>
        <v>Error?</v>
      </c>
      <c r="E6272" s="2" t="s">
        <v>199</v>
      </c>
    </row>
    <row r="6273" spans="1:5" x14ac:dyDescent="0.2">
      <c r="A6273">
        <v>6212</v>
      </c>
      <c r="B6273" s="138">
        <f>'Acct Summary 7-8'!I82</f>
        <v>33382</v>
      </c>
      <c r="D6273" s="2" t="str">
        <f t="shared" si="97"/>
        <v>Error?</v>
      </c>
      <c r="E6273" s="2" t="s">
        <v>199</v>
      </c>
    </row>
    <row r="6274" spans="1:5" x14ac:dyDescent="0.2">
      <c r="A6274">
        <v>6213</v>
      </c>
      <c r="B6274" s="138">
        <f>'Acct Summary 7-8'!J82</f>
        <v>63347</v>
      </c>
      <c r="D6274" s="2" t="str">
        <f t="shared" si="97"/>
        <v>Error?</v>
      </c>
      <c r="E6274" s="2" t="s">
        <v>199</v>
      </c>
    </row>
    <row r="6275" spans="1:5" x14ac:dyDescent="0.2">
      <c r="A6275">
        <v>6214</v>
      </c>
      <c r="B6275" s="138">
        <f>'Acct Summary 7-8'!K82</f>
        <v>-70204</v>
      </c>
      <c r="D6275" s="2" t="str">
        <f t="shared" si="97"/>
        <v>Error?</v>
      </c>
      <c r="E6275" s="2" t="s">
        <v>199</v>
      </c>
    </row>
    <row r="6276" spans="1:5" x14ac:dyDescent="0.2">
      <c r="A6276">
        <v>6215</v>
      </c>
      <c r="B6276" s="138">
        <f>'Acct Summary 7-8'!C83</f>
        <v>0.68854039726403982</v>
      </c>
      <c r="D6276" s="2" t="str">
        <f t="shared" si="97"/>
        <v>Error?</v>
      </c>
      <c r="E6276" s="2" t="s">
        <v>199</v>
      </c>
    </row>
    <row r="6277" spans="1:5" x14ac:dyDescent="0.2">
      <c r="A6277">
        <v>6216</v>
      </c>
      <c r="B6277" s="138">
        <f>'Acct Summary 7-8'!D83</f>
        <v>-1.2431789534410476E-2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0.99149450422972896</v>
      </c>
      <c r="D6279" s="2" t="str">
        <f t="shared" si="97"/>
        <v>Error?</v>
      </c>
      <c r="E6279" s="2" t="s">
        <v>199</v>
      </c>
    </row>
    <row r="6280" spans="1:5" x14ac:dyDescent="0.2">
      <c r="A6280">
        <v>6219</v>
      </c>
      <c r="B6280" s="138">
        <f>'Acct Summary 7-8'!G83</f>
        <v>0.13582885774069883</v>
      </c>
      <c r="D6280" s="2" t="str">
        <f t="shared" si="97"/>
        <v>Error?</v>
      </c>
      <c r="E6280" s="2" t="s">
        <v>199</v>
      </c>
    </row>
    <row r="6281" spans="1:5" x14ac:dyDescent="0.2">
      <c r="A6281">
        <v>6220</v>
      </c>
      <c r="B6281" s="138">
        <f>'Acct Summary 7-8'!H83</f>
        <v>0.33038693101200289</v>
      </c>
      <c r="D6281" s="2" t="str">
        <f t="shared" si="97"/>
        <v>Error?</v>
      </c>
      <c r="E6281" s="2" t="s">
        <v>199</v>
      </c>
    </row>
    <row r="6282" spans="1:5" x14ac:dyDescent="0.2">
      <c r="A6282">
        <v>6221</v>
      </c>
      <c r="B6282" s="138">
        <f>'Acct Summary 7-8'!I83</f>
        <v>0.10128433463698508</v>
      </c>
      <c r="D6282" s="2" t="str">
        <f t="shared" si="97"/>
        <v>Error?</v>
      </c>
      <c r="E6282" s="2" t="s">
        <v>199</v>
      </c>
    </row>
    <row r="6283" spans="1:5" x14ac:dyDescent="0.2">
      <c r="A6283">
        <v>6222</v>
      </c>
      <c r="B6283" s="138">
        <f>'Acct Summary 7-8'!J83</f>
        <v>0.23788458577581836</v>
      </c>
      <c r="D6283" s="2" t="str">
        <f t="shared" si="97"/>
        <v>Error?</v>
      </c>
      <c r="E6283" s="2" t="s">
        <v>199</v>
      </c>
    </row>
    <row r="6284" spans="1:5" x14ac:dyDescent="0.2">
      <c r="A6284">
        <v>6223</v>
      </c>
      <c r="B6284" s="138">
        <f>'Acct Summary 7-8'!K83</f>
        <v>-0.29905729901044087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404656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404656</v>
      </c>
      <c r="D6301" s="2" t="str">
        <f t="shared" si="97"/>
        <v>Error?</v>
      </c>
      <c r="E6301" s="2" t="s">
        <v>199</v>
      </c>
    </row>
    <row r="6302" spans="1:5" x14ac:dyDescent="0.2">
      <c r="A6302">
        <v>6241</v>
      </c>
      <c r="B6302" s="138">
        <f>'Revenues 9-14'!J14</f>
        <v>156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156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2358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2358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407170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58693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651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83652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300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690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16949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1641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755</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755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2961</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2961</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9636</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9636</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755</v>
      </c>
      <c r="D6977" s="2" t="str">
        <f t="shared" si="108"/>
        <v>Error?</v>
      </c>
    </row>
    <row r="6978" spans="1:4" x14ac:dyDescent="0.2">
      <c r="A6978">
        <v>6917</v>
      </c>
      <c r="B6978" s="138">
        <f>'Expenditures 15-22'!J74</f>
        <v>12597</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3708</v>
      </c>
      <c r="D6987" s="2" t="str">
        <f t="shared" si="108"/>
        <v>Error?</v>
      </c>
    </row>
    <row r="6988" spans="1:4" x14ac:dyDescent="0.2">
      <c r="A6988">
        <v>6927</v>
      </c>
      <c r="B6988" s="138">
        <f>'Expenditures 15-22'!K88</f>
        <v>3708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3708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2396</v>
      </c>
      <c r="D7020" s="2" t="str">
        <f t="shared" si="108"/>
        <v>Error?</v>
      </c>
    </row>
    <row r="7021" spans="1:4" x14ac:dyDescent="0.2">
      <c r="A7021">
        <v>6960</v>
      </c>
      <c r="B7021" s="138">
        <f>'Expenditures 15-22'!J114</f>
        <v>12597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1417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1417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1417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343823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1417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407170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3583</v>
      </c>
      <c r="D7073" s="2" t="str">
        <f t="shared" si="109"/>
        <v>Error?</v>
      </c>
    </row>
    <row r="7074" spans="1:4" x14ac:dyDescent="0.2">
      <c r="A7074">
        <v>7013</v>
      </c>
      <c r="B7074" s="138">
        <f>'Expenditures 15-22'!K216</f>
        <v>3583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220</v>
      </c>
      <c r="D7079" s="2" t="str">
        <f t="shared" si="109"/>
        <v>Error?</v>
      </c>
    </row>
    <row r="7080" spans="1:4" x14ac:dyDescent="0.2">
      <c r="A7080">
        <v>7019</v>
      </c>
      <c r="B7080" s="138">
        <f>'Expenditures 15-22'!K226</f>
        <v>220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18061</v>
      </c>
      <c r="D7093" s="2" t="str">
        <f t="shared" si="109"/>
        <v>Error?</v>
      </c>
    </row>
    <row r="7094" spans="1:4" x14ac:dyDescent="0.2">
      <c r="A7094">
        <v>7033</v>
      </c>
      <c r="B7094" s="138">
        <f>'Expenditures 15-22'!K254</f>
        <v>18061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47172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47172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36759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36759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178287</v>
      </c>
      <c r="D7172" s="2" t="str">
        <f t="shared" si="111"/>
        <v>Error?</v>
      </c>
    </row>
    <row r="7173" spans="1:4" x14ac:dyDescent="0.2">
      <c r="A7173">
        <v>7112</v>
      </c>
      <c r="B7173" s="138">
        <f>'Expenditures 15-22'!D325</f>
        <v>38445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5926</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2859</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225517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18532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18532</v>
      </c>
      <c r="D7198" s="2" t="str">
        <f t="shared" si="111"/>
        <v>Error?</v>
      </c>
    </row>
    <row r="7199" spans="1:4" x14ac:dyDescent="0.2">
      <c r="A7199">
        <v>7138</v>
      </c>
      <c r="B7199" s="138">
        <f>'Expenditures 15-22'!C330</f>
        <v>178287</v>
      </c>
      <c r="D7199" s="2" t="str">
        <f t="shared" si="111"/>
        <v>Error?</v>
      </c>
    </row>
    <row r="7200" spans="1:4" x14ac:dyDescent="0.2">
      <c r="A7200">
        <v>7139</v>
      </c>
      <c r="B7200" s="138">
        <f>'Expenditures 15-22'!D330</f>
        <v>38445</v>
      </c>
      <c r="D7200" s="2" t="str">
        <f t="shared" si="111"/>
        <v>Error?</v>
      </c>
    </row>
    <row r="7201" spans="1:4" x14ac:dyDescent="0.2">
      <c r="A7201">
        <v>7140</v>
      </c>
      <c r="B7201" s="138">
        <f>'Expenditures 15-22'!E330</f>
        <v>118306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5926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2859</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343823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178287</v>
      </c>
      <c r="D7216" s="2" t="str">
        <f t="shared" si="111"/>
        <v>Error?</v>
      </c>
    </row>
    <row r="7217" spans="1:4" x14ac:dyDescent="0.2">
      <c r="A7217">
        <v>7156</v>
      </c>
      <c r="B7217" s="138">
        <f>'Expenditures 15-22'!D342</f>
        <v>38445</v>
      </c>
      <c r="D7217" s="2" t="str">
        <f t="shared" si="111"/>
        <v>Error?</v>
      </c>
    </row>
    <row r="7218" spans="1:4" x14ac:dyDescent="0.2">
      <c r="A7218">
        <v>7157</v>
      </c>
      <c r="B7218" s="138">
        <f>'Expenditures 15-22'!E342</f>
        <v>118306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5926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2859</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343823</v>
      </c>
      <c r="D7224" s="2" t="str">
        <f t="shared" si="111"/>
        <v>Error?</v>
      </c>
    </row>
    <row r="7225" spans="1:4" x14ac:dyDescent="0.2">
      <c r="A7225">
        <v>7164</v>
      </c>
      <c r="B7225" s="138">
        <f>'Expenditures 15-22'!K343</f>
        <v>63347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21253</v>
      </c>
      <c r="D7246" s="2" t="str">
        <f t="shared" si="112"/>
        <v>Error?</v>
      </c>
    </row>
    <row r="7247" spans="1:4" x14ac:dyDescent="0.2">
      <c r="A7247">
        <f t="shared" si="113"/>
        <v>7186</v>
      </c>
      <c r="B7247" s="138">
        <f>'Expenditures 15-22'!E7</f>
        <v>878</v>
      </c>
      <c r="D7247" s="2" t="str">
        <f t="shared" si="112"/>
        <v>Error?</v>
      </c>
    </row>
    <row r="7248" spans="1:4" x14ac:dyDescent="0.2">
      <c r="A7248">
        <f t="shared" si="113"/>
        <v>7187</v>
      </c>
      <c r="B7248" s="138">
        <f>'Expenditures 15-22'!F7</f>
        <v>2828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15137</v>
      </c>
      <c r="D7263" s="2" t="str">
        <f t="shared" si="112"/>
        <v>Error?</v>
      </c>
    </row>
    <row r="7264" spans="1:4" x14ac:dyDescent="0.2">
      <c r="A7264">
        <f t="shared" si="113"/>
        <v>7203</v>
      </c>
      <c r="B7264" s="138">
        <f>'Expenditures 15-22'!D17</f>
        <v>1742</v>
      </c>
      <c r="D7264" s="2" t="str">
        <f t="shared" si="112"/>
        <v>Error?</v>
      </c>
    </row>
    <row r="7265" spans="1:5" x14ac:dyDescent="0.2">
      <c r="A7265">
        <f t="shared" si="113"/>
        <v>7204</v>
      </c>
      <c r="B7265" s="138">
        <f>'Expenditures 15-22'!E17</f>
        <v>70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201989</v>
      </c>
      <c r="D7615" s="2" t="str">
        <f t="shared" ref="D7615:D7678" si="124">IF(ISBLANK(B7615),"OK",IF(A7615-B7615=0,"OK","Error?"))</f>
        <v>Error?</v>
      </c>
      <c r="E7615" s="2" t="s">
        <v>19</v>
      </c>
    </row>
    <row r="7616" spans="1:5" x14ac:dyDescent="0.2">
      <c r="A7616">
        <f t="shared" si="123"/>
        <v>7555</v>
      </c>
      <c r="B7616" s="138">
        <f>'Cap Outlay Deprec 26'!D14</f>
        <v>14536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216525</v>
      </c>
      <c r="D7618" s="2" t="str">
        <f t="shared" si="124"/>
        <v>Error?</v>
      </c>
      <c r="E7618" s="2" t="s">
        <v>19</v>
      </c>
    </row>
    <row r="7619" spans="1:5" x14ac:dyDescent="0.2">
      <c r="A7619">
        <f t="shared" si="123"/>
        <v>7558</v>
      </c>
      <c r="B7619" s="138">
        <f>'Cap Outlay Deprec 26'!H14</f>
        <v>164404</v>
      </c>
      <c r="D7619" s="2" t="str">
        <f t="shared" si="124"/>
        <v>Error?</v>
      </c>
      <c r="E7619" s="2" t="s">
        <v>19</v>
      </c>
    </row>
    <row r="7620" spans="1:5" x14ac:dyDescent="0.2">
      <c r="A7620">
        <f t="shared" si="123"/>
        <v>7559</v>
      </c>
      <c r="B7620" s="138">
        <f>'Cap Outlay Deprec 26'!I14</f>
        <v>21287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185691</v>
      </c>
      <c r="D7622" s="2" t="str">
        <f t="shared" si="124"/>
        <v>Error?</v>
      </c>
      <c r="E7622" s="2" t="s">
        <v>19</v>
      </c>
    </row>
    <row r="7623" spans="1:5" x14ac:dyDescent="0.2">
      <c r="A7623">
        <f t="shared" si="123"/>
        <v>7562</v>
      </c>
      <c r="B7623" s="138">
        <f>'Cap Outlay Deprec 26'!L14</f>
        <v>30834</v>
      </c>
      <c r="D7623" s="2" t="str">
        <f t="shared" si="124"/>
        <v>Error?</v>
      </c>
      <c r="E7623" s="2" t="s">
        <v>19</v>
      </c>
    </row>
    <row r="7624" spans="1:5" x14ac:dyDescent="0.2">
      <c r="A7624">
        <f t="shared" si="123"/>
        <v>7563</v>
      </c>
      <c r="B7624" s="138">
        <f>'Cap Outlay Deprec 26'!F17</f>
        <v>6672</v>
      </c>
      <c r="D7624" s="2" t="str">
        <f t="shared" si="124"/>
        <v>Error?</v>
      </c>
      <c r="E7624" s="2" t="s">
        <v>19</v>
      </c>
    </row>
    <row r="7625" spans="1:5" x14ac:dyDescent="0.2">
      <c r="A7625">
        <f t="shared" si="123"/>
        <v>7564</v>
      </c>
      <c r="B7625" s="138">
        <f>'Cap Outlay Deprec 26'!I17</f>
        <v>667.2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70285.2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15843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15843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25814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850</v>
      </c>
      <c r="D7712" s="2" t="str">
        <f t="shared" si="126"/>
        <v>Error?</v>
      </c>
      <c r="E7712" s="2" t="s">
        <v>881</v>
      </c>
    </row>
    <row r="7713" spans="1:6" x14ac:dyDescent="0.2">
      <c r="A7713">
        <v>7652</v>
      </c>
      <c r="B7713" s="138">
        <f>'Rest Tax Levies-Tort Im 25'!J8</f>
        <v>16948</v>
      </c>
      <c r="D7713" s="2" t="str">
        <f t="shared" si="126"/>
        <v>Error?</v>
      </c>
      <c r="E7713" s="2" t="s">
        <v>881</v>
      </c>
    </row>
    <row r="7714" spans="1:6" x14ac:dyDescent="0.2">
      <c r="A7714">
        <v>7653</v>
      </c>
      <c r="B7714" s="138">
        <f>'Rest Tax Levies-Tort Im 25'!K9</f>
        <v>8011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16948</v>
      </c>
      <c r="D7718" s="2" t="str">
        <f t="shared" si="126"/>
        <v>Error?</v>
      </c>
      <c r="E7718" s="2" t="s">
        <v>881</v>
      </c>
    </row>
    <row r="7719" spans="1:6" x14ac:dyDescent="0.2">
      <c r="A7719">
        <v>7658</v>
      </c>
      <c r="B7719" s="138">
        <f>'Rest Tax Levies-Tort Im 25'!K12</f>
        <v>8861</v>
      </c>
      <c r="D7719" s="2" t="str">
        <f t="shared" si="126"/>
        <v>Error?</v>
      </c>
      <c r="E7719" s="2" t="s">
        <v>881</v>
      </c>
    </row>
    <row r="7720" spans="1:6" x14ac:dyDescent="0.2">
      <c r="A7720">
        <v>7659</v>
      </c>
      <c r="B7720" s="138">
        <f>'Rest Tax Levies-Tort Im 25'!H14</f>
        <v>24965</v>
      </c>
      <c r="D7720" s="2" t="str">
        <f t="shared" si="126"/>
        <v>Error?</v>
      </c>
      <c r="E7720" s="2" t="s">
        <v>881</v>
      </c>
    </row>
    <row r="7721" spans="1:6" x14ac:dyDescent="0.2">
      <c r="A7721">
        <v>7660</v>
      </c>
      <c r="B7721" s="138">
        <f>'Rest Tax Levies-Tort Im 25'!K14</f>
        <v>8861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16948</v>
      </c>
      <c r="D7731" s="2" t="str">
        <f t="shared" si="126"/>
        <v>Error?</v>
      </c>
      <c r="E7731" s="2" t="s">
        <v>881</v>
      </c>
    </row>
    <row r="7732" spans="1:6" x14ac:dyDescent="0.2">
      <c r="A7732">
        <v>7671</v>
      </c>
      <c r="B7732" s="138">
        <f>'Rest Tax Levies-Tort Im 25'!J24</f>
        <v>42762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42762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293699</v>
      </c>
      <c r="D7797" s="2" t="str">
        <f t="shared" si="127"/>
        <v>Error?</v>
      </c>
      <c r="E7797" s="4" t="s">
        <v>2020</v>
      </c>
    </row>
    <row r="7798" spans="1:5" x14ac:dyDescent="0.2">
      <c r="A7798">
        <v>7737</v>
      </c>
      <c r="B7798" s="138">
        <f>'Contracts Paid in CY 29'!F141</f>
        <v>125000</v>
      </c>
      <c r="D7798" s="2" t="str">
        <f t="shared" si="127"/>
        <v>Error?</v>
      </c>
      <c r="E7798" s="4" t="s">
        <v>2020</v>
      </c>
    </row>
    <row r="7799" spans="1:5" x14ac:dyDescent="0.2">
      <c r="A7799">
        <v>7738</v>
      </c>
      <c r="B7799" s="138">
        <f>'Contracts Paid in CY 29'!G141</f>
        <v>168699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Southeastern Community Unit School District No. 337</v>
      </c>
      <c r="B7" s="2404"/>
      <c r="C7" s="2404"/>
      <c r="D7" s="2441"/>
      <c r="E7" s="2442">
        <f>COVER!A13</f>
        <v>26034337026</v>
      </c>
      <c r="F7" s="2443"/>
      <c r="G7" s="2410" t="str">
        <f>COVER!T23</f>
        <v>066-004769</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Meister,  Hilton, Chitwood &amp; Associates,  Inc.</v>
      </c>
      <c r="H9" s="2417"/>
      <c r="I9" s="2417"/>
      <c r="J9" s="2417"/>
      <c r="K9" s="2417"/>
      <c r="L9" s="2418"/>
    </row>
    <row r="10" spans="1:29" ht="13.5" customHeight="1" x14ac:dyDescent="0.2">
      <c r="A10" s="2400" t="str">
        <f>COVER!A38</f>
        <v>D. Todd Fox</v>
      </c>
      <c r="B10" s="2401"/>
      <c r="C10" s="2401"/>
      <c r="D10" s="2401"/>
      <c r="E10" s="2401"/>
      <c r="F10" s="2402"/>
      <c r="G10" s="2416" t="str">
        <f>COVER!T17</f>
        <v>809 W. Detweiller Drive, Suite 804</v>
      </c>
      <c r="H10" s="2429"/>
      <c r="I10" s="2429"/>
      <c r="J10" s="2429"/>
      <c r="K10" s="2429"/>
      <c r="L10" s="2430"/>
    </row>
    <row r="11" spans="1:29" ht="13.5" customHeight="1" x14ac:dyDescent="0.2">
      <c r="A11" s="1185" t="s">
        <v>1599</v>
      </c>
      <c r="B11" s="1186"/>
      <c r="C11" s="1187"/>
      <c r="D11" s="1192"/>
      <c r="E11" s="1187"/>
      <c r="F11" s="1191"/>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ron.hilton1@comcast.net</v>
      </c>
      <c r="J13" s="2438"/>
      <c r="K13" s="2438"/>
      <c r="L13" s="2439"/>
    </row>
    <row r="14" spans="1:29" ht="13.5" customHeight="1" x14ac:dyDescent="0.2">
      <c r="A14" s="2416" t="str">
        <f>COVER!A19</f>
        <v>90 W. Green Street, P.O. Box 155</v>
      </c>
      <c r="B14" s="2429"/>
      <c r="C14" s="2429"/>
      <c r="D14" s="2429"/>
      <c r="E14" s="2429"/>
      <c r="F14" s="2430"/>
      <c r="G14" s="1196" t="s">
        <v>1247</v>
      </c>
      <c r="H14" s="1194"/>
      <c r="I14" s="1194"/>
      <c r="J14" s="1194"/>
      <c r="K14" s="1194"/>
      <c r="L14" s="1195"/>
    </row>
    <row r="15" spans="1:29" ht="13.5" customHeight="1" x14ac:dyDescent="0.2">
      <c r="A15" s="2416" t="str">
        <f>COVER!A21</f>
        <v>Augusta</v>
      </c>
      <c r="B15" s="2429"/>
      <c r="C15" s="2429"/>
      <c r="D15" s="2429"/>
      <c r="E15" s="2429"/>
      <c r="F15" s="2430"/>
      <c r="G15" s="2426" t="str">
        <f>COVER!T15</f>
        <v>Ron Hilton</v>
      </c>
      <c r="H15" s="2427"/>
      <c r="I15" s="2427"/>
      <c r="J15" s="2427"/>
      <c r="K15" s="2427"/>
      <c r="L15" s="2428"/>
    </row>
    <row r="16" spans="1:29" ht="12.2" customHeight="1" x14ac:dyDescent="0.2">
      <c r="A16" s="2406">
        <f>COVER!A25</f>
        <v>62311</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(309) 683-0441</v>
      </c>
      <c r="H18" s="2404"/>
      <c r="I18" s="2404"/>
      <c r="J18" s="2404"/>
      <c r="K18" s="2403" t="str">
        <f>COVER!X21</f>
        <v>(309) 683-0443</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Southeastern Community Unit School District No. 337</v>
      </c>
      <c r="B1" s="2440"/>
      <c r="C1" s="2440"/>
      <c r="D1" s="2440"/>
    </row>
    <row r="2" spans="1:11" s="1215" customFormat="1" ht="12.75" x14ac:dyDescent="0.2">
      <c r="A2" s="2445">
        <f>'Single Audit Cover'!E7</f>
        <v>26034337026</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Southeastern Community Unit School District No. 337</v>
      </c>
      <c r="B1" s="2448"/>
      <c r="C1" s="2448"/>
      <c r="D1" s="2448"/>
      <c r="E1" s="2448"/>
    </row>
    <row r="2" spans="1:5" x14ac:dyDescent="0.2">
      <c r="A2" s="2449">
        <f>'Single Audit Cover'!E7</f>
        <v>26034337026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463927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24094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-18354</v>
      </c>
    </row>
    <row r="19" spans="1:4" ht="13.5" thickBot="1" x14ac:dyDescent="0.25">
      <c r="A19" s="1265" t="s">
        <v>1297</v>
      </c>
      <c r="D19" s="1266">
        <f>SUM(D10:D17)</f>
        <v>469667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469667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469667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Southeastern Community Unit School District No. 337</v>
      </c>
      <c r="B1" s="2453"/>
      <c r="C1" s="2453"/>
      <c r="D1" s="2453"/>
      <c r="E1" s="2453"/>
      <c r="F1" s="2453"/>
    </row>
    <row r="2" spans="1:7" ht="13.5" customHeight="1" x14ac:dyDescent="0.2">
      <c r="A2" s="2454">
        <f>'Single Audit Cover'!E7</f>
        <v>26034337026</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Southeastern Community Unit School District No. 337</v>
      </c>
      <c r="C1" s="2465"/>
      <c r="D1" s="2465"/>
      <c r="E1" s="2465"/>
      <c r="F1" s="2465"/>
      <c r="G1" s="2465"/>
      <c r="H1" s="2465"/>
      <c r="I1" s="2465"/>
      <c r="J1" s="2465"/>
      <c r="K1" s="2465"/>
      <c r="L1" s="2465"/>
      <c r="M1" s="2465"/>
    </row>
    <row r="2" spans="2:14" ht="15" x14ac:dyDescent="0.2">
      <c r="B2" s="2454">
        <f>'Single Audit Cover'!E7</f>
        <v>26034337026</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2094</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2095</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Southeastern Community Unit School District No. 337</v>
      </c>
      <c r="C1" s="2473"/>
      <c r="D1" s="2473"/>
      <c r="E1" s="2473"/>
      <c r="F1" s="2473"/>
      <c r="G1" s="2473"/>
      <c r="H1" s="2473"/>
      <c r="I1" s="2473"/>
      <c r="J1" s="1422"/>
    </row>
    <row r="2" spans="2:10" s="317" customFormat="1" ht="12.75" customHeight="1" x14ac:dyDescent="0.2">
      <c r="B2" s="2474">
        <f>'Single Audit Cover'!E7</f>
        <v>26034337026</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3" zoomScale="110" zoomScaleNormal="110" workbookViewId="0">
      <selection activeCell="J44" sqref="J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Southeastern Community Unit School District No. 337</v>
      </c>
      <c r="C1" s="2472"/>
      <c r="D1" s="2472"/>
      <c r="E1" s="2472"/>
      <c r="F1" s="2472"/>
      <c r="G1" s="2472"/>
      <c r="H1" s="2472"/>
      <c r="I1" s="2472"/>
      <c r="J1" s="2472"/>
      <c r="K1" s="2472"/>
      <c r="L1" s="1374"/>
      <c r="M1" s="1374"/>
    </row>
    <row r="2" spans="1:13" ht="12" customHeight="1" x14ac:dyDescent="0.2">
      <c r="B2" s="2474">
        <f>'Single Audit Cover'!E7</f>
        <v>26034337026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2104</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2104</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2105</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2106</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2107</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2108</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4.75" customHeight="1" x14ac:dyDescent="0.2">
      <c r="B32" s="2493" t="s">
        <v>2109</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35&amp;R&amp;8Page 35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5" zoomScale="110" zoomScaleNormal="110" workbookViewId="0">
      <selection activeCell="F42" sqref="F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Southeastern Community Unit School District No. 337</v>
      </c>
      <c r="C1" s="2472"/>
      <c r="D1" s="2472"/>
      <c r="E1" s="2472"/>
      <c r="F1" s="2472"/>
      <c r="G1" s="2472"/>
      <c r="H1" s="2472"/>
      <c r="I1" s="2472"/>
      <c r="J1" s="2472"/>
      <c r="K1" s="2472"/>
      <c r="L1" s="1374"/>
      <c r="M1" s="1374"/>
    </row>
    <row r="2" spans="1:13" ht="12" customHeight="1" x14ac:dyDescent="0.2">
      <c r="B2" s="2474">
        <f>'Single Audit Cover'!E7</f>
        <v>26034337026</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2012</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53.25" customHeight="1" x14ac:dyDescent="0.2">
      <c r="B14" s="2494" t="s">
        <v>2110</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8.25" customHeight="1" x14ac:dyDescent="0.2">
      <c r="B17" s="2494" t="s">
        <v>2111</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2112</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2113</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2114</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2115</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2.5" customHeight="1" x14ac:dyDescent="0.2">
      <c r="B32" s="2493" t="s">
        <v>2116</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Southeastern Community Unit School District No. 337</v>
      </c>
      <c r="C1" s="2499"/>
      <c r="D1" s="2499"/>
      <c r="E1" s="2499"/>
      <c r="F1" s="2499"/>
      <c r="G1" s="2499"/>
      <c r="H1" s="2499"/>
      <c r="I1" s="2499"/>
      <c r="J1" s="2499"/>
      <c r="K1" s="2499"/>
      <c r="L1" s="1465"/>
    </row>
    <row r="2" spans="1:12" ht="12.75" customHeight="1" x14ac:dyDescent="0.2">
      <c r="B2" s="2500">
        <f>'Single Audit Cover'!E7</f>
        <v>26034337026</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Southeastern Community Unit School District No. 337</v>
      </c>
      <c r="C1" s="2472"/>
      <c r="D1" s="2472"/>
      <c r="E1" s="1491"/>
    </row>
    <row r="2" spans="2:5" s="1282" customFormat="1" ht="12.75" customHeight="1" x14ac:dyDescent="0.2">
      <c r="B2" s="2474">
        <f>'Single Audit Cover'!E7</f>
        <v>26034337026</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66282792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2.3E-2</v>
      </c>
      <c r="E10" s="356" t="s">
        <v>1062</v>
      </c>
      <c r="F10" s="355">
        <v>5.0000000000000001E-3</v>
      </c>
      <c r="G10" s="356" t="s">
        <v>1062</v>
      </c>
      <c r="H10" s="355">
        <v>2E-3</v>
      </c>
      <c r="I10" s="356" t="s">
        <v>1063</v>
      </c>
      <c r="J10" s="1754">
        <f>ROUND(D10+F10+H10,5)</f>
        <v>0.03</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5271815</v>
      </c>
      <c r="E16" s="356"/>
      <c r="F16" s="1755">
        <f>SUM('Acct Summary 7-8'!C17,'Acct Summary 7-8'!D17,'Acct Summary 7-8'!F17)</f>
        <v>5000209</v>
      </c>
      <c r="G16" s="356"/>
      <c r="H16" s="1755">
        <f>SUM(D16-F16)</f>
        <v>271606</v>
      </c>
      <c r="I16" s="222"/>
      <c r="J16" s="1755">
        <f>SUM('Acct Summary 7-8'!C81,'Acct Summary 7-8'!D81,'Acct Summary 7-8'!F81,'Acct Summary 7-8'!I81)</f>
        <v>1925574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9147025.2960000001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Southeastern Community Unit School District No. 337</v>
      </c>
      <c r="E7" s="391"/>
      <c r="G7" s="252"/>
      <c r="H7" s="387"/>
      <c r="I7" s="387"/>
      <c r="J7" s="387"/>
      <c r="K7" s="387"/>
      <c r="L7" s="329"/>
      <c r="M7" s="329"/>
      <c r="N7" s="329"/>
      <c r="O7" s="329"/>
      <c r="P7" s="329"/>
    </row>
    <row r="8" spans="1:18" ht="12.75" x14ac:dyDescent="0.2">
      <c r="A8" s="329"/>
      <c r="B8" s="329"/>
      <c r="C8" s="389" t="s">
        <v>1187</v>
      </c>
      <c r="D8" s="392">
        <f>COVER!A13</f>
        <v>26034337026</v>
      </c>
      <c r="E8" s="393"/>
      <c r="G8" s="329"/>
      <c r="H8" s="329"/>
      <c r="I8" s="329"/>
      <c r="J8" s="329"/>
      <c r="K8" s="329"/>
      <c r="L8" s="329"/>
      <c r="M8" s="329"/>
      <c r="N8" s="329"/>
      <c r="O8" s="329"/>
      <c r="P8" s="329"/>
    </row>
    <row r="9" spans="1:18" ht="12.75" x14ac:dyDescent="0.2">
      <c r="A9" s="329"/>
      <c r="B9" s="329"/>
      <c r="C9" s="389" t="s">
        <v>737</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1925574</v>
      </c>
      <c r="I12" s="404"/>
      <c r="J12" s="404"/>
      <c r="K12" s="405">
        <f>TRUNC((H12/H13*100000),5)/100000</f>
        <v>0.36525826490000002</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5271815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5000209</v>
      </c>
      <c r="I17" s="404"/>
      <c r="J17" s="416"/>
      <c r="K17" s="405">
        <f>TRUNC((H17/H18*100000),5)/100000</f>
        <v>0.94847960330000003</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5271815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1925574</v>
      </c>
      <c r="I24" s="422"/>
      <c r="J24" s="422"/>
      <c r="K24" s="423">
        <f>TRUNC(((H24/H25*100000)/100000),2)</f>
        <v>138.63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13889.469440000001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1690211.196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9147025.2960000001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8" activePane="bottomLeft" state="frozen"/>
      <selection activeCell="A47" sqref="A47"/>
      <selection pane="bottomLeft" activeCell="G4" sqref="G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243717</v>
      </c>
      <c r="D4" s="466">
        <v>1265385</v>
      </c>
      <c r="E4" s="466"/>
      <c r="F4" s="466">
        <v>86885</v>
      </c>
      <c r="G4" s="466">
        <v>333103</v>
      </c>
      <c r="H4" s="466">
        <v>52154</v>
      </c>
      <c r="I4" s="466">
        <v>329587</v>
      </c>
      <c r="J4" s="467">
        <v>266293</v>
      </c>
      <c r="K4" s="466">
        <v>234751</v>
      </c>
      <c r="L4" s="466">
        <v>44636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243717</v>
      </c>
      <c r="D13" s="1759">
        <f t="shared" ref="D13:L13" si="0">SUM(D4:D12)</f>
        <v>1265385</v>
      </c>
      <c r="E13" s="1759">
        <f t="shared" si="0"/>
        <v>0</v>
      </c>
      <c r="F13" s="1759">
        <f t="shared" si="0"/>
        <v>86885</v>
      </c>
      <c r="G13" s="1759">
        <f t="shared" si="0"/>
        <v>333103</v>
      </c>
      <c r="H13" s="1759">
        <f t="shared" si="0"/>
        <v>52154</v>
      </c>
      <c r="I13" s="1759">
        <f t="shared" si="0"/>
        <v>329587</v>
      </c>
      <c r="J13" s="1759">
        <f t="shared" si="0"/>
        <v>266293</v>
      </c>
      <c r="K13" s="1759">
        <f t="shared" si="0"/>
        <v>234751</v>
      </c>
      <c r="L13" s="1759">
        <f t="shared" si="0"/>
        <v>44636</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21576</v>
      </c>
      <c r="N16" s="484"/>
    </row>
    <row r="17" spans="1:14" s="485" customFormat="1" ht="12.75" customHeight="1" x14ac:dyDescent="0.2">
      <c r="A17" s="482" t="s">
        <v>1470</v>
      </c>
      <c r="B17" s="483">
        <v>230</v>
      </c>
      <c r="C17" s="477"/>
      <c r="D17" s="477"/>
      <c r="E17" s="477"/>
      <c r="F17" s="477"/>
      <c r="G17" s="477"/>
      <c r="H17" s="477"/>
      <c r="I17" s="477"/>
      <c r="J17" s="477"/>
      <c r="K17" s="477"/>
      <c r="L17" s="477"/>
      <c r="M17" s="467">
        <v>2943396</v>
      </c>
      <c r="N17" s="484"/>
    </row>
    <row r="18" spans="1:14" s="485" customFormat="1" ht="12.75" customHeight="1" x14ac:dyDescent="0.2">
      <c r="A18" s="482" t="s">
        <v>1471</v>
      </c>
      <c r="B18" s="483">
        <v>240</v>
      </c>
      <c r="C18" s="477"/>
      <c r="D18" s="477"/>
      <c r="E18" s="477"/>
      <c r="F18" s="477"/>
      <c r="G18" s="477"/>
      <c r="H18" s="477"/>
      <c r="I18" s="477"/>
      <c r="J18" s="477"/>
      <c r="K18" s="477"/>
      <c r="L18" s="477"/>
      <c r="M18" s="467">
        <v>267350</v>
      </c>
      <c r="N18" s="484"/>
    </row>
    <row r="19" spans="1:14" s="485" customFormat="1" ht="12.75" customHeight="1" x14ac:dyDescent="0.2">
      <c r="A19" s="482" t="s">
        <v>1472</v>
      </c>
      <c r="B19" s="483">
        <v>250</v>
      </c>
      <c r="C19" s="477"/>
      <c r="D19" s="477"/>
      <c r="E19" s="477"/>
      <c r="F19" s="477"/>
      <c r="G19" s="477"/>
      <c r="H19" s="477"/>
      <c r="I19" s="477"/>
      <c r="J19" s="477"/>
      <c r="K19" s="477"/>
      <c r="L19" s="477"/>
      <c r="M19" s="467">
        <v>1059822</v>
      </c>
      <c r="N19" s="484"/>
    </row>
    <row r="20" spans="1:14" s="485" customFormat="1" ht="12.75" customHeight="1" x14ac:dyDescent="0.2">
      <c r="A20" s="482" t="s">
        <v>1473</v>
      </c>
      <c r="B20" s="483">
        <v>260</v>
      </c>
      <c r="C20" s="477"/>
      <c r="D20" s="477"/>
      <c r="E20" s="477"/>
      <c r="F20" s="477"/>
      <c r="G20" s="477"/>
      <c r="H20" s="477"/>
      <c r="I20" s="477"/>
      <c r="J20" s="477"/>
      <c r="K20" s="477"/>
      <c r="L20" s="477"/>
      <c r="M20" s="467">
        <v>103445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4395589</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44636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44636</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0</v>
      </c>
      <c r="D38" s="466">
        <v>0</v>
      </c>
      <c r="E38" s="466">
        <v>0</v>
      </c>
      <c r="F38" s="466">
        <v>0</v>
      </c>
      <c r="G38" s="466">
        <v>159231</v>
      </c>
      <c r="H38" s="466">
        <v>42762</v>
      </c>
      <c r="I38" s="466">
        <v>0</v>
      </c>
      <c r="J38" s="466">
        <v>0</v>
      </c>
      <c r="K38" s="466">
        <v>0</v>
      </c>
      <c r="L38" s="466">
        <v>0</v>
      </c>
      <c r="M38" s="497"/>
      <c r="N38" s="497"/>
    </row>
    <row r="39" spans="1:14" s="329" customFormat="1" ht="13.5" customHeight="1" x14ac:dyDescent="0.2">
      <c r="A39" s="496" t="s">
        <v>360</v>
      </c>
      <c r="B39" s="483">
        <v>730</v>
      </c>
      <c r="C39" s="466">
        <f>'Acct Summary 7-8'!C81-C38</f>
        <v>243717</v>
      </c>
      <c r="D39" s="466">
        <f>'Acct Summary 7-8'!D81-D38</f>
        <v>1265385</v>
      </c>
      <c r="E39" s="466">
        <f>'Acct Summary 7-8'!E81-E38</f>
        <v>0</v>
      </c>
      <c r="F39" s="466">
        <f>'Acct Summary 7-8'!F81-F38</f>
        <v>86885</v>
      </c>
      <c r="G39" s="466">
        <f>'Acct Summary 7-8'!G81-G38</f>
        <v>173872</v>
      </c>
      <c r="H39" s="466">
        <f>'Acct Summary 7-8'!H81-H38</f>
        <v>9392</v>
      </c>
      <c r="I39" s="466">
        <f>'Acct Summary 7-8'!I81-I38</f>
        <v>329587</v>
      </c>
      <c r="J39" s="466">
        <f>'Acct Summary 7-8'!J81-J38</f>
        <v>266293</v>
      </c>
      <c r="K39" s="466">
        <f>'Acct Summary 7-8'!K81-K38</f>
        <v>234751</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4395589</v>
      </c>
      <c r="N40" s="497"/>
    </row>
    <row r="41" spans="1:14" ht="13.5" customHeight="1" thickBot="1" x14ac:dyDescent="0.25">
      <c r="A41" s="1758" t="s">
        <v>676</v>
      </c>
      <c r="B41" s="1728"/>
      <c r="C41" s="1710">
        <f>(SUM(C34,C37,C38,C39))</f>
        <v>243717</v>
      </c>
      <c r="D41" s="1710">
        <f t="shared" ref="D41:L41" si="2">SUM(D34,D37,D38:D39)</f>
        <v>1265385</v>
      </c>
      <c r="E41" s="1710">
        <f t="shared" si="2"/>
        <v>0</v>
      </c>
      <c r="F41" s="1710">
        <f t="shared" si="2"/>
        <v>86885</v>
      </c>
      <c r="G41" s="1710">
        <f t="shared" si="2"/>
        <v>333103</v>
      </c>
      <c r="H41" s="1710">
        <f t="shared" si="2"/>
        <v>52154</v>
      </c>
      <c r="I41" s="1710">
        <f t="shared" si="2"/>
        <v>329587</v>
      </c>
      <c r="J41" s="1710">
        <f t="shared" si="2"/>
        <v>266293</v>
      </c>
      <c r="K41" s="1710">
        <f t="shared" si="2"/>
        <v>234751</v>
      </c>
      <c r="L41" s="1710">
        <f t="shared" si="2"/>
        <v>44636</v>
      </c>
      <c r="M41" s="1710">
        <f>SUM(M40)</f>
        <v>4395589</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1654144</v>
      </c>
      <c r="D4" s="1764">
        <f>'Revenues 9-14'!D109</f>
        <v>321451</v>
      </c>
      <c r="E4" s="1764">
        <f>'Revenues 9-14'!E109</f>
        <v>0</v>
      </c>
      <c r="F4" s="1764">
        <f>'Revenues 9-14'!F109</f>
        <v>126667</v>
      </c>
      <c r="G4" s="1764">
        <f>'Revenues 9-14'!G109</f>
        <v>247583</v>
      </c>
      <c r="H4" s="1764">
        <f>'Revenues 9-14'!H109</f>
        <v>17231</v>
      </c>
      <c r="I4" s="1764">
        <f>'Revenues 9-14'!I109</f>
        <v>33382</v>
      </c>
      <c r="J4" s="1764">
        <f>'Revenues 9-14'!J109</f>
        <v>407170</v>
      </c>
      <c r="K4" s="1764">
        <f>'Revenues 9-14'!K109</f>
        <v>33241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2193299</v>
      </c>
      <c r="D6" s="1765">
        <f>'Revenues 9-14'!D173</f>
        <v>0</v>
      </c>
      <c r="E6" s="1765">
        <f>'Revenues 9-14'!E173</f>
        <v>0</v>
      </c>
      <c r="F6" s="1765">
        <f>'Revenues 9-14'!F173</f>
        <v>478945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463927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4311370</v>
      </c>
      <c r="D8" s="1710">
        <f t="shared" ref="D8:K8" si="0">SUM(D4:D7)</f>
        <v>321451</v>
      </c>
      <c r="E8" s="1710">
        <f t="shared" si="0"/>
        <v>0</v>
      </c>
      <c r="F8" s="1710">
        <f t="shared" si="0"/>
        <v>605612</v>
      </c>
      <c r="G8" s="1710">
        <f t="shared" si="0"/>
        <v>247583</v>
      </c>
      <c r="H8" s="1710">
        <f t="shared" si="0"/>
        <v>17231</v>
      </c>
      <c r="I8" s="1710">
        <f t="shared" si="0"/>
        <v>33382</v>
      </c>
      <c r="J8" s="1710">
        <f t="shared" si="0"/>
        <v>407170</v>
      </c>
      <c r="K8" s="1710">
        <f t="shared" si="0"/>
        <v>33241</v>
      </c>
      <c r="L8" s="347"/>
    </row>
    <row r="9" spans="1:13" ht="15.75" thickTop="1" x14ac:dyDescent="0.2">
      <c r="A9" s="514" t="s">
        <v>1752</v>
      </c>
      <c r="B9" s="515">
        <v>3998</v>
      </c>
      <c r="C9" s="481">
        <v>1621147</v>
      </c>
      <c r="D9" s="516"/>
      <c r="E9" s="481"/>
      <c r="F9" s="481"/>
      <c r="G9" s="517"/>
      <c r="H9" s="481"/>
      <c r="I9" s="509" t="s">
        <v>1231</v>
      </c>
      <c r="J9" s="478"/>
      <c r="K9" s="481"/>
      <c r="L9" s="347"/>
    </row>
    <row r="10" spans="1:13" s="519" customFormat="1" ht="13.5" thickBot="1" x14ac:dyDescent="0.25">
      <c r="A10" s="1758" t="s">
        <v>1235</v>
      </c>
      <c r="B10" s="1731"/>
      <c r="C10" s="1710">
        <f>SUM(C8:C9)</f>
        <v>5932517</v>
      </c>
      <c r="D10" s="1710">
        <f t="shared" ref="D10:K10" si="1">SUM(D8:D9)</f>
        <v>321451</v>
      </c>
      <c r="E10" s="1710">
        <f t="shared" si="1"/>
        <v>0</v>
      </c>
      <c r="F10" s="1710">
        <f t="shared" si="1"/>
        <v>605612</v>
      </c>
      <c r="G10" s="1710">
        <f t="shared" si="1"/>
        <v>247583</v>
      </c>
      <c r="H10" s="1710">
        <f t="shared" si="1"/>
        <v>17231</v>
      </c>
      <c r="I10" s="1710">
        <f t="shared" si="1"/>
        <v>33382</v>
      </c>
      <c r="J10" s="1710">
        <f t="shared" si="1"/>
        <v>407170</v>
      </c>
      <c r="K10" s="1710">
        <f t="shared" si="1"/>
        <v>33241</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2559368</v>
      </c>
      <c r="D12" s="520" t="s">
        <v>1231</v>
      </c>
      <c r="E12" s="468" t="s">
        <v>1231</v>
      </c>
      <c r="F12" s="468" t="s">
        <v>1231</v>
      </c>
      <c r="G12" s="1764">
        <f>'Expenditures 15-22'!K229</f>
        <v>58782</v>
      </c>
      <c r="H12" s="521"/>
      <c r="I12" s="468" t="s">
        <v>1231</v>
      </c>
      <c r="J12" s="468" t="s">
        <v>1231</v>
      </c>
      <c r="K12" s="521" t="s">
        <v>1231</v>
      </c>
      <c r="L12" s="347"/>
    </row>
    <row r="13" spans="1:13" ht="15.75" customHeight="1" x14ac:dyDescent="0.2">
      <c r="A13" s="1598" t="s">
        <v>477</v>
      </c>
      <c r="B13" s="1600">
        <v>2000</v>
      </c>
      <c r="C13" s="1765">
        <f>'Expenditures 15-22'!K74</f>
        <v>1232757</v>
      </c>
      <c r="D13" s="1765">
        <f>'Expenditures 15-22'!K129</f>
        <v>337182</v>
      </c>
      <c r="E13" s="469" t="s">
        <v>1231</v>
      </c>
      <c r="F13" s="1765">
        <f>'Expenditures 15-22'!K184</f>
        <v>519466</v>
      </c>
      <c r="G13" s="1765">
        <f>'Expenditures 15-22'!K279</f>
        <v>143556</v>
      </c>
      <c r="H13" s="1765">
        <f>'Expenditures 15-22'!K303</f>
        <v>0</v>
      </c>
      <c r="I13" s="468" t="s">
        <v>1231</v>
      </c>
      <c r="J13" s="1765">
        <f>'Expenditures 15-22'!K330</f>
        <v>343823</v>
      </c>
      <c r="K13" s="1769">
        <f>'Expenditures 15-22'!K352</f>
        <v>103445</v>
      </c>
      <c r="L13" s="347"/>
    </row>
    <row r="14" spans="1:13" ht="15.75" customHeight="1" x14ac:dyDescent="0.2">
      <c r="A14" s="1598" t="s">
        <v>469</v>
      </c>
      <c r="B14" s="1600">
        <v>3000</v>
      </c>
      <c r="C14" s="1765">
        <f>'Expenditures 15-22'!K75</f>
        <v>1544</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349892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4143561</v>
      </c>
      <c r="D17" s="1710">
        <f t="shared" si="2"/>
        <v>337182</v>
      </c>
      <c r="E17" s="1710">
        <f t="shared" si="2"/>
        <v>0</v>
      </c>
      <c r="F17" s="1710">
        <f t="shared" si="2"/>
        <v>519466</v>
      </c>
      <c r="G17" s="1710">
        <f t="shared" si="2"/>
        <v>202338</v>
      </c>
      <c r="H17" s="1710">
        <f t="shared" si="2"/>
        <v>0</v>
      </c>
      <c r="I17" s="468"/>
      <c r="J17" s="1710">
        <f>SUM(J12:J16)</f>
        <v>343823</v>
      </c>
      <c r="K17" s="1710">
        <f>SUM(K12:K16)</f>
        <v>103445</v>
      </c>
      <c r="L17" s="347"/>
    </row>
    <row r="18" spans="1:12" ht="15" customHeight="1" thickTop="1" x14ac:dyDescent="0.2">
      <c r="A18" s="1766" t="s">
        <v>1753</v>
      </c>
      <c r="B18" s="1767">
        <v>4180</v>
      </c>
      <c r="C18" s="1764">
        <f t="shared" ref="C18:H18" si="3">C9</f>
        <v>1621147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5764708</v>
      </c>
      <c r="D19" s="1710">
        <f t="shared" si="4"/>
        <v>337182</v>
      </c>
      <c r="E19" s="1710">
        <f t="shared" si="4"/>
        <v>0</v>
      </c>
      <c r="F19" s="1710">
        <f t="shared" si="4"/>
        <v>519466</v>
      </c>
      <c r="G19" s="1710">
        <f t="shared" si="4"/>
        <v>202338</v>
      </c>
      <c r="H19" s="1710">
        <f t="shared" si="4"/>
        <v>0</v>
      </c>
      <c r="I19" s="468"/>
      <c r="J19" s="1710">
        <f>SUM(J17:J18)</f>
        <v>343823</v>
      </c>
      <c r="K19" s="1710">
        <f>SUM(K17:K18)</f>
        <v>103445</v>
      </c>
      <c r="L19" s="347"/>
    </row>
    <row r="20" spans="1:12" ht="16.5" thickTop="1" thickBot="1" x14ac:dyDescent="0.25">
      <c r="A20" s="2145" t="s">
        <v>1754</v>
      </c>
      <c r="B20" s="2146"/>
      <c r="C20" s="1768">
        <f>C8-C17</f>
        <v>167809</v>
      </c>
      <c r="D20" s="1768">
        <f t="shared" ref="D20:K20" si="5">D8-D17</f>
        <v>-15731</v>
      </c>
      <c r="E20" s="1768">
        <f t="shared" si="5"/>
        <v>0</v>
      </c>
      <c r="F20" s="1768">
        <f t="shared" si="5"/>
        <v>86146</v>
      </c>
      <c r="G20" s="1768">
        <f t="shared" si="5"/>
        <v>45245</v>
      </c>
      <c r="H20" s="1768">
        <f t="shared" si="5"/>
        <v>17231</v>
      </c>
      <c r="I20" s="1768">
        <f t="shared" si="5"/>
        <v>33382</v>
      </c>
      <c r="J20" s="1768">
        <f t="shared" si="5"/>
        <v>63347</v>
      </c>
      <c r="K20" s="1768">
        <f t="shared" si="5"/>
        <v>-70204</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167809</v>
      </c>
      <c r="D78" s="1724">
        <f t="shared" si="9"/>
        <v>-15731</v>
      </c>
      <c r="E78" s="1724">
        <f t="shared" si="9"/>
        <v>0</v>
      </c>
      <c r="F78" s="1724">
        <f t="shared" si="9"/>
        <v>86146</v>
      </c>
      <c r="G78" s="1724">
        <f t="shared" si="9"/>
        <v>45245</v>
      </c>
      <c r="H78" s="1724">
        <f t="shared" si="9"/>
        <v>17231</v>
      </c>
      <c r="I78" s="1724">
        <f t="shared" si="9"/>
        <v>33382</v>
      </c>
      <c r="J78" s="1724">
        <f t="shared" si="9"/>
        <v>63347</v>
      </c>
      <c r="K78" s="1724">
        <f t="shared" si="9"/>
        <v>-70204</v>
      </c>
      <c r="L78" s="533"/>
    </row>
    <row r="79" spans="1:12" ht="13.5" thickTop="1" x14ac:dyDescent="0.2">
      <c r="A79" s="1516" t="s">
        <v>2073</v>
      </c>
      <c r="B79" s="534"/>
      <c r="C79" s="478">
        <v>75908</v>
      </c>
      <c r="D79" s="535">
        <v>1281116</v>
      </c>
      <c r="E79" s="535">
        <v>0</v>
      </c>
      <c r="F79" s="535">
        <v>739</v>
      </c>
      <c r="G79" s="535">
        <v>287858</v>
      </c>
      <c r="H79" s="535">
        <v>34923</v>
      </c>
      <c r="I79" s="535">
        <v>296205</v>
      </c>
      <c r="J79" s="535">
        <v>202946</v>
      </c>
      <c r="K79" s="535">
        <v>304955</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243717</v>
      </c>
      <c r="D81" s="1710">
        <f>SUM(D78:D80)</f>
        <v>1265385</v>
      </c>
      <c r="E81" s="1710">
        <f t="shared" ref="E81:K81" si="10">SUM(E78:E80)</f>
        <v>0</v>
      </c>
      <c r="F81" s="1710">
        <f t="shared" si="10"/>
        <v>86885</v>
      </c>
      <c r="G81" s="1710">
        <f t="shared" si="10"/>
        <v>333103</v>
      </c>
      <c r="H81" s="1710">
        <f t="shared" si="10"/>
        <v>52154</v>
      </c>
      <c r="I81" s="1710">
        <f t="shared" si="10"/>
        <v>329587</v>
      </c>
      <c r="J81" s="1710">
        <f t="shared" si="10"/>
        <v>266293</v>
      </c>
      <c r="K81" s="1710">
        <f t="shared" si="10"/>
        <v>234751</v>
      </c>
      <c r="L81" s="347"/>
    </row>
    <row r="82" spans="1:12" ht="0.75" customHeight="1" thickTop="1" thickBot="1" x14ac:dyDescent="0.25">
      <c r="A82" s="536" t="s">
        <v>361</v>
      </c>
      <c r="B82" s="537"/>
      <c r="C82" s="538">
        <f>(C81-C79)</f>
        <v>167809</v>
      </c>
      <c r="D82" s="538">
        <f t="shared" ref="D82:K82" si="11">(D81-D79)</f>
        <v>-15731</v>
      </c>
      <c r="E82" s="538">
        <f t="shared" si="11"/>
        <v>0</v>
      </c>
      <c r="F82" s="538">
        <f t="shared" si="11"/>
        <v>86146</v>
      </c>
      <c r="G82" s="538">
        <f t="shared" si="11"/>
        <v>45245</v>
      </c>
      <c r="H82" s="538">
        <f t="shared" si="11"/>
        <v>17231</v>
      </c>
      <c r="I82" s="538">
        <f t="shared" si="11"/>
        <v>33382</v>
      </c>
      <c r="J82" s="538">
        <f t="shared" si="11"/>
        <v>63347</v>
      </c>
      <c r="K82" s="538">
        <f t="shared" si="11"/>
        <v>-70204</v>
      </c>
    </row>
    <row r="83" spans="1:12" ht="14.25" hidden="1" thickTop="1" thickBot="1" x14ac:dyDescent="0.25">
      <c r="A83" s="539" t="s">
        <v>362</v>
      </c>
      <c r="B83" s="464"/>
      <c r="C83" s="540">
        <f>C82/C81</f>
        <v>0.68854039726403982</v>
      </c>
      <c r="D83" s="540">
        <f t="shared" ref="D83:K83" si="12">D82/D81</f>
        <v>-1.2431789534410476E-2</v>
      </c>
      <c r="E83" s="540" t="e">
        <f t="shared" si="12"/>
        <v>#DIV/0!</v>
      </c>
      <c r="F83" s="540">
        <f t="shared" si="12"/>
        <v>0.99149450422972896</v>
      </c>
      <c r="G83" s="540">
        <f t="shared" si="12"/>
        <v>0.13582885774069883</v>
      </c>
      <c r="H83" s="540">
        <f t="shared" si="12"/>
        <v>0.33038693101200289</v>
      </c>
      <c r="I83" s="540">
        <f t="shared" si="12"/>
        <v>0.10128433463698508</v>
      </c>
      <c r="J83" s="540">
        <f t="shared" si="12"/>
        <v>0.23788458577581836</v>
      </c>
      <c r="K83" s="540">
        <f t="shared" si="12"/>
        <v>-0.29905729901044087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C1" colorId="8" zoomScaleNormal="100" zoomScaleSheetLayoutView="75" workbookViewId="0">
      <pane ySplit="2" topLeftCell="A102" activePane="bottomLeft" state="frozen"/>
      <selection activeCell="A47" sqref="A47"/>
      <selection pane="bottomLeft" activeCell="C107" sqref="C10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1436252</v>
      </c>
      <c r="D5" s="481">
        <v>312032</v>
      </c>
      <c r="E5" s="466"/>
      <c r="F5" s="548">
        <v>124813</v>
      </c>
      <c r="G5" s="466">
        <v>121398</v>
      </c>
      <c r="H5" s="466"/>
      <c r="I5" s="466">
        <v>31204</v>
      </c>
      <c r="J5" s="467">
        <v>404656</v>
      </c>
      <c r="K5" s="466">
        <v>31204</v>
      </c>
    </row>
    <row r="6" spans="1:12" ht="15" x14ac:dyDescent="0.2">
      <c r="A6" s="463" t="s">
        <v>1761</v>
      </c>
      <c r="B6" s="470">
        <v>1130</v>
      </c>
      <c r="C6" s="466">
        <v>31204</v>
      </c>
      <c r="D6" s="466"/>
      <c r="E6" s="475"/>
      <c r="F6" s="475"/>
      <c r="G6" s="468"/>
      <c r="H6" s="468"/>
      <c r="I6" s="468"/>
      <c r="J6" s="468"/>
      <c r="K6" s="468"/>
    </row>
    <row r="7" spans="1:12" x14ac:dyDescent="0.2">
      <c r="A7" s="463" t="s">
        <v>112</v>
      </c>
      <c r="B7" s="549">
        <v>1140</v>
      </c>
      <c r="C7" s="466">
        <v>24962</v>
      </c>
      <c r="D7" s="466"/>
      <c r="E7" s="468"/>
      <c r="F7" s="467"/>
      <c r="G7" s="467"/>
      <c r="H7" s="467"/>
      <c r="I7" s="468"/>
      <c r="J7" s="468"/>
      <c r="K7" s="468"/>
    </row>
    <row r="8" spans="1:12" x14ac:dyDescent="0.2">
      <c r="A8" s="463" t="s">
        <v>433</v>
      </c>
      <c r="B8" s="470">
        <v>1150</v>
      </c>
      <c r="C8" s="475"/>
      <c r="D8" s="475"/>
      <c r="E8" s="477"/>
      <c r="F8" s="477"/>
      <c r="G8" s="481">
        <v>121398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1492418</v>
      </c>
      <c r="D12" s="1729">
        <f t="shared" si="0"/>
        <v>312032</v>
      </c>
      <c r="E12" s="1729">
        <f t="shared" si="0"/>
        <v>0</v>
      </c>
      <c r="F12" s="1729">
        <f t="shared" si="0"/>
        <v>124813</v>
      </c>
      <c r="G12" s="1729">
        <f t="shared" si="0"/>
        <v>242796</v>
      </c>
      <c r="H12" s="1729">
        <f t="shared" si="0"/>
        <v>0</v>
      </c>
      <c r="I12" s="1729">
        <f t="shared" si="0"/>
        <v>31204</v>
      </c>
      <c r="J12" s="1729">
        <f t="shared" si="0"/>
        <v>404656</v>
      </c>
      <c r="K12" s="1710">
        <f t="shared" si="0"/>
        <v>31204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541</v>
      </c>
      <c r="D14" s="466">
        <v>113</v>
      </c>
      <c r="E14" s="466"/>
      <c r="F14" s="466">
        <v>45</v>
      </c>
      <c r="G14" s="466">
        <v>94</v>
      </c>
      <c r="H14" s="466"/>
      <c r="I14" s="466">
        <v>11</v>
      </c>
      <c r="J14" s="467">
        <v>156</v>
      </c>
      <c r="K14" s="466">
        <v>11</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59441</v>
      </c>
      <c r="D16" s="466"/>
      <c r="E16" s="466"/>
      <c r="F16" s="466"/>
      <c r="G16" s="466">
        <v>2000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59982</v>
      </c>
      <c r="D18" s="1732">
        <f t="shared" ref="D18:K18" si="1">SUM(D14:D17)</f>
        <v>113</v>
      </c>
      <c r="E18" s="1732">
        <f t="shared" si="1"/>
        <v>0</v>
      </c>
      <c r="F18" s="1732">
        <f t="shared" si="1"/>
        <v>45</v>
      </c>
      <c r="G18" s="1732">
        <f t="shared" si="1"/>
        <v>2094</v>
      </c>
      <c r="H18" s="1732">
        <f t="shared" si="1"/>
        <v>0</v>
      </c>
      <c r="I18" s="1732">
        <f t="shared" si="1"/>
        <v>11</v>
      </c>
      <c r="J18" s="1732">
        <f t="shared" si="1"/>
        <v>156</v>
      </c>
      <c r="K18" s="1733">
        <f t="shared" si="1"/>
        <v>11</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1190</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1190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4659</v>
      </c>
      <c r="D65" s="466">
        <v>9306</v>
      </c>
      <c r="E65" s="466"/>
      <c r="F65" s="467">
        <v>285</v>
      </c>
      <c r="G65" s="466">
        <v>2693</v>
      </c>
      <c r="H65" s="466">
        <v>283</v>
      </c>
      <c r="I65" s="466">
        <v>2167</v>
      </c>
      <c r="J65" s="467">
        <v>2358</v>
      </c>
      <c r="K65" s="466">
        <v>2026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4659</v>
      </c>
      <c r="D67" s="1710">
        <f t="shared" ref="D67:K67" si="2">SUM(D65:D66)</f>
        <v>9306</v>
      </c>
      <c r="E67" s="1710">
        <f t="shared" si="2"/>
        <v>0</v>
      </c>
      <c r="F67" s="1710">
        <f t="shared" si="2"/>
        <v>285</v>
      </c>
      <c r="G67" s="1710">
        <f t="shared" si="2"/>
        <v>2693</v>
      </c>
      <c r="H67" s="1710">
        <f t="shared" si="2"/>
        <v>283</v>
      </c>
      <c r="I67" s="1710">
        <f t="shared" si="2"/>
        <v>2167</v>
      </c>
      <c r="J67" s="1710">
        <f t="shared" si="2"/>
        <v>2358</v>
      </c>
      <c r="K67" s="1710">
        <f t="shared" si="2"/>
        <v>2026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52078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686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6509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59273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20245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20245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11877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11877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2700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1618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850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16948</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522</v>
      </c>
      <c r="D107" s="466"/>
      <c r="E107" s="466"/>
      <c r="F107" s="466">
        <v>334</v>
      </c>
      <c r="G107" s="466"/>
      <c r="H107" s="466"/>
      <c r="I107" s="466"/>
      <c r="J107" s="467"/>
      <c r="K107" s="466"/>
    </row>
    <row r="108" spans="1:12" ht="12.75" customHeight="1" thickBot="1" x14ac:dyDescent="0.25">
      <c r="A108" s="1730" t="s">
        <v>508</v>
      </c>
      <c r="B108" s="1734"/>
      <c r="C108" s="1729">
        <f>SUM(C95:C107)</f>
        <v>5690</v>
      </c>
      <c r="D108" s="1729">
        <f t="shared" ref="D108:K108" si="3">SUM(D95:D107)</f>
        <v>0</v>
      </c>
      <c r="E108" s="1729">
        <f t="shared" si="3"/>
        <v>0</v>
      </c>
      <c r="F108" s="1729">
        <f t="shared" si="3"/>
        <v>334</v>
      </c>
      <c r="G108" s="1729">
        <f t="shared" si="3"/>
        <v>0</v>
      </c>
      <c r="H108" s="1729">
        <f t="shared" si="3"/>
        <v>16948</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1654144</v>
      </c>
      <c r="D109" s="1737">
        <f t="shared" si="4"/>
        <v>321451</v>
      </c>
      <c r="E109" s="1737">
        <f t="shared" si="4"/>
        <v>0</v>
      </c>
      <c r="F109" s="1737">
        <f t="shared" si="4"/>
        <v>126667</v>
      </c>
      <c r="G109" s="1737">
        <f t="shared" si="4"/>
        <v>247583</v>
      </c>
      <c r="H109" s="1737">
        <f t="shared" si="4"/>
        <v>17231</v>
      </c>
      <c r="I109" s="1737">
        <f t="shared" si="4"/>
        <v>33382</v>
      </c>
      <c r="J109" s="1737">
        <f t="shared" si="4"/>
        <v>407170</v>
      </c>
      <c r="K109" s="1724">
        <f t="shared" si="4"/>
        <v>33241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1909869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1909869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34829</v>
      </c>
      <c r="D124" s="561"/>
      <c r="E124" s="468"/>
      <c r="F124" s="548"/>
      <c r="G124" s="468"/>
      <c r="H124" s="468"/>
      <c r="I124" s="468"/>
      <c r="J124" s="468"/>
      <c r="K124" s="468"/>
    </row>
    <row r="125" spans="1:11" ht="12.75" customHeight="1" x14ac:dyDescent="0.2">
      <c r="A125" s="463" t="s">
        <v>1521</v>
      </c>
      <c r="B125" s="562">
        <v>3105</v>
      </c>
      <c r="C125" s="466">
        <v>35103</v>
      </c>
      <c r="D125" s="561"/>
      <c r="E125" s="468"/>
      <c r="F125" s="466"/>
      <c r="G125" s="468"/>
      <c r="H125" s="468"/>
      <c r="I125" s="468"/>
      <c r="J125" s="468"/>
      <c r="K125" s="468"/>
    </row>
    <row r="126" spans="1:11" ht="12.75" customHeight="1" x14ac:dyDescent="0.2">
      <c r="A126" s="463" t="s">
        <v>922</v>
      </c>
      <c r="B126" s="562">
        <v>3110</v>
      </c>
      <c r="C126" s="551">
        <v>42094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112026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15004</v>
      </c>
      <c r="D134" s="466"/>
      <c r="E134" s="561"/>
      <c r="F134" s="468"/>
      <c r="G134" s="467"/>
      <c r="H134" s="468"/>
      <c r="I134" s="468"/>
      <c r="J134" s="468"/>
      <c r="K134" s="468"/>
    </row>
    <row r="135" spans="1:11" ht="12.75" customHeight="1" x14ac:dyDescent="0.2">
      <c r="A135" s="463" t="s">
        <v>267</v>
      </c>
      <c r="B135" s="562">
        <v>3225</v>
      </c>
      <c r="C135" s="551">
        <v>3797</v>
      </c>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18801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2757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8011</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234424</v>
      </c>
      <c r="G151" s="467"/>
      <c r="H151" s="468"/>
      <c r="I151" s="468"/>
      <c r="J151" s="468"/>
      <c r="K151" s="468"/>
    </row>
    <row r="152" spans="1:11" ht="12.75" customHeight="1" x14ac:dyDescent="0.2">
      <c r="A152" s="463" t="s">
        <v>1117</v>
      </c>
      <c r="B152" s="562">
        <v>3510</v>
      </c>
      <c r="C152" s="551"/>
      <c r="D152" s="466"/>
      <c r="E152" s="561"/>
      <c r="F152" s="466">
        <v>244521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478945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140335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283430</v>
      </c>
      <c r="D172" s="1744">
        <f t="shared" si="6"/>
        <v>0</v>
      </c>
      <c r="E172" s="1744">
        <f t="shared" si="6"/>
        <v>0</v>
      </c>
      <c r="F172" s="1744">
        <f t="shared" si="6"/>
        <v>478945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2193299</v>
      </c>
      <c r="D173" s="1737">
        <f>SUM(D121,D172)</f>
        <v>0</v>
      </c>
      <c r="E173" s="1737">
        <f>SUM(E121,E172)</f>
        <v>0</v>
      </c>
      <c r="F173" s="1737">
        <f t="shared" ref="F173:K173" si="7">SUM(F121,F172)</f>
        <v>478945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8184</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8184</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129633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52588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182221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245301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245301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9771</v>
      </c>
      <c r="D270" s="576"/>
      <c r="E270" s="468"/>
      <c r="F270" s="576"/>
      <c r="G270" s="576"/>
      <c r="H270" s="468"/>
      <c r="I270" s="468"/>
      <c r="J270" s="468"/>
      <c r="K270" s="468"/>
    </row>
    <row r="271" spans="1:11" ht="12.75" customHeight="1" thickTop="1" thickBot="1" x14ac:dyDescent="0.25">
      <c r="A271" s="463" t="s">
        <v>395</v>
      </c>
      <c r="B271" s="470">
        <v>4992</v>
      </c>
      <c r="C271" s="575">
        <v>18354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463927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463927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4311370</v>
      </c>
      <c r="D275" s="1737">
        <f t="shared" si="12"/>
        <v>321451</v>
      </c>
      <c r="E275" s="1737">
        <f t="shared" si="12"/>
        <v>0</v>
      </c>
      <c r="F275" s="1737">
        <f t="shared" si="12"/>
        <v>605612</v>
      </c>
      <c r="G275" s="1737">
        <f t="shared" si="12"/>
        <v>247583</v>
      </c>
      <c r="H275" s="1737">
        <f t="shared" si="12"/>
        <v>17231</v>
      </c>
      <c r="I275" s="1737">
        <f t="shared" si="12"/>
        <v>33382</v>
      </c>
      <c r="J275" s="1737">
        <f t="shared" si="12"/>
        <v>407170</v>
      </c>
      <c r="K275" s="1724">
        <f t="shared" si="12"/>
        <v>33241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6" zoomScaleNormal="96" workbookViewId="0">
      <pane ySplit="2" topLeftCell="A307" activePane="bottomLeft" state="frozen"/>
      <selection activeCell="A47" sqref="A47"/>
      <selection pane="bottomLeft" activeCell="D265" sqref="D26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1061423</v>
      </c>
      <c r="D5" s="466">
        <v>300850</v>
      </c>
      <c r="E5" s="466">
        <v>79663</v>
      </c>
      <c r="F5" s="466">
        <v>40483</v>
      </c>
      <c r="G5" s="466">
        <v>15896</v>
      </c>
      <c r="H5" s="466"/>
      <c r="I5" s="467">
        <v>651</v>
      </c>
      <c r="J5" s="467"/>
      <c r="K5" s="1693">
        <f>SUM(C5:J5)</f>
        <v>1498966</v>
      </c>
      <c r="L5" s="466">
        <v>1483023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58693</v>
      </c>
      <c r="D7" s="467">
        <v>21253</v>
      </c>
      <c r="E7" s="467">
        <v>878</v>
      </c>
      <c r="F7" s="467">
        <v>2828</v>
      </c>
      <c r="G7" s="467"/>
      <c r="H7" s="467"/>
      <c r="I7" s="467"/>
      <c r="J7" s="467"/>
      <c r="K7" s="1693">
        <f t="shared" ref="K7:K32" si="0">SUM(C7:J7)</f>
        <v>83652</v>
      </c>
      <c r="L7" s="466">
        <v>159349</v>
      </c>
    </row>
    <row r="8" spans="1:14" x14ac:dyDescent="0.2">
      <c r="A8" s="1526" t="s">
        <v>166</v>
      </c>
      <c r="B8" s="615">
        <v>1200</v>
      </c>
      <c r="C8" s="466">
        <v>310420</v>
      </c>
      <c r="D8" s="466">
        <v>102039</v>
      </c>
      <c r="E8" s="466">
        <v>27535</v>
      </c>
      <c r="F8" s="466"/>
      <c r="G8" s="466"/>
      <c r="H8" s="466"/>
      <c r="I8" s="467"/>
      <c r="J8" s="467"/>
      <c r="K8" s="1693">
        <f t="shared" si="0"/>
        <v>439994</v>
      </c>
      <c r="L8" s="466">
        <v>475777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150406</v>
      </c>
      <c r="D10" s="466">
        <v>30036</v>
      </c>
      <c r="E10" s="466">
        <v>18768</v>
      </c>
      <c r="F10" s="466">
        <v>35205</v>
      </c>
      <c r="G10" s="466">
        <v>4470</v>
      </c>
      <c r="H10" s="466"/>
      <c r="I10" s="467">
        <v>300</v>
      </c>
      <c r="J10" s="467"/>
      <c r="K10" s="1693">
        <f t="shared" si="0"/>
        <v>239185</v>
      </c>
      <c r="L10" s="466">
        <v>214881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98113</v>
      </c>
      <c r="D13" s="466">
        <v>37661</v>
      </c>
      <c r="E13" s="466">
        <v>920</v>
      </c>
      <c r="F13" s="466">
        <v>9733</v>
      </c>
      <c r="G13" s="466"/>
      <c r="H13" s="466"/>
      <c r="I13" s="467"/>
      <c r="J13" s="467"/>
      <c r="K13" s="1693">
        <f t="shared" si="0"/>
        <v>146427</v>
      </c>
      <c r="L13" s="466">
        <v>147638</v>
      </c>
    </row>
    <row r="14" spans="1:14" x14ac:dyDescent="0.2">
      <c r="A14" s="1526" t="s">
        <v>1020</v>
      </c>
      <c r="B14" s="615">
        <v>1500</v>
      </c>
      <c r="C14" s="466">
        <v>80359</v>
      </c>
      <c r="D14" s="466">
        <v>6596</v>
      </c>
      <c r="E14" s="466">
        <v>26420</v>
      </c>
      <c r="F14" s="466">
        <v>11848</v>
      </c>
      <c r="G14" s="466"/>
      <c r="H14" s="466"/>
      <c r="I14" s="467">
        <v>690</v>
      </c>
      <c r="J14" s="467"/>
      <c r="K14" s="1693">
        <f t="shared" si="0"/>
        <v>125913</v>
      </c>
      <c r="L14" s="466">
        <v>125372</v>
      </c>
    </row>
    <row r="15" spans="1:14" x14ac:dyDescent="0.2">
      <c r="A15" s="1526" t="s">
        <v>1021</v>
      </c>
      <c r="B15" s="615">
        <v>1600</v>
      </c>
      <c r="C15" s="466"/>
      <c r="D15" s="466"/>
      <c r="E15" s="466">
        <v>68</v>
      </c>
      <c r="F15" s="466"/>
      <c r="G15" s="466"/>
      <c r="H15" s="466">
        <v>174</v>
      </c>
      <c r="I15" s="467"/>
      <c r="J15" s="467"/>
      <c r="K15" s="1693">
        <f t="shared" si="0"/>
        <v>242</v>
      </c>
      <c r="L15" s="466">
        <v>370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15137</v>
      </c>
      <c r="D17" s="467">
        <v>1742</v>
      </c>
      <c r="E17" s="467">
        <v>70</v>
      </c>
      <c r="F17" s="467"/>
      <c r="G17" s="467"/>
      <c r="H17" s="467"/>
      <c r="I17" s="467"/>
      <c r="J17" s="467"/>
      <c r="K17" s="1693">
        <f t="shared" si="0"/>
        <v>16949</v>
      </c>
      <c r="L17" s="466">
        <v>14501</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v>8040</v>
      </c>
      <c r="I19" s="467"/>
      <c r="J19" s="467"/>
      <c r="K19" s="1693">
        <f t="shared" si="0"/>
        <v>8040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1774551</v>
      </c>
      <c r="D33" s="1692">
        <f t="shared" ref="D33:L33" si="1">SUM(D5:D32)</f>
        <v>500177</v>
      </c>
      <c r="E33" s="1692">
        <f t="shared" si="1"/>
        <v>154322</v>
      </c>
      <c r="F33" s="1692">
        <f t="shared" si="1"/>
        <v>100097</v>
      </c>
      <c r="G33" s="1692">
        <f t="shared" si="1"/>
        <v>20366</v>
      </c>
      <c r="H33" s="1692">
        <f t="shared" si="1"/>
        <v>8214</v>
      </c>
      <c r="I33" s="1692">
        <f t="shared" si="1"/>
        <v>1641</v>
      </c>
      <c r="J33" s="1692">
        <f t="shared" si="1"/>
        <v>0</v>
      </c>
      <c r="K33" s="1692">
        <f t="shared" si="1"/>
        <v>2559368</v>
      </c>
      <c r="L33" s="1692">
        <f t="shared" si="1"/>
        <v>2620911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v>38565</v>
      </c>
      <c r="D37" s="466">
        <v>11948</v>
      </c>
      <c r="E37" s="466"/>
      <c r="F37" s="466"/>
      <c r="G37" s="466"/>
      <c r="H37" s="466"/>
      <c r="I37" s="467"/>
      <c r="J37" s="467"/>
      <c r="K37" s="1693">
        <f t="shared" si="2"/>
        <v>50513</v>
      </c>
      <c r="L37" s="466">
        <v>51802</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v>37998</v>
      </c>
      <c r="D39" s="466">
        <v>11882</v>
      </c>
      <c r="E39" s="466">
        <v>395</v>
      </c>
      <c r="F39" s="466"/>
      <c r="G39" s="466"/>
      <c r="H39" s="466"/>
      <c r="I39" s="467"/>
      <c r="J39" s="467"/>
      <c r="K39" s="1693">
        <f t="shared" si="2"/>
        <v>50275</v>
      </c>
      <c r="L39" s="466">
        <v>50862</v>
      </c>
    </row>
    <row r="40" spans="1:14" x14ac:dyDescent="0.2">
      <c r="A40" s="1526" t="s">
        <v>209</v>
      </c>
      <c r="B40" s="615">
        <v>2150</v>
      </c>
      <c r="C40" s="466">
        <v>42113</v>
      </c>
      <c r="D40" s="466">
        <v>13223</v>
      </c>
      <c r="E40" s="466">
        <v>12520</v>
      </c>
      <c r="F40" s="466"/>
      <c r="G40" s="466"/>
      <c r="H40" s="466"/>
      <c r="I40" s="467"/>
      <c r="J40" s="467"/>
      <c r="K40" s="1693">
        <f t="shared" si="2"/>
        <v>67856</v>
      </c>
      <c r="L40" s="466">
        <v>79472</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118676</v>
      </c>
      <c r="D42" s="1692">
        <f t="shared" ref="D42:L42" si="3">SUM(D36:D41)</f>
        <v>37053</v>
      </c>
      <c r="E42" s="1692">
        <f t="shared" si="3"/>
        <v>12915</v>
      </c>
      <c r="F42" s="1692">
        <f t="shared" si="3"/>
        <v>0</v>
      </c>
      <c r="G42" s="1692">
        <f t="shared" si="3"/>
        <v>0</v>
      </c>
      <c r="H42" s="1692">
        <f t="shared" si="3"/>
        <v>0</v>
      </c>
      <c r="I42" s="1692">
        <f t="shared" si="3"/>
        <v>0</v>
      </c>
      <c r="J42" s="1692">
        <f t="shared" si="3"/>
        <v>0</v>
      </c>
      <c r="K42" s="1692">
        <f t="shared" si="3"/>
        <v>168644</v>
      </c>
      <c r="L42" s="1692">
        <f t="shared" si="3"/>
        <v>182136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3511</v>
      </c>
      <c r="D44" s="481">
        <v>510</v>
      </c>
      <c r="E44" s="481">
        <v>10276</v>
      </c>
      <c r="F44" s="481">
        <v>43</v>
      </c>
      <c r="G44" s="481"/>
      <c r="H44" s="481"/>
      <c r="I44" s="467"/>
      <c r="J44" s="467"/>
      <c r="K44" s="1694">
        <f>SUM(C44:J44)</f>
        <v>14340</v>
      </c>
      <c r="L44" s="481">
        <v>8259</v>
      </c>
    </row>
    <row r="45" spans="1:14" x14ac:dyDescent="0.2">
      <c r="A45" s="1526" t="s">
        <v>869</v>
      </c>
      <c r="B45" s="615">
        <v>2220</v>
      </c>
      <c r="C45" s="466">
        <v>35927</v>
      </c>
      <c r="D45" s="466">
        <v>12985</v>
      </c>
      <c r="E45" s="466">
        <v>2301</v>
      </c>
      <c r="F45" s="466">
        <v>1941</v>
      </c>
      <c r="G45" s="466"/>
      <c r="H45" s="466"/>
      <c r="I45" s="467"/>
      <c r="J45" s="467"/>
      <c r="K45" s="1694">
        <f>SUM(C45:J45)</f>
        <v>53154</v>
      </c>
      <c r="L45" s="466">
        <v>52061</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39438</v>
      </c>
      <c r="D47" s="1692">
        <f t="shared" ref="D47:K47" si="4">SUM(D44:D46)</f>
        <v>13495</v>
      </c>
      <c r="E47" s="1692">
        <f t="shared" si="4"/>
        <v>12577</v>
      </c>
      <c r="F47" s="1692">
        <f t="shared" si="4"/>
        <v>1984</v>
      </c>
      <c r="G47" s="1692">
        <f t="shared" si="4"/>
        <v>0</v>
      </c>
      <c r="H47" s="1692">
        <f t="shared" si="4"/>
        <v>0</v>
      </c>
      <c r="I47" s="1692">
        <f t="shared" si="4"/>
        <v>0</v>
      </c>
      <c r="J47" s="1692">
        <f t="shared" si="4"/>
        <v>0</v>
      </c>
      <c r="K47" s="1692">
        <f t="shared" si="4"/>
        <v>67494</v>
      </c>
      <c r="L47" s="1692">
        <f>SUM(L44:L46)</f>
        <v>60320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12185</v>
      </c>
      <c r="D49" s="481">
        <v>391</v>
      </c>
      <c r="E49" s="481">
        <v>36805</v>
      </c>
      <c r="F49" s="481">
        <v>1170</v>
      </c>
      <c r="G49" s="481"/>
      <c r="H49" s="481">
        <v>2183</v>
      </c>
      <c r="I49" s="467">
        <v>755</v>
      </c>
      <c r="J49" s="467"/>
      <c r="K49" s="1694">
        <f>SUM(C49:J49)</f>
        <v>53489</v>
      </c>
      <c r="L49" s="481">
        <v>48687</v>
      </c>
    </row>
    <row r="50" spans="1:14" x14ac:dyDescent="0.2">
      <c r="A50" s="1526" t="s">
        <v>872</v>
      </c>
      <c r="B50" s="615">
        <v>2320</v>
      </c>
      <c r="C50" s="466">
        <v>143927</v>
      </c>
      <c r="D50" s="466">
        <v>22161</v>
      </c>
      <c r="E50" s="466">
        <v>4919</v>
      </c>
      <c r="F50" s="466">
        <v>3155</v>
      </c>
      <c r="G50" s="466"/>
      <c r="H50" s="466"/>
      <c r="I50" s="467"/>
      <c r="J50" s="467"/>
      <c r="K50" s="1694">
        <f>SUM(C50:J50)</f>
        <v>174162</v>
      </c>
      <c r="L50" s="466">
        <v>176575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156112</v>
      </c>
      <c r="D53" s="1692">
        <f t="shared" ref="D53:L53" si="5">SUM(D49:D52)</f>
        <v>22552</v>
      </c>
      <c r="E53" s="1692">
        <f t="shared" si="5"/>
        <v>41724</v>
      </c>
      <c r="F53" s="1692">
        <f t="shared" si="5"/>
        <v>4325</v>
      </c>
      <c r="G53" s="1692">
        <f t="shared" si="5"/>
        <v>0</v>
      </c>
      <c r="H53" s="1692">
        <f t="shared" si="5"/>
        <v>2183</v>
      </c>
      <c r="I53" s="1692">
        <f t="shared" si="5"/>
        <v>755</v>
      </c>
      <c r="J53" s="1692">
        <f t="shared" si="5"/>
        <v>0</v>
      </c>
      <c r="K53" s="1692">
        <f t="shared" si="5"/>
        <v>227651</v>
      </c>
      <c r="L53" s="1692">
        <f t="shared" si="5"/>
        <v>225262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311009</v>
      </c>
      <c r="D55" s="481">
        <v>96066</v>
      </c>
      <c r="E55" s="481">
        <v>536</v>
      </c>
      <c r="F55" s="481">
        <v>2830</v>
      </c>
      <c r="G55" s="481"/>
      <c r="H55" s="481">
        <v>831</v>
      </c>
      <c r="I55" s="467"/>
      <c r="J55" s="467">
        <v>2961</v>
      </c>
      <c r="K55" s="1694">
        <f>SUM(C55:J55)</f>
        <v>414233</v>
      </c>
      <c r="L55" s="481">
        <v>400070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311009</v>
      </c>
      <c r="D57" s="1696">
        <f t="shared" ref="D57:K57" si="6">SUM(D55:D56)</f>
        <v>96066</v>
      </c>
      <c r="E57" s="1696">
        <f t="shared" si="6"/>
        <v>536</v>
      </c>
      <c r="F57" s="1696">
        <f t="shared" si="6"/>
        <v>2830</v>
      </c>
      <c r="G57" s="1696">
        <f t="shared" si="6"/>
        <v>0</v>
      </c>
      <c r="H57" s="1696">
        <f t="shared" si="6"/>
        <v>831</v>
      </c>
      <c r="I57" s="1696">
        <f t="shared" si="6"/>
        <v>0</v>
      </c>
      <c r="J57" s="1696">
        <f t="shared" si="6"/>
        <v>2961</v>
      </c>
      <c r="K57" s="1696">
        <f t="shared" si="6"/>
        <v>414233</v>
      </c>
      <c r="L57" s="1692">
        <f>SUM(L55:L56)</f>
        <v>400070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47849</v>
      </c>
      <c r="D60" s="466"/>
      <c r="E60" s="466">
        <v>2263</v>
      </c>
      <c r="F60" s="466">
        <v>378</v>
      </c>
      <c r="G60" s="466"/>
      <c r="H60" s="466"/>
      <c r="I60" s="467"/>
      <c r="J60" s="467"/>
      <c r="K60" s="1694">
        <f t="shared" si="7"/>
        <v>50490</v>
      </c>
      <c r="L60" s="466">
        <v>53060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v>19098</v>
      </c>
      <c r="D62" s="466"/>
      <c r="E62" s="466"/>
      <c r="F62" s="466"/>
      <c r="G62" s="466"/>
      <c r="H62" s="466"/>
      <c r="I62" s="467"/>
      <c r="J62" s="467"/>
      <c r="K62" s="1694">
        <f t="shared" si="7"/>
        <v>19098</v>
      </c>
      <c r="L62" s="466">
        <v>20000</v>
      </c>
      <c r="M62" s="610"/>
      <c r="N62" s="610"/>
    </row>
    <row r="63" spans="1:14" s="610" customFormat="1" x14ac:dyDescent="0.2">
      <c r="A63" s="1526" t="s">
        <v>102</v>
      </c>
      <c r="B63" s="615">
        <v>2560</v>
      </c>
      <c r="C63" s="466">
        <v>80997</v>
      </c>
      <c r="D63" s="466">
        <v>29167</v>
      </c>
      <c r="E63" s="466">
        <v>2704</v>
      </c>
      <c r="F63" s="466">
        <v>133400</v>
      </c>
      <c r="G63" s="466">
        <v>4034</v>
      </c>
      <c r="H63" s="466"/>
      <c r="I63" s="467"/>
      <c r="J63" s="467">
        <v>9636</v>
      </c>
      <c r="K63" s="1694">
        <f t="shared" si="7"/>
        <v>259938</v>
      </c>
      <c r="L63" s="466">
        <v>284689</v>
      </c>
    </row>
    <row r="64" spans="1:14" s="610" customFormat="1" x14ac:dyDescent="0.2">
      <c r="A64" s="1531" t="s">
        <v>103</v>
      </c>
      <c r="B64" s="631">
        <v>2570</v>
      </c>
      <c r="C64" s="481"/>
      <c r="D64" s="481"/>
      <c r="E64" s="481">
        <v>9684</v>
      </c>
      <c r="F64" s="481">
        <v>5882</v>
      </c>
      <c r="G64" s="481"/>
      <c r="H64" s="481"/>
      <c r="I64" s="467"/>
      <c r="J64" s="467"/>
      <c r="K64" s="1694">
        <f t="shared" si="7"/>
        <v>15566</v>
      </c>
      <c r="L64" s="481">
        <v>15000</v>
      </c>
    </row>
    <row r="65" spans="1:14" s="343" customFormat="1" ht="12.75" customHeight="1" thickBot="1" x14ac:dyDescent="0.25">
      <c r="A65" s="1690" t="s">
        <v>743</v>
      </c>
      <c r="B65" s="1691" t="s">
        <v>35</v>
      </c>
      <c r="C65" s="1692">
        <f>SUM(C59:C64)</f>
        <v>147944</v>
      </c>
      <c r="D65" s="1692">
        <f t="shared" ref="D65:L65" si="8">SUM(D59:D64)</f>
        <v>29167</v>
      </c>
      <c r="E65" s="1692">
        <f t="shared" si="8"/>
        <v>14651</v>
      </c>
      <c r="F65" s="1692">
        <f t="shared" si="8"/>
        <v>139660</v>
      </c>
      <c r="G65" s="1692">
        <f t="shared" si="8"/>
        <v>4034</v>
      </c>
      <c r="H65" s="1692">
        <f t="shared" si="8"/>
        <v>0</v>
      </c>
      <c r="I65" s="1692">
        <f t="shared" si="8"/>
        <v>0</v>
      </c>
      <c r="J65" s="1692">
        <f t="shared" si="8"/>
        <v>9636</v>
      </c>
      <c r="K65" s="1692">
        <f t="shared" si="8"/>
        <v>345092</v>
      </c>
      <c r="L65" s="1692">
        <f t="shared" si="8"/>
        <v>372749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9643</v>
      </c>
      <c r="F69" s="466"/>
      <c r="G69" s="466"/>
      <c r="H69" s="466"/>
      <c r="I69" s="467"/>
      <c r="J69" s="467"/>
      <c r="K69" s="1694">
        <f>SUM(C69:J69)</f>
        <v>9643</v>
      </c>
      <c r="L69" s="466">
        <v>10000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9643</v>
      </c>
      <c r="F72" s="1692">
        <f t="shared" si="9"/>
        <v>0</v>
      </c>
      <c r="G72" s="1692">
        <f t="shared" si="9"/>
        <v>0</v>
      </c>
      <c r="H72" s="1692">
        <f t="shared" si="9"/>
        <v>0</v>
      </c>
      <c r="I72" s="1692">
        <f t="shared" si="9"/>
        <v>0</v>
      </c>
      <c r="J72" s="1692">
        <f t="shared" si="9"/>
        <v>0</v>
      </c>
      <c r="K72" s="1692">
        <f t="shared" si="9"/>
        <v>9643</v>
      </c>
      <c r="L72" s="1692">
        <f>SUM(L67:L71)</f>
        <v>10000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773179</v>
      </c>
      <c r="D74" s="1699">
        <f t="shared" ref="D74:K74" si="10">SUM(D42,D47,D53,D57,D65,D72,D73)</f>
        <v>198333</v>
      </c>
      <c r="E74" s="1699">
        <f t="shared" si="10"/>
        <v>92046</v>
      </c>
      <c r="F74" s="1699">
        <f t="shared" si="10"/>
        <v>148799</v>
      </c>
      <c r="G74" s="1699">
        <f t="shared" si="10"/>
        <v>4034</v>
      </c>
      <c r="H74" s="1699">
        <f t="shared" si="10"/>
        <v>3014</v>
      </c>
      <c r="I74" s="1699">
        <f t="shared" si="10"/>
        <v>755</v>
      </c>
      <c r="J74" s="1699">
        <f t="shared" si="10"/>
        <v>12597</v>
      </c>
      <c r="K74" s="1699">
        <f t="shared" si="10"/>
        <v>1232757</v>
      </c>
      <c r="L74" s="1699">
        <f>SUM(L42,L47,L53,L57,L65,L72,L73)</f>
        <v>1250537</v>
      </c>
    </row>
    <row r="75" spans="1:14" s="259" customFormat="1" ht="15.75" customHeight="1" thickTop="1" thickBot="1" x14ac:dyDescent="0.25">
      <c r="A75" s="1632" t="s">
        <v>49</v>
      </c>
      <c r="B75" s="1633" t="s">
        <v>596</v>
      </c>
      <c r="C75" s="573"/>
      <c r="D75" s="573"/>
      <c r="E75" s="573">
        <v>553</v>
      </c>
      <c r="F75" s="573">
        <v>991</v>
      </c>
      <c r="G75" s="573"/>
      <c r="H75" s="573"/>
      <c r="I75" s="531"/>
      <c r="J75" s="531"/>
      <c r="K75" s="1692">
        <f>SUM(C75:J75)</f>
        <v>1544</v>
      </c>
      <c r="L75" s="576">
        <v>609</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335234</v>
      </c>
      <c r="I79" s="477"/>
      <c r="J79" s="477"/>
      <c r="K79" s="1693">
        <f t="shared" si="11"/>
        <v>335234</v>
      </c>
      <c r="L79" s="466">
        <v>500000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10950</v>
      </c>
      <c r="I83" s="477"/>
      <c r="J83" s="477"/>
      <c r="K83" s="1693">
        <f t="shared" si="11"/>
        <v>10950</v>
      </c>
      <c r="L83" s="466"/>
    </row>
    <row r="84" spans="1:12" ht="13.5" thickBot="1" x14ac:dyDescent="0.25">
      <c r="A84" s="1690" t="s">
        <v>1565</v>
      </c>
      <c r="B84" s="1700">
        <v>4100</v>
      </c>
      <c r="C84" s="617"/>
      <c r="D84" s="617"/>
      <c r="E84" s="1692">
        <f>SUM(E78:E83)</f>
        <v>0</v>
      </c>
      <c r="F84" s="617"/>
      <c r="G84" s="617"/>
      <c r="H84" s="1692">
        <f>SUM(H78:H83)</f>
        <v>346184</v>
      </c>
      <c r="I84" s="477"/>
      <c r="J84" s="477"/>
      <c r="K84" s="1692">
        <f>SUM(K78:K83)</f>
        <v>346184</v>
      </c>
      <c r="L84" s="1692">
        <f>SUM(L78:L83)</f>
        <v>500000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3708</v>
      </c>
      <c r="I88" s="477"/>
      <c r="J88" s="477"/>
      <c r="K88" s="1699">
        <f t="shared" si="12"/>
        <v>3708</v>
      </c>
      <c r="L88" s="530">
        <v>5000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3708</v>
      </c>
      <c r="I92" s="477"/>
      <c r="J92" s="477"/>
      <c r="K92" s="1699">
        <f t="shared" si="12"/>
        <v>3708</v>
      </c>
      <c r="L92" s="1692">
        <f>SUM(L85:L91)</f>
        <v>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349892</v>
      </c>
      <c r="I102" s="477"/>
      <c r="J102" s="477"/>
      <c r="K102" s="1699">
        <f>SUM(K84,K92,K100,K101)</f>
        <v>349892</v>
      </c>
      <c r="L102" s="1699">
        <f>SUM(L84,L92,L100,L101)</f>
        <v>505000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2547730</v>
      </c>
      <c r="D114" s="1692">
        <f t="shared" ref="D114:K114" si="13">SUM(D33,D74,D75,D102,D112,D113)</f>
        <v>698510</v>
      </c>
      <c r="E114" s="1692">
        <f t="shared" si="13"/>
        <v>246921</v>
      </c>
      <c r="F114" s="1692">
        <f t="shared" si="13"/>
        <v>249887</v>
      </c>
      <c r="G114" s="1692">
        <f t="shared" si="13"/>
        <v>24400</v>
      </c>
      <c r="H114" s="1692">
        <f>SUM(H33,H74,H75,H102,H112,H113)</f>
        <v>361120</v>
      </c>
      <c r="I114" s="1692">
        <f t="shared" si="13"/>
        <v>2396</v>
      </c>
      <c r="J114" s="1692">
        <f t="shared" si="13"/>
        <v>12597</v>
      </c>
      <c r="K114" s="1692">
        <f t="shared" si="13"/>
        <v>4143561</v>
      </c>
      <c r="L114" s="1692">
        <f>SUM(L33,L74,L75,L102,L112,L113)</f>
        <v>4377057</v>
      </c>
    </row>
    <row r="115" spans="1:14" ht="13.5" thickTop="1" x14ac:dyDescent="0.2">
      <c r="A115" s="2175" t="s">
        <v>1053</v>
      </c>
      <c r="B115" s="2176"/>
      <c r="C115" s="619"/>
      <c r="D115" s="619"/>
      <c r="E115" s="619"/>
      <c r="F115" s="619"/>
      <c r="G115" s="619"/>
      <c r="H115" s="619"/>
      <c r="I115" s="619"/>
      <c r="J115" s="619"/>
      <c r="K115" s="1706">
        <f>'Revenues 9-14'!C275-'Expenditures 15-22'!K114</f>
        <v>167809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153558</v>
      </c>
      <c r="D124" s="466">
        <v>36585</v>
      </c>
      <c r="E124" s="466">
        <v>38479</v>
      </c>
      <c r="F124" s="466">
        <v>99848</v>
      </c>
      <c r="G124" s="466">
        <v>7295</v>
      </c>
      <c r="H124" s="466"/>
      <c r="I124" s="467">
        <v>1417</v>
      </c>
      <c r="J124" s="467"/>
      <c r="K124" s="1692">
        <f>SUM(C124:J124)</f>
        <v>337182</v>
      </c>
      <c r="L124" s="466">
        <v>353375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153558</v>
      </c>
      <c r="D127" s="1692">
        <f t="shared" ref="D127:L127" si="14">SUM(D122:D126)</f>
        <v>36585</v>
      </c>
      <c r="E127" s="1692">
        <f t="shared" si="14"/>
        <v>38479</v>
      </c>
      <c r="F127" s="1692">
        <f t="shared" si="14"/>
        <v>99848</v>
      </c>
      <c r="G127" s="1692">
        <f t="shared" si="14"/>
        <v>7295</v>
      </c>
      <c r="H127" s="1692">
        <f t="shared" si="14"/>
        <v>0</v>
      </c>
      <c r="I127" s="1692">
        <f t="shared" si="14"/>
        <v>1417</v>
      </c>
      <c r="J127" s="1692">
        <f t="shared" si="14"/>
        <v>0</v>
      </c>
      <c r="K127" s="1692">
        <f t="shared" si="14"/>
        <v>337182</v>
      </c>
      <c r="L127" s="1692">
        <f t="shared" si="14"/>
        <v>353375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153558</v>
      </c>
      <c r="D129" s="1699">
        <f t="shared" ref="D129:L129" si="15">SUM(D120,D127,D128)</f>
        <v>36585</v>
      </c>
      <c r="E129" s="1699">
        <f t="shared" si="15"/>
        <v>38479</v>
      </c>
      <c r="F129" s="1699">
        <f t="shared" si="15"/>
        <v>99848</v>
      </c>
      <c r="G129" s="1699">
        <f t="shared" si="15"/>
        <v>7295</v>
      </c>
      <c r="H129" s="1699">
        <f t="shared" si="15"/>
        <v>0</v>
      </c>
      <c r="I129" s="1699">
        <f t="shared" si="15"/>
        <v>1417</v>
      </c>
      <c r="J129" s="1699">
        <f t="shared" si="15"/>
        <v>0</v>
      </c>
      <c r="K129" s="1699">
        <f t="shared" si="15"/>
        <v>337182</v>
      </c>
      <c r="L129" s="1699">
        <f t="shared" si="15"/>
        <v>353375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153558</v>
      </c>
      <c r="D151" s="1692">
        <f t="shared" ref="D151:K151" si="16">SUM(D129,D130,D139,D149,D150)</f>
        <v>36585</v>
      </c>
      <c r="E151" s="1692">
        <f t="shared" si="16"/>
        <v>38479</v>
      </c>
      <c r="F151" s="1692">
        <f t="shared" si="16"/>
        <v>99848</v>
      </c>
      <c r="G151" s="1692">
        <f t="shared" si="16"/>
        <v>7295</v>
      </c>
      <c r="H151" s="1692">
        <f t="shared" si="16"/>
        <v>0</v>
      </c>
      <c r="I151" s="1692">
        <f t="shared" si="16"/>
        <v>1417</v>
      </c>
      <c r="J151" s="1692">
        <f t="shared" si="16"/>
        <v>0</v>
      </c>
      <c r="K151" s="1692">
        <f t="shared" si="16"/>
        <v>337182</v>
      </c>
      <c r="L151" s="1692">
        <f>SUM(L129,L130,L139,L149,L150)</f>
        <v>353375</v>
      </c>
    </row>
    <row r="152" spans="1:14" ht="12.75" customHeight="1" thickTop="1" x14ac:dyDescent="0.2">
      <c r="A152" s="2195" t="s">
        <v>1240</v>
      </c>
      <c r="B152" s="2196"/>
      <c r="C152" s="619"/>
      <c r="D152" s="619"/>
      <c r="E152" s="619"/>
      <c r="F152" s="619"/>
      <c r="G152" s="619"/>
      <c r="H152" s="619"/>
      <c r="I152" s="619"/>
      <c r="J152" s="617"/>
      <c r="K152" s="1706">
        <f>'Revenues 9-14'!D275-'Expenditures 15-22'!K151</f>
        <v>-15731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5" t="s">
        <v>1053</v>
      </c>
      <c r="B175" s="2176"/>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270779</v>
      </c>
      <c r="D182" s="466">
        <v>32431</v>
      </c>
      <c r="E182" s="466">
        <v>151932</v>
      </c>
      <c r="F182" s="466">
        <v>64324</v>
      </c>
      <c r="G182" s="466"/>
      <c r="H182" s="466"/>
      <c r="I182" s="467"/>
      <c r="J182" s="467"/>
      <c r="K182" s="1693">
        <f>SUM(C182:J182)</f>
        <v>519466</v>
      </c>
      <c r="L182" s="466">
        <v>521895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270779</v>
      </c>
      <c r="D184" s="1699">
        <f t="shared" ref="D184:J184" si="17">SUM(D180,D182,D183)</f>
        <v>32431</v>
      </c>
      <c r="E184" s="1699">
        <f t="shared" si="17"/>
        <v>151932</v>
      </c>
      <c r="F184" s="1699">
        <f t="shared" si="17"/>
        <v>64324</v>
      </c>
      <c r="G184" s="1699">
        <f t="shared" si="17"/>
        <v>0</v>
      </c>
      <c r="H184" s="1699">
        <f t="shared" si="17"/>
        <v>0</v>
      </c>
      <c r="I184" s="1699">
        <f t="shared" si="17"/>
        <v>0</v>
      </c>
      <c r="J184" s="1699">
        <f t="shared" si="17"/>
        <v>0</v>
      </c>
      <c r="K184" s="1699">
        <f>SUM(K180,K182,K183)</f>
        <v>519466</v>
      </c>
      <c r="L184" s="1699">
        <f>SUM(L180, L182:L183)</f>
        <v>521895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270779</v>
      </c>
      <c r="D210" s="1692">
        <f>SUM(D184,D185)</f>
        <v>32431</v>
      </c>
      <c r="E210" s="1692">
        <f>SUM(E184,E185,E196)</f>
        <v>151932</v>
      </c>
      <c r="F210" s="1692">
        <f>SUM(F184,F185)</f>
        <v>64324</v>
      </c>
      <c r="G210" s="1692">
        <f>SUM(G184,G185)</f>
        <v>0</v>
      </c>
      <c r="H210" s="1692">
        <f>SUM(H184,H185,H196,H208,H209)</f>
        <v>0</v>
      </c>
      <c r="I210" s="1692">
        <f>SUM(I184,I185)</f>
        <v>0</v>
      </c>
      <c r="J210" s="1692">
        <f>SUM(J184,J185)</f>
        <v>0</v>
      </c>
      <c r="K210" s="1693">
        <f>SUM(K184,K185,K196,K208,K209)</f>
        <v>519466</v>
      </c>
      <c r="L210" s="1692">
        <f>SUM(L184,L185,L196,L208,L209)</f>
        <v>521895</v>
      </c>
    </row>
    <row r="211" spans="1:14" ht="13.5" thickTop="1" x14ac:dyDescent="0.2">
      <c r="A211" s="2175" t="s">
        <v>1053</v>
      </c>
      <c r="B211" s="2176"/>
      <c r="C211" s="619"/>
      <c r="D211" s="619"/>
      <c r="E211" s="619"/>
      <c r="F211" s="619"/>
      <c r="G211" s="619"/>
      <c r="H211" s="619"/>
      <c r="I211" s="617"/>
      <c r="J211" s="617"/>
      <c r="K211" s="1706">
        <f>'Revenues 9-14'!F275-'Expenditures 15-22'!K210</f>
        <v>86146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19022</v>
      </c>
      <c r="E215" s="617"/>
      <c r="F215" s="617"/>
      <c r="G215" s="617"/>
      <c r="H215" s="617"/>
      <c r="I215" s="617"/>
      <c r="J215" s="617"/>
      <c r="K215" s="1693">
        <f>D215</f>
        <v>19022</v>
      </c>
      <c r="L215" s="466">
        <v>20200</v>
      </c>
    </row>
    <row r="216" spans="1:14" x14ac:dyDescent="0.2">
      <c r="A216" s="1526" t="s">
        <v>165</v>
      </c>
      <c r="B216" s="615" t="s">
        <v>1024</v>
      </c>
      <c r="C216" s="617"/>
      <c r="D216" s="467">
        <v>3583</v>
      </c>
      <c r="E216" s="617"/>
      <c r="F216" s="617"/>
      <c r="G216" s="617"/>
      <c r="H216" s="617"/>
      <c r="I216" s="617"/>
      <c r="J216" s="617"/>
      <c r="K216" s="1693">
        <f t="shared" ref="K216:K228" si="19">D216</f>
        <v>3583</v>
      </c>
      <c r="L216" s="466">
        <v>800</v>
      </c>
    </row>
    <row r="217" spans="1:14" x14ac:dyDescent="0.2">
      <c r="A217" s="1526" t="s">
        <v>166</v>
      </c>
      <c r="B217" s="615">
        <v>1200</v>
      </c>
      <c r="C217" s="617"/>
      <c r="D217" s="466">
        <v>23716</v>
      </c>
      <c r="E217" s="617"/>
      <c r="F217" s="617"/>
      <c r="G217" s="617"/>
      <c r="H217" s="617"/>
      <c r="I217" s="617"/>
      <c r="J217" s="617"/>
      <c r="K217" s="1693">
        <f t="shared" si="19"/>
        <v>23716</v>
      </c>
      <c r="L217" s="466">
        <v>20800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8005</v>
      </c>
      <c r="E219" s="617"/>
      <c r="F219" s="617"/>
      <c r="G219" s="617"/>
      <c r="H219" s="617"/>
      <c r="I219" s="617"/>
      <c r="J219" s="617"/>
      <c r="K219" s="1693">
        <f t="shared" si="19"/>
        <v>8005</v>
      </c>
      <c r="L219" s="466">
        <v>7000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1346</v>
      </c>
      <c r="E222" s="617"/>
      <c r="F222" s="617"/>
      <c r="G222" s="617"/>
      <c r="H222" s="617"/>
      <c r="I222" s="617"/>
      <c r="J222" s="617"/>
      <c r="K222" s="1693">
        <f t="shared" si="19"/>
        <v>1346</v>
      </c>
      <c r="L222" s="466">
        <v>1500</v>
      </c>
    </row>
    <row r="223" spans="1:14" x14ac:dyDescent="0.2">
      <c r="A223" s="1526" t="s">
        <v>1020</v>
      </c>
      <c r="B223" s="615">
        <v>1500</v>
      </c>
      <c r="C223" s="617"/>
      <c r="D223" s="466">
        <v>2890</v>
      </c>
      <c r="E223" s="617"/>
      <c r="F223" s="617"/>
      <c r="G223" s="617"/>
      <c r="H223" s="617"/>
      <c r="I223" s="617"/>
      <c r="J223" s="617"/>
      <c r="K223" s="1693">
        <f t="shared" si="19"/>
        <v>2890</v>
      </c>
      <c r="L223" s="466">
        <v>3300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220</v>
      </c>
      <c r="E226" s="617"/>
      <c r="F226" s="617"/>
      <c r="G226" s="617"/>
      <c r="H226" s="617"/>
      <c r="I226" s="617"/>
      <c r="J226" s="617"/>
      <c r="K226" s="1693">
        <f t="shared" si="19"/>
        <v>220</v>
      </c>
      <c r="L226" s="466">
        <v>200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58782</v>
      </c>
      <c r="E229" s="617"/>
      <c r="F229" s="617"/>
      <c r="G229" s="617"/>
      <c r="H229" s="617"/>
      <c r="I229" s="617"/>
      <c r="J229" s="617"/>
      <c r="K229" s="1692">
        <f>SUM(K215:K228)</f>
        <v>58782</v>
      </c>
      <c r="L229" s="1692">
        <f>SUM(L215:L228)</f>
        <v>53800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532</v>
      </c>
      <c r="E233" s="617"/>
      <c r="F233" s="617"/>
      <c r="G233" s="617"/>
      <c r="H233" s="617"/>
      <c r="I233" s="617"/>
      <c r="J233" s="617"/>
      <c r="K233" s="1693">
        <f t="shared" si="20"/>
        <v>532</v>
      </c>
      <c r="L233" s="466">
        <v>600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v>538</v>
      </c>
      <c r="E235" s="617"/>
      <c r="F235" s="617"/>
      <c r="G235" s="617"/>
      <c r="H235" s="617"/>
      <c r="I235" s="617"/>
      <c r="J235" s="617"/>
      <c r="K235" s="1693">
        <f t="shared" si="20"/>
        <v>538</v>
      </c>
      <c r="L235" s="466">
        <v>600</v>
      </c>
    </row>
    <row r="236" spans="1:12" x14ac:dyDescent="0.2">
      <c r="A236" s="1526" t="s">
        <v>209</v>
      </c>
      <c r="B236" s="615">
        <v>2150</v>
      </c>
      <c r="C236" s="617"/>
      <c r="D236" s="466">
        <v>589</v>
      </c>
      <c r="E236" s="617"/>
      <c r="F236" s="617"/>
      <c r="G236" s="617"/>
      <c r="H236" s="617"/>
      <c r="I236" s="617"/>
      <c r="J236" s="617"/>
      <c r="K236" s="1693">
        <f t="shared" si="20"/>
        <v>589</v>
      </c>
      <c r="L236" s="466">
        <v>200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1659</v>
      </c>
      <c r="E238" s="617"/>
      <c r="F238" s="617"/>
      <c r="G238" s="617"/>
      <c r="H238" s="617"/>
      <c r="I238" s="617"/>
      <c r="J238" s="617"/>
      <c r="K238" s="1692">
        <f>SUM(K232:K237)</f>
        <v>1659</v>
      </c>
      <c r="L238" s="1692">
        <f>SUM(L232:L237)</f>
        <v>1400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51</v>
      </c>
      <c r="E240" s="617"/>
      <c r="F240" s="617"/>
      <c r="G240" s="617"/>
      <c r="H240" s="617"/>
      <c r="I240" s="617"/>
      <c r="J240" s="617"/>
      <c r="K240" s="1694">
        <f>D240</f>
        <v>51</v>
      </c>
      <c r="L240" s="481"/>
    </row>
    <row r="241" spans="1:12" x14ac:dyDescent="0.2">
      <c r="A241" s="1526" t="s">
        <v>869</v>
      </c>
      <c r="B241" s="615">
        <v>2220</v>
      </c>
      <c r="C241" s="617"/>
      <c r="D241" s="466">
        <v>474</v>
      </c>
      <c r="E241" s="617"/>
      <c r="F241" s="617"/>
      <c r="G241" s="617"/>
      <c r="H241" s="617"/>
      <c r="I241" s="617"/>
      <c r="J241" s="617"/>
      <c r="K241" s="1694">
        <f>D241</f>
        <v>474</v>
      </c>
      <c r="L241" s="466">
        <v>500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525</v>
      </c>
      <c r="E243" s="617"/>
      <c r="F243" s="617"/>
      <c r="G243" s="617"/>
      <c r="H243" s="617"/>
      <c r="I243" s="617"/>
      <c r="J243" s="617"/>
      <c r="K243" s="1692">
        <f>SUM(K240:K242)</f>
        <v>525</v>
      </c>
      <c r="L243" s="1692">
        <f>SUM(L240:L242)</f>
        <v>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8856</v>
      </c>
      <c r="E246" s="617"/>
      <c r="F246" s="617"/>
      <c r="G246" s="617"/>
      <c r="H246" s="617"/>
      <c r="I246" s="617"/>
      <c r="J246" s="617"/>
      <c r="K246" s="1694">
        <f t="shared" ref="K246:K256" si="21">D246</f>
        <v>8856</v>
      </c>
      <c r="L246" s="466">
        <v>10000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18061</v>
      </c>
      <c r="E254" s="617"/>
      <c r="F254" s="617"/>
      <c r="G254" s="617"/>
      <c r="H254" s="617"/>
      <c r="I254" s="617"/>
      <c r="J254" s="617"/>
      <c r="K254" s="1694">
        <f t="shared" si="21"/>
        <v>18061</v>
      </c>
      <c r="L254" s="466">
        <v>16300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26917</v>
      </c>
      <c r="E257" s="617"/>
      <c r="F257" s="617"/>
      <c r="G257" s="617"/>
      <c r="H257" s="617"/>
      <c r="I257" s="617"/>
      <c r="J257" s="617"/>
      <c r="K257" s="1692">
        <f>SUM(K245:K256)</f>
        <v>26917</v>
      </c>
      <c r="L257" s="1692">
        <f>SUM(L245:L256)</f>
        <v>26300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19755</v>
      </c>
      <c r="E259" s="617"/>
      <c r="F259" s="617"/>
      <c r="G259" s="617"/>
      <c r="H259" s="617"/>
      <c r="I259" s="617"/>
      <c r="J259" s="617"/>
      <c r="K259" s="1694">
        <f>D259</f>
        <v>19755</v>
      </c>
      <c r="L259" s="481">
        <v>22000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19755</v>
      </c>
      <c r="E261" s="617"/>
      <c r="F261" s="617"/>
      <c r="G261" s="617"/>
      <c r="H261" s="617"/>
      <c r="I261" s="617"/>
      <c r="J261" s="617"/>
      <c r="K261" s="1692">
        <f>SUM(K259:K260)</f>
        <v>19755</v>
      </c>
      <c r="L261" s="1692">
        <f>SUM(L259:L260)</f>
        <v>22000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8986</v>
      </c>
      <c r="E264" s="617"/>
      <c r="F264" s="617"/>
      <c r="G264" s="617"/>
      <c r="H264" s="617"/>
      <c r="I264" s="617"/>
      <c r="J264" s="617"/>
      <c r="K264" s="1694">
        <f t="shared" ref="K264:K269" si="22">D264</f>
        <v>8986</v>
      </c>
      <c r="L264" s="466">
        <v>10000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26913</v>
      </c>
      <c r="E266" s="617"/>
      <c r="F266" s="617"/>
      <c r="G266" s="617"/>
      <c r="H266" s="617"/>
      <c r="I266" s="617"/>
      <c r="J266" s="617"/>
      <c r="K266" s="1694">
        <f t="shared" si="22"/>
        <v>26913</v>
      </c>
      <c r="L266" s="466">
        <v>30000</v>
      </c>
    </row>
    <row r="267" spans="1:14" x14ac:dyDescent="0.2">
      <c r="A267" s="1526" t="s">
        <v>1010</v>
      </c>
      <c r="B267" s="615">
        <v>2550</v>
      </c>
      <c r="C267" s="617"/>
      <c r="D267" s="466">
        <v>44885</v>
      </c>
      <c r="E267" s="617"/>
      <c r="F267" s="617"/>
      <c r="G267" s="617"/>
      <c r="H267" s="617"/>
      <c r="I267" s="617"/>
      <c r="J267" s="617"/>
      <c r="K267" s="1694">
        <f t="shared" si="22"/>
        <v>44885</v>
      </c>
      <c r="L267" s="466">
        <v>52000</v>
      </c>
    </row>
    <row r="268" spans="1:14" x14ac:dyDescent="0.2">
      <c r="A268" s="1526" t="s">
        <v>102</v>
      </c>
      <c r="B268" s="615">
        <v>2560</v>
      </c>
      <c r="C268" s="617"/>
      <c r="D268" s="466">
        <v>13916</v>
      </c>
      <c r="E268" s="617"/>
      <c r="F268" s="617"/>
      <c r="G268" s="617"/>
      <c r="H268" s="617"/>
      <c r="I268" s="617"/>
      <c r="J268" s="617"/>
      <c r="K268" s="1694">
        <f t="shared" si="22"/>
        <v>13916</v>
      </c>
      <c r="L268" s="466">
        <v>11000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94700</v>
      </c>
      <c r="E270" s="617"/>
      <c r="F270" s="617"/>
      <c r="G270" s="617"/>
      <c r="H270" s="617"/>
      <c r="I270" s="617"/>
      <c r="J270" s="617"/>
      <c r="K270" s="1692">
        <f>SUM(K263:K269)</f>
        <v>94700</v>
      </c>
      <c r="L270" s="1692">
        <f>SUM(L263:L269)</f>
        <v>103000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143556</v>
      </c>
      <c r="E279" s="617"/>
      <c r="F279" s="617"/>
      <c r="G279" s="617"/>
      <c r="H279" s="617"/>
      <c r="I279" s="617"/>
      <c r="J279" s="617"/>
      <c r="K279" s="1699">
        <f>SUM(K238,K243,K257,K261,K270,K277,K278)</f>
        <v>143556</v>
      </c>
      <c r="L279" s="1699">
        <f>SUM(L238,L243,L257,L261,L270,L277,L278)</f>
        <v>153200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202338</v>
      </c>
      <c r="E295" s="617"/>
      <c r="F295" s="617"/>
      <c r="G295" s="617"/>
      <c r="H295" s="1692">
        <f>H293</f>
        <v>0</v>
      </c>
      <c r="I295" s="617"/>
      <c r="J295" s="617"/>
      <c r="K295" s="1692">
        <f>SUM(K229,K279,K280,K285,K293,K294)</f>
        <v>202338</v>
      </c>
      <c r="L295" s="1692">
        <f>SUM(L229,L279,L280,L285,L293,L294)</f>
        <v>207000</v>
      </c>
    </row>
    <row r="296" spans="1:14" ht="13.5" thickTop="1" x14ac:dyDescent="0.2">
      <c r="A296" s="2175" t="s">
        <v>1053</v>
      </c>
      <c r="B296" s="2176"/>
      <c r="C296" s="617"/>
      <c r="D296" s="619"/>
      <c r="E296" s="617"/>
      <c r="F296" s="617"/>
      <c r="G296" s="617"/>
      <c r="H296" s="688"/>
      <c r="I296" s="617"/>
      <c r="J296" s="617"/>
      <c r="K296" s="1706">
        <f>'Revenues 9-14'!G275-'Expenditures 15-22'!K295</f>
        <v>45245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17231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47172</v>
      </c>
      <c r="F320" s="467"/>
      <c r="G320" s="467"/>
      <c r="H320" s="467"/>
      <c r="I320" s="467"/>
      <c r="J320" s="467"/>
      <c r="K320" s="1693">
        <f t="shared" ref="K320:K327" si="24">SUM(C320:J320)</f>
        <v>47172</v>
      </c>
      <c r="L320" s="467">
        <v>68072</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36759</v>
      </c>
      <c r="F322" s="467"/>
      <c r="G322" s="467"/>
      <c r="H322" s="467"/>
      <c r="I322" s="467"/>
      <c r="J322" s="467"/>
      <c r="K322" s="1693">
        <f t="shared" si="24"/>
        <v>36759</v>
      </c>
      <c r="L322" s="467">
        <v>26549</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178287</v>
      </c>
      <c r="D325" s="467">
        <v>38445</v>
      </c>
      <c r="E325" s="467"/>
      <c r="F325" s="467"/>
      <c r="G325" s="467">
        <v>5926</v>
      </c>
      <c r="H325" s="467"/>
      <c r="I325" s="467">
        <v>2859</v>
      </c>
      <c r="J325" s="467"/>
      <c r="K325" s="1693">
        <f t="shared" si="24"/>
        <v>225517</v>
      </c>
      <c r="L325" s="467">
        <v>237421</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18532</v>
      </c>
      <c r="F327" s="467"/>
      <c r="G327" s="467"/>
      <c r="H327" s="467"/>
      <c r="I327" s="467"/>
      <c r="J327" s="467"/>
      <c r="K327" s="1693">
        <f t="shared" si="24"/>
        <v>18532</v>
      </c>
      <c r="L327" s="467">
        <v>14000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v>15843</v>
      </c>
      <c r="F329" s="474"/>
      <c r="G329" s="474"/>
      <c r="H329" s="474"/>
      <c r="I329" s="474"/>
      <c r="J329" s="474"/>
      <c r="K329" s="1721">
        <f>SUM(C329:J329)</f>
        <v>15843</v>
      </c>
      <c r="L329" s="474"/>
      <c r="M329" s="666"/>
      <c r="N329" s="666"/>
    </row>
    <row r="330" spans="1:14" s="675" customFormat="1" ht="12.75" customHeight="1" thickBot="1" x14ac:dyDescent="0.25">
      <c r="A330" s="1722" t="s">
        <v>741</v>
      </c>
      <c r="B330" s="1691" t="s">
        <v>590</v>
      </c>
      <c r="C330" s="1692">
        <f>SUM(C319:C329)</f>
        <v>178287</v>
      </c>
      <c r="D330" s="1692">
        <f t="shared" ref="D330:J330" si="25">SUM(D319:D329)</f>
        <v>38445</v>
      </c>
      <c r="E330" s="1692">
        <f t="shared" si="25"/>
        <v>118306</v>
      </c>
      <c r="F330" s="1692">
        <f t="shared" si="25"/>
        <v>0</v>
      </c>
      <c r="G330" s="1692">
        <f t="shared" si="25"/>
        <v>5926</v>
      </c>
      <c r="H330" s="1692">
        <f t="shared" si="25"/>
        <v>0</v>
      </c>
      <c r="I330" s="1692">
        <f t="shared" si="25"/>
        <v>2859</v>
      </c>
      <c r="J330" s="1692">
        <f t="shared" si="25"/>
        <v>0</v>
      </c>
      <c r="K330" s="1692">
        <f>SUM(K319:K329)</f>
        <v>343823</v>
      </c>
      <c r="L330" s="1692">
        <f>SUM(L319:L329)</f>
        <v>346042</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178287</v>
      </c>
      <c r="D342" s="1692">
        <f>SUM(D330)</f>
        <v>38445</v>
      </c>
      <c r="E342" s="1692">
        <f>SUM(E330)</f>
        <v>118306</v>
      </c>
      <c r="F342" s="1692">
        <f>SUM(F330)</f>
        <v>0</v>
      </c>
      <c r="G342" s="1692">
        <f>SUM(G330)</f>
        <v>5926</v>
      </c>
      <c r="H342" s="1692">
        <f>SUM(H330,H334,H340)</f>
        <v>0</v>
      </c>
      <c r="I342" s="1692">
        <f>SUM(I330)</f>
        <v>2859</v>
      </c>
      <c r="J342" s="1692">
        <f>SUM(J330)</f>
        <v>0</v>
      </c>
      <c r="K342" s="1692">
        <f>SUM(K330,K334,K340)</f>
        <v>343823</v>
      </c>
      <c r="L342" s="1699">
        <f>SUM(L330,L340,L341)</f>
        <v>346042</v>
      </c>
    </row>
    <row r="343" spans="1:14" ht="12.75" customHeight="1" thickTop="1" x14ac:dyDescent="0.2">
      <c r="A343" s="2188" t="s">
        <v>1053</v>
      </c>
      <c r="B343" s="2189"/>
      <c r="C343" s="617"/>
      <c r="D343" s="617"/>
      <c r="E343" s="617"/>
      <c r="F343" s="617"/>
      <c r="G343" s="617"/>
      <c r="H343" s="617"/>
      <c r="I343" s="617"/>
      <c r="J343" s="617"/>
      <c r="K343" s="1706">
        <f>'Revenues 9-14'!J275-'Expenditures 15-22'!K342</f>
        <v>63347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v>103445</v>
      </c>
      <c r="H349" s="466"/>
      <c r="I349" s="467"/>
      <c r="J349" s="467"/>
      <c r="K349" s="1693">
        <f>SUM(C349:J349)</f>
        <v>103445</v>
      </c>
      <c r="L349" s="466">
        <v>800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103445</v>
      </c>
      <c r="H350" s="1692">
        <f t="shared" si="26"/>
        <v>0</v>
      </c>
      <c r="I350" s="1692">
        <f t="shared" si="26"/>
        <v>0</v>
      </c>
      <c r="J350" s="1692">
        <f t="shared" si="26"/>
        <v>0</v>
      </c>
      <c r="K350" s="1692">
        <f t="shared" si="26"/>
        <v>103445</v>
      </c>
      <c r="L350" s="1692">
        <f t="shared" si="26"/>
        <v>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103445</v>
      </c>
      <c r="H352" s="1692">
        <f t="shared" si="27"/>
        <v>0</v>
      </c>
      <c r="I352" s="1692">
        <f t="shared" si="27"/>
        <v>0</v>
      </c>
      <c r="J352" s="1692">
        <f t="shared" si="27"/>
        <v>0</v>
      </c>
      <c r="K352" s="1692">
        <f t="shared" si="27"/>
        <v>103445</v>
      </c>
      <c r="L352" s="1692">
        <f t="shared" si="27"/>
        <v>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103445</v>
      </c>
      <c r="H367" s="1692">
        <f t="shared" si="28"/>
        <v>0</v>
      </c>
      <c r="I367" s="1692">
        <f t="shared" si="28"/>
        <v>0</v>
      </c>
      <c r="J367" s="1692">
        <f t="shared" si="28"/>
        <v>0</v>
      </c>
      <c r="K367" s="1692">
        <f t="shared" si="28"/>
        <v>103445</v>
      </c>
      <c r="L367" s="1692">
        <f t="shared" si="28"/>
        <v>800</v>
      </c>
    </row>
    <row r="368" spans="1:14" ht="13.5" thickTop="1" x14ac:dyDescent="0.2">
      <c r="A368" s="2175" t="s">
        <v>1053</v>
      </c>
      <c r="B368" s="2176"/>
      <c r="C368" s="655"/>
      <c r="D368" s="655"/>
      <c r="E368" s="627"/>
      <c r="F368" s="627"/>
      <c r="G368" s="627"/>
      <c r="H368" s="627"/>
      <c r="I368" s="627"/>
      <c r="J368" s="624"/>
      <c r="K368" s="1693">
        <f>'Revenues 9-14'!K275-'Expenditures 15-22'!K367</f>
        <v>-70204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schemas.openxmlformats.org/package/2006/metadata/core-properties"/>
    <ds:schemaRef ds:uri="http://purl.org/dc/terms/"/>
    <ds:schemaRef ds:uri="http://schemas.microsoft.com/office/infopath/2007/PartnerControls"/>
    <ds:schemaRef ds:uri="http://purl.org/dc/elements/1.1/"/>
    <ds:schemaRef ds:uri="4d435f69-8686-490b-bd6d-b153bf22ab50"/>
    <ds:schemaRef ds:uri="http://schemas.microsoft.com/sharepoint/v3"/>
    <ds:schemaRef ds:uri="http://schemas.microsoft.com/office/2006/documentManagement/types"/>
    <ds:schemaRef ds:uri="d21dc803-237d-4c68-8692-8d731fd29118"/>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2018-09-11T12:54:37Z</cp:lastPrinted>
  <dcterms:created xsi:type="dcterms:W3CDTF">2003-10-29T19:06:34Z</dcterms:created>
  <dcterms:modified xsi:type="dcterms:W3CDTF">2018-09-27T18:52:56Z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