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2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14">'Contracts Paid in CY 29'!$A$1:$G$37</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J85" i="28"/>
  <c r="B7758" i="106" s="1"/>
  <c r="D7758" i="106" s="1"/>
  <c r="J88" i="28"/>
  <c r="K6" i="29"/>
  <c r="B7763" i="106" s="1"/>
  <c r="B7762" i="106"/>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E26" i="108"/>
  <c r="F26" i="108"/>
  <c r="G26" i="108"/>
  <c r="E27" i="108"/>
  <c r="G27" i="108"/>
  <c r="F31" i="108"/>
  <c r="G28" i="108"/>
  <c r="D31" i="108"/>
  <c r="E31" i="108"/>
  <c r="G31"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F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33" i="118"/>
  <c r="J22" i="37"/>
  <c r="D24" i="37"/>
  <c r="B4270" i="106" s="1"/>
  <c r="D4270" i="106" s="1"/>
  <c r="D15" i="7" l="1"/>
  <c r="B1772" i="106" s="1"/>
  <c r="D1772" i="106" s="1"/>
  <c r="L22" i="37"/>
  <c r="D11" i="37"/>
  <c r="H29" i="118"/>
  <c r="D31" i="36"/>
  <c r="I24" i="12"/>
  <c r="B1996" i="106" s="1"/>
  <c r="D1996" i="106" s="1"/>
  <c r="K24" i="12"/>
  <c r="B7733" i="106" s="1"/>
  <c r="D7733" i="106" s="1"/>
  <c r="F49" i="34"/>
  <c r="G33" i="108"/>
  <c r="D37" i="108"/>
  <c r="F37" i="108"/>
  <c r="C14" i="4"/>
  <c r="B2558" i="106" s="1"/>
  <c r="D2558" i="106" s="1"/>
  <c r="F45" i="34"/>
  <c r="G29" i="108"/>
  <c r="E28" i="108"/>
  <c r="L5" i="11"/>
  <c r="B2056" i="106" s="1"/>
  <c r="D2056" i="106" s="1"/>
  <c r="B2733" i="106"/>
  <c r="D2733" i="106" s="1"/>
  <c r="F62" i="34"/>
  <c r="G30" i="108"/>
  <c r="E30" i="108"/>
  <c r="D9" i="7"/>
  <c r="B1767" i="106" s="1"/>
  <c r="D1767" i="106" s="1"/>
  <c r="G5" i="4"/>
  <c r="B3409" i="106" s="1"/>
  <c r="D3409" i="106" s="1"/>
  <c r="B1995" i="106"/>
  <c r="D1995" i="106" s="1"/>
  <c r="F19" i="7"/>
  <c r="B1807" i="106" s="1"/>
  <c r="D1807" i="106" s="1"/>
  <c r="G14" i="4"/>
  <c r="B2609" i="106" s="1"/>
  <c r="D2609" i="106" s="1"/>
  <c r="F35" i="34"/>
  <c r="F72" i="34"/>
  <c r="F37" i="34"/>
  <c r="F71" i="34"/>
  <c r="E29" i="108"/>
  <c r="H112" i="29"/>
  <c r="B7018" i="106" s="1"/>
  <c r="D7018" i="106" s="1"/>
  <c r="F42" i="34"/>
  <c r="F50" i="34"/>
  <c r="J210" i="29"/>
  <c r="B7072" i="106" s="1"/>
  <c r="D7072" i="106" s="1"/>
  <c r="F69" i="34"/>
  <c r="F34" i="34"/>
  <c r="F64" i="34"/>
  <c r="G38" i="108"/>
  <c r="E38" i="108"/>
  <c r="B3619" i="106"/>
  <c r="D3619" i="106" s="1"/>
  <c r="B2724" i="106"/>
  <c r="D2724" i="106" s="1"/>
  <c r="D7" i="7"/>
  <c r="B1763" i="106" s="1"/>
  <c r="D1763" i="106" s="1"/>
  <c r="D5" i="4"/>
  <c r="B3406" i="106" s="1"/>
  <c r="D3406" i="106" s="1"/>
  <c r="G15" i="145"/>
  <c r="F172" i="5"/>
  <c r="B5644" i="106" s="1"/>
  <c r="D5644" i="106" s="1"/>
  <c r="C342" i="29"/>
  <c r="B7216" i="106" s="1"/>
  <c r="D7216" i="106" s="1"/>
  <c r="H342" i="29"/>
  <c r="B1223" i="106"/>
  <c r="D1223" i="106" s="1"/>
  <c r="B1746" i="106"/>
  <c r="D1746" i="106" s="1"/>
  <c r="F28" i="108"/>
  <c r="I210" i="29"/>
  <c r="G352" i="29"/>
  <c r="I342" i="29"/>
  <c r="B7222" i="106" s="1"/>
  <c r="D7222" i="106" s="1"/>
  <c r="K285" i="29"/>
  <c r="B3724" i="106" s="1"/>
  <c r="D3724" i="106" s="1"/>
  <c r="D5" i="7"/>
  <c r="B1761" i="106" s="1"/>
  <c r="D1761" i="106" s="1"/>
  <c r="D109" i="5"/>
  <c r="B5356" i="106" s="1"/>
  <c r="D5356" i="106" s="1"/>
  <c r="I274" i="5"/>
  <c r="B4435" i="106" s="1"/>
  <c r="D4435" i="106" s="1"/>
  <c r="F77" i="4"/>
  <c r="B3255" i="106" s="1"/>
  <c r="D3255" i="106" s="1"/>
  <c r="D27" i="108"/>
  <c r="F56" i="34"/>
  <c r="L367" i="29"/>
  <c r="D36" i="108"/>
  <c r="F36" i="108"/>
  <c r="B2805" i="106"/>
  <c r="D2805" i="106" s="1"/>
  <c r="L312" i="29"/>
  <c r="K184" i="29"/>
  <c r="F13" i="4" s="1"/>
  <c r="B2596" i="106" s="1"/>
  <c r="D2596" i="106" s="1"/>
  <c r="K350" i="29"/>
  <c r="K352" i="29" s="1"/>
  <c r="J274" i="5"/>
  <c r="B7054" i="106" s="1"/>
  <c r="D7054" i="106" s="1"/>
  <c r="F131" i="34"/>
  <c r="F106" i="34"/>
  <c r="D4" i="7"/>
  <c r="B1760" i="106" s="1"/>
  <c r="D1760" i="106" s="1"/>
  <c r="H109" i="5"/>
  <c r="B6025" i="106" s="1"/>
  <c r="D6025" i="106" s="1"/>
  <c r="F128" i="34"/>
  <c r="G109" i="5"/>
  <c r="B6024" i="106" s="1"/>
  <c r="D6024" i="106" s="1"/>
  <c r="H28" i="118"/>
  <c r="K28" i="118" s="1"/>
  <c r="O27" i="118" s="1"/>
  <c r="O29" i="118" s="1"/>
  <c r="D69" i="36"/>
  <c r="D68" i="36"/>
  <c r="H173" i="5"/>
  <c r="B5906" i="106" s="1"/>
  <c r="D5906" i="106" s="1"/>
  <c r="K173" i="5"/>
  <c r="K6" i="4" s="1"/>
  <c r="B3570" i="106" s="1"/>
  <c r="D3570" i="106" s="1"/>
  <c r="I173" i="5"/>
  <c r="B4216" i="106" s="1"/>
  <c r="D4216" i="106" s="1"/>
  <c r="D13" i="7"/>
  <c r="B3726" i="106" s="1"/>
  <c r="D3726" i="106" s="1"/>
  <c r="J41" i="3"/>
  <c r="B6216" i="106" s="1"/>
  <c r="D6216" i="106" s="1"/>
  <c r="D54" i="36"/>
  <c r="F111" i="34"/>
  <c r="B7041" i="106"/>
  <c r="D7041" i="106" s="1"/>
  <c r="B4414" i="106"/>
  <c r="D4414" i="106" s="1"/>
  <c r="E109" i="5"/>
  <c r="E4" i="4" s="1"/>
  <c r="B2630" i="106" s="1"/>
  <c r="D2630" i="106" s="1"/>
  <c r="B7034" i="106"/>
  <c r="D7034" i="106" s="1"/>
  <c r="J129" i="29"/>
  <c r="B7038" i="106" s="1"/>
  <c r="D7038" i="106" s="1"/>
  <c r="B6238" i="106"/>
  <c r="D6238" i="106" s="1"/>
  <c r="J77" i="4"/>
  <c r="B6262" i="106" s="1"/>
  <c r="D6262" i="106" s="1"/>
  <c r="H44" i="4"/>
  <c r="B3296" i="106" s="1"/>
  <c r="D3296" i="106" s="1"/>
  <c r="B6289" i="106"/>
  <c r="D6289" i="106" s="1"/>
  <c r="B1329" i="106"/>
  <c r="D1329" i="106" s="1"/>
  <c r="F61" i="34"/>
  <c r="C172" i="5"/>
  <c r="F127" i="34"/>
  <c r="C109" i="5"/>
  <c r="B5121" i="106" s="1"/>
  <c r="D5121" i="106" s="1"/>
  <c r="F36" i="34"/>
  <c r="G39" i="108"/>
  <c r="B7231" i="106"/>
  <c r="D7231" i="106" s="1"/>
  <c r="B3621" i="106"/>
  <c r="D3621" i="106" s="1"/>
  <c r="C367" i="29"/>
  <c r="K274" i="5"/>
  <c r="B6022" i="106" s="1"/>
  <c r="D6022" i="106" s="1"/>
  <c r="F130" i="34"/>
  <c r="B5161" i="106"/>
  <c r="D5161" i="106" s="1"/>
  <c r="L342" i="29"/>
  <c r="B3723" i="106"/>
  <c r="D3723" i="106" s="1"/>
  <c r="F21" i="8"/>
  <c r="B3689" i="106"/>
  <c r="D3689" i="106" s="1"/>
  <c r="K92" i="29"/>
  <c r="B2089" i="106" s="1"/>
  <c r="D2089" i="106" s="1"/>
  <c r="B6995" i="106"/>
  <c r="D6995" i="106" s="1"/>
  <c r="J367" i="29"/>
  <c r="B7245" i="106" s="1"/>
  <c r="D7245" i="106" s="1"/>
  <c r="B7235" i="106"/>
  <c r="D7235" i="106" s="1"/>
  <c r="B3649" i="106"/>
  <c r="D3649" i="106" s="1"/>
  <c r="G367" i="29"/>
  <c r="B3650" i="106" s="1"/>
  <c r="D3650" i="106" s="1"/>
  <c r="B3565" i="106"/>
  <c r="D3565" i="106" s="1"/>
  <c r="K41" i="3"/>
  <c r="D11" i="7"/>
  <c r="B1768" i="106" s="1"/>
  <c r="D1768" i="106" s="1"/>
  <c r="I26" i="12"/>
  <c r="B7741" i="106" s="1"/>
  <c r="D7741" i="106" s="1"/>
  <c r="I129" i="29"/>
  <c r="B7037" i="106" s="1"/>
  <c r="D7037" i="106" s="1"/>
  <c r="B3170" i="106"/>
  <c r="D3170" i="106" s="1"/>
  <c r="H76" i="4"/>
  <c r="B3298" i="106" s="1"/>
  <c r="D3298" i="106" s="1"/>
  <c r="F44" i="34"/>
  <c r="D12" i="7"/>
  <c r="B1769" i="106" s="1"/>
  <c r="D1769" i="106" s="1"/>
  <c r="F136" i="34"/>
  <c r="F14" i="4"/>
  <c r="B2597" i="106" s="1"/>
  <c r="D2597" i="106" s="1"/>
  <c r="G172" i="5"/>
  <c r="D17" i="7"/>
  <c r="B4104" i="106" s="1"/>
  <c r="D4104" i="106" s="1"/>
  <c r="B5096" i="106"/>
  <c r="D5096" i="106" s="1"/>
  <c r="L15" i="11"/>
  <c r="B3459" i="106" s="1"/>
  <c r="D3459" i="106" s="1"/>
  <c r="L13" i="11"/>
  <c r="B2060" i="106" s="1"/>
  <c r="D2060" i="106" s="1"/>
  <c r="D6103" i="106"/>
  <c r="H365" i="29"/>
  <c r="K76" i="4"/>
  <c r="B3586" i="106" s="1"/>
  <c r="D3586" i="106" s="1"/>
  <c r="G210" i="29"/>
  <c r="E174" i="29"/>
  <c r="B1309" i="106" s="1"/>
  <c r="D1309"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622" i="106"/>
  <c r="D3622"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6" i="12" l="1"/>
  <c r="B7743" i="106" s="1"/>
  <c r="D7743" i="106" s="1"/>
  <c r="D7255" i="106"/>
  <c r="D7250" i="106"/>
  <c r="D7256" i="106"/>
  <c r="D7251" i="106"/>
  <c r="D7253" i="106"/>
  <c r="D7252" i="106"/>
  <c r="D7254" i="106"/>
  <c r="L114" i="29"/>
  <c r="J7" i="4"/>
  <c r="B3628" i="106"/>
  <c r="D3628" i="106" s="1"/>
  <c r="J16" i="4"/>
  <c r="B6226" i="106" s="1"/>
  <c r="D6226" i="106" s="1"/>
  <c r="D41" i="108"/>
  <c r="E43" i="108" s="1"/>
  <c r="F41" i="108"/>
  <c r="G43" i="108" s="1"/>
  <c r="B6014" i="106"/>
  <c r="D6014" i="106" s="1"/>
  <c r="K365" i="29"/>
  <c r="K367" i="29" s="1"/>
  <c r="B3670" i="106"/>
  <c r="D3670" i="106" s="1"/>
  <c r="F173" i="5"/>
  <c r="F6" i="4" s="1"/>
  <c r="B2593" i="106" s="1"/>
  <c r="D2593" i="106" s="1"/>
  <c r="B7071" i="106"/>
  <c r="D7071" i="106" s="1"/>
  <c r="F66" i="34"/>
  <c r="F73" i="34"/>
  <c r="G15" i="4"/>
  <c r="B6032" i="106" s="1"/>
  <c r="D6032" i="106" s="1"/>
  <c r="B5527" i="106"/>
  <c r="D5527" i="106" s="1"/>
  <c r="K7" i="4"/>
  <c r="B3718" i="106" s="1"/>
  <c r="D3718" i="106" s="1"/>
  <c r="I7" i="4"/>
  <c r="B4444" i="106" s="1"/>
  <c r="D4444" i="106" s="1"/>
  <c r="D51" i="36"/>
  <c r="J151" i="29"/>
  <c r="B7052" i="106" s="1"/>
  <c r="D7052" i="106" s="1"/>
  <c r="D4" i="4"/>
  <c r="B2564" i="106" s="1"/>
  <c r="D2564" i="106" s="1"/>
  <c r="G4" i="4"/>
  <c r="B2603" i="106" s="1"/>
  <c r="D2603" i="106" s="1"/>
  <c r="C114" i="29"/>
  <c r="B757" i="106" s="1"/>
  <c r="D757" i="106" s="1"/>
  <c r="K13" i="4"/>
  <c r="B3572" i="106" s="1"/>
  <c r="D3572" i="106" s="1"/>
  <c r="B3672" i="106"/>
  <c r="D3672" i="106" s="1"/>
  <c r="B1381" i="106"/>
  <c r="D1381" i="106" s="1"/>
  <c r="H151" i="29"/>
  <c r="B1273" i="106" s="1"/>
  <c r="D1273" i="106" s="1"/>
  <c r="D19" i="7"/>
  <c r="B1775" i="106" s="1"/>
  <c r="D1775" i="106" s="1"/>
  <c r="B5914" i="106"/>
  <c r="D5914" i="106" s="1"/>
  <c r="L16" i="11"/>
  <c r="B2061" i="106" s="1"/>
  <c r="D2061" i="106" s="1"/>
  <c r="F274" i="5"/>
  <c r="F7" i="4" s="1"/>
  <c r="B2594" i="106" s="1"/>
  <c r="D2594" i="106" s="1"/>
  <c r="I6" i="4"/>
  <c r="B5011" i="106" s="1"/>
  <c r="D5011" i="106" s="1"/>
  <c r="H275" i="5"/>
  <c r="B5915" i="106" s="1"/>
  <c r="D5915" i="106" s="1"/>
  <c r="C4" i="4"/>
  <c r="B2551" i="106" s="1"/>
  <c r="D2551" i="106" s="1"/>
  <c r="H6" i="4"/>
  <c r="B2656" i="106" s="1"/>
  <c r="D2656" i="106" s="1"/>
  <c r="H4" i="4"/>
  <c r="H77" i="4"/>
  <c r="B3299" i="106" s="1"/>
  <c r="D3299" i="106" s="1"/>
  <c r="K77" i="4"/>
  <c r="B3587" i="106" s="1"/>
  <c r="D3587" i="106" s="1"/>
  <c r="D44" i="36"/>
  <c r="B3568" i="106"/>
  <c r="D3568" i="106" s="1"/>
  <c r="D52" i="36"/>
  <c r="I151" i="29"/>
  <c r="F59" i="34" s="1"/>
  <c r="B1879" i="106"/>
  <c r="D1879" i="106" s="1"/>
  <c r="H22" i="37"/>
  <c r="B5214" i="106"/>
  <c r="D5214" i="106" s="1"/>
  <c r="C173" i="5"/>
  <c r="D274" i="5"/>
  <c r="D7" i="4" s="1"/>
  <c r="K342" i="29"/>
  <c r="F13" i="34" s="1"/>
  <c r="B1365" i="106"/>
  <c r="D1365" i="106" s="1"/>
  <c r="F65" i="34"/>
  <c r="G173" i="5"/>
  <c r="B5770" i="106"/>
  <c r="D5770" i="106" s="1"/>
  <c r="H367" i="29"/>
  <c r="B3660" i="106" s="1"/>
  <c r="D3660" i="106" s="1"/>
  <c r="B7242" i="106"/>
  <c r="D7242"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F24" i="37" l="1"/>
  <c r="B7243" i="106"/>
  <c r="D7243" i="106" s="1"/>
  <c r="K16" i="4"/>
  <c r="B3574" i="106" s="1"/>
  <c r="D3574" i="106" s="1"/>
  <c r="B7051" i="106"/>
  <c r="D7051" i="106" s="1"/>
  <c r="B7224" i="106"/>
  <c r="D7224" i="106" s="1"/>
  <c r="B5507" i="106"/>
  <c r="D5507" i="106" s="1"/>
  <c r="B5719" i="106"/>
  <c r="D5719" i="106" s="1"/>
  <c r="B5653" i="106"/>
  <c r="D5653" i="106" s="1"/>
  <c r="E41" i="108"/>
  <c r="E44" i="108" s="1"/>
  <c r="E45" i="108" s="1"/>
  <c r="J8" i="4"/>
  <c r="B6223" i="106" s="1"/>
  <c r="D6223" i="106" s="1"/>
  <c r="F275" i="5"/>
  <c r="B5720" i="106" s="1"/>
  <c r="D5720" i="106" s="1"/>
  <c r="B2655" i="106"/>
  <c r="D2655" i="106" s="1"/>
  <c r="H8" i="4"/>
  <c r="G41" i="108"/>
  <c r="G44" i="108" s="1"/>
  <c r="G45" i="108" s="1"/>
  <c r="B5223" i="106"/>
  <c r="D5223" i="106" s="1"/>
  <c r="C6" i="4"/>
  <c r="B2553" i="106" s="1"/>
  <c r="D2553" i="106" s="1"/>
  <c r="B5778" i="106"/>
  <c r="D5778" i="106" s="1"/>
  <c r="G6" i="4"/>
  <c r="B2604" i="106" s="1"/>
  <c r="D2604" i="106" s="1"/>
  <c r="F8" i="4"/>
  <c r="B2595" i="106" s="1"/>
  <c r="D2595" i="106" s="1"/>
  <c r="J17" i="4"/>
  <c r="B6227" i="106" s="1"/>
  <c r="D6227" i="106" s="1"/>
  <c r="B1145" i="106"/>
  <c r="D114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0" i="4" l="1"/>
  <c r="B6225" i="106" s="1"/>
  <c r="D6225" i="106" s="1"/>
  <c r="F76" i="34"/>
  <c r="J19" i="4"/>
  <c r="B6229" i="106" s="1"/>
  <c r="D6229" i="106" s="1"/>
  <c r="F10" i="4"/>
  <c r="B4125" i="106" s="1"/>
  <c r="D4125" i="106" s="1"/>
  <c r="J20" i="4"/>
  <c r="B6230" i="106" s="1"/>
  <c r="D6230" i="106" s="1"/>
  <c r="D8" i="4"/>
  <c r="C8" i="146" s="1"/>
  <c r="B2658" i="106"/>
  <c r="D2658" i="106" s="1"/>
  <c r="H10" i="4"/>
  <c r="B4127" i="106" s="1"/>
  <c r="D4127"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68" i="106" l="1"/>
  <c r="D2568" i="106" s="1"/>
  <c r="H13" i="118"/>
  <c r="J78" i="4"/>
  <c r="J81" i="4" s="1"/>
  <c r="D10" i="4"/>
  <c r="B4123" i="106" s="1"/>
  <c r="D4123" i="106" s="1"/>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9" i="34" l="1"/>
  <c r="F79" i="34"/>
  <c r="D78" i="4"/>
  <c r="B3239" i="106" s="1"/>
  <c r="D3239" i="106" s="1"/>
  <c r="B6263" i="106"/>
  <c r="D6263"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B1644" i="106"/>
  <c r="D1644" i="106" s="1"/>
  <c r="C11" i="146"/>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<sst xmlns="http://schemas.openxmlformats.org/spreadsheetml/2006/main" count="5048" uniqueCount="2111">
  <si>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</si>
  <si>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</si>
  <si>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</si>
  <si>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</si>
  <si>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</si>
  <si>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</si>
  <si>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</si>
  <si>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</si>
  <si>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</si>
  <si>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</si>
  <si>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</si>
  <si>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</si>
  <si>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</si>
  <si>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</si>
  <si>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</si>
  <si>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</si>
  <si>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</si>
  <si>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</si>
  <si>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</si>
  <si>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</si>
  <si>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</si>
  <si>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</si>
  <si>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</si>
  <si>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</si>
  <si>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</si>
  <si>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</si>
  <si>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</si>
  <si>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</si>
  <si>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</si>
  <si>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</si>
  <si>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</si>
  <si>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</si>
  <si>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</si>
  <si>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</si>
  <si>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</si>
  <si>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</si>
  <si>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</si>
  <si>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</si>
  <si>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</si>
  <si>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</si>
  <si>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</si>
  <si>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</si>
  <si>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</si>
  <si>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</si>
  <si>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</si>
  <si>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</si>
  <si>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</si>
  <si>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</si>
  <si>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</si>
  <si>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</si>
  <si>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</si>
  <si>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</si>
  <si>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</si>
  <si>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</si>
  <si>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</si>
  <si>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</si>
  <si>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</si>
  <si>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</si>
  <si>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</si>
  <si>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</si>
  <si>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</si>
  <si>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</si>
  <si>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</si>
  <si>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</si>
  <si>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</si>
  <si>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</si>
  <si>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</si>
  <si>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</si>
  <si>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</si>
  <si>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</si>
  <si>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</si>
  <si>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</si>
  <si>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</si>
  <si>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</si>
  <si>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</si>
  <si>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</si>
  <si>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</si>
  <si>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</si>
  <si>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</si>
  <si>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</si>
  <si>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</si>
  <si>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</si>
  <si>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</si>
  <si>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</si>
  <si>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</si>
  <si>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</si>
  <si>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</si>
  <si>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</si>
  <si>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</si>
  <si>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</si>
  <si>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</si>
  <si>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</si>
  <si>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</si>
  <si>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</si>
  <si>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</si>
  <si>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</si>
  <si>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</si>
  <si>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</si>
  <si>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</si>
  <si>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</si>
  <si>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</si>
  <si>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</si>
  <si>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</si>
  <si>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</si>
  <si>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</si>
  <si>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</si>
  <si>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</si>
  <si>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</si>
  <si>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</si>
  <si>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</si>
  <si>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</si>
  <si>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</si>
  <si>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</si>
  <si>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</si>
  <si>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</si>
  <si>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</si>
  <si>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</si>
  <si>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</si>
  <si>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</si>
  <si>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</si>
  <si>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</si>
  <si>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</si>
  <si>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</si>
  <si>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</si>
  <si>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</si>
  <si>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</si>
  <si>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</si>
  <si>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</si>
  <si>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</si>
  <si>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</si>
  <si>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</si>
  <si>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</si>
  <si>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</si>
  <si>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</si>
  <si>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</si>
  <si>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</si>
  <si>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</si>
  <si>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</si>
  <si>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</si>
  <si>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</si>
  <si>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</si>
  <si>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</si>
  <si>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</si>
  <si>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</si>
  <si>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</si>
  <si>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</si>
  <si>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</si>
  <si>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</si>
  <si>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</si>
  <si>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</si>
  <si>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</si>
  <si>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</si>
  <si>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</si>
  <si>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</si>
  <si>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</si>
  <si>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</si>
  <si>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</si>
  <si>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</si>
  <si>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</si>
  <si>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</si>
  <si>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</si>
  <si>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</si>
  <si>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</si>
  <si>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</si>
  <si>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</si>
  <si>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</si>
  <si>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</si>
  <si>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</si>
  <si>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</si>
  <si>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</si>
  <si>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</si>
  <si>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</si>
  <si>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</si>
  <si>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</si>
  <si>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</si>
  <si>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</si>
  <si>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</si>
  <si>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</si>
  <si>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</si>
  <si>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</si>
  <si>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</si>
  <si>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</si>
  <si>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</si>
  <si>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</si>
  <si>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</si>
  <si>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</si>
  <si>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</si>
  <si>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</si>
  <si>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</si>
  <si>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</si>
  <si>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</si>
  <si>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</si>
  <si>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</si>
  <si>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</si>
  <si>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</si>
  <si>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</si>
  <si>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</si>
  <si>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</si>
  <si>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</si>
  <si>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</si>
  <si>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</si>
  <si>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</si>
  <si>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</si>
  <si>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</si>
  <si>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</si>
  <si>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</si>
  <si>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</si>
  <si>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</si>
  <si>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</si>
  <si>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</si>
  <si>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</si>
  <si>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</si>
  <si>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</si>
  <si>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</si>
  <si>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</si>
  <si>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</si>
  <si>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</si>
  <si>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</si>
  <si>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</si>
  <si>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</si>
  <si>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</si>
  <si>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</si>
  <si>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</si>
  <si>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</si>
  <si>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</si>
  <si>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</si>
  <si>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</si>
  <si>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</si>
  <si>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</si>
  <si>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</si>
  <si>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</si>
  <si>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</si>
  <si>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</si>
  <si>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</si>
  <si>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</si>
  <si>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</si>
  <si>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</si>
  <si>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</si>
  <si>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</si>
  <si>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</si>
  <si>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</si>
  <si>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</si>
  <si>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</si>
  <si>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</si>
  <si>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</si>
  <si>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</si>
  <si>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</si>
  <si>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</si>
  <si>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</si>
  <si>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</si>
  <si>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</si>
  <si>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</si>
  <si>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</si>
  <si>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</si>
  <si>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</si>
  <si>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</si>
  <si>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</si>
  <si>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</si>
  <si>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</si>
  <si>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</si>
  <si>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</si>
  <si>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</si>
  <si>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</si>
  <si>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</si>
  <si>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</si>
  <si>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</si>
  <si>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</si>
  <si>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</si>
  <si>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</si>
  <si>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</si>
  <si>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</si>
  <si>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</si>
  <si>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</si>
  <si>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</si>
  <si>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</si>
  <si>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</si>
  <si>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</si>
  <si>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</si>
  <si>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</si>
  <si>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</si>
  <si>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</si>
  <si>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</si>
  <si>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</si>
  <si>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</si>
  <si>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</si>
  <si>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</si>
  <si>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</si>
  <si>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</si>
  <si>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</si>
  <si>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</si>
  <si>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</si>
  <si>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</si>
  <si>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</si>
  <si>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</si>
  <si>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</si>
  <si>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</si>
  <si>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</si>
  <si>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</si>
  <si>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</si>
  <si>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</si>
  <si>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</si>
  <si>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</si>
  <si>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</si>
  <si>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</si>
  <si>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</si>
  <si>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</si>
  <si>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</si>
  <si>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</si>
  <si>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</si>
  <si>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</si>
  <si>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</si>
  <si>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</si>
  <si>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</si>
  <si>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</si>
  <si>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</si>
  <si>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</si>
  <si>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</si>
  <si>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</si>
  <si>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</si>
  <si>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</si>
  <si>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</si>
  <si>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</si>
  <si>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</si>
  <si>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</si>
  <si>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</si>
  <si>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</si>
  <si>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</si>
  <si>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</si>
  <si>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</si>
  <si>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</si>
  <si>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</si>
  <si>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</si>
  <si>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</si>
  <si>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</si>
  <si>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</si>
  <si>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</si>
  <si>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</si>
  <si>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</si>
  <si>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</si>
  <si>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</si>
  <si>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</si>
  <si>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</si>
  <si>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</si>
  <si>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</si>
  <si>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</si>
  <si>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</si>
  <si>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</si>
  <si>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</si>
  <si>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</si>
  <si>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</si>
  <si>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</si>
  <si>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</si>
  <si>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</si>
  <si>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</si>
  <si>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</si>
  <si>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</si>
  <si>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</si>
  <si>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</si>
  <si>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</si>
  <si>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</si>
  <si>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</si>
  <si>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</si>
  <si>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</si>
  <si>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</si>
  <si>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</si>
  <si>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</si>
  <si>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</si>
  <si>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</si>
  <si>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</si>
  <si>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</si>
  <si>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</si>
  <si>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</si>
  <si>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</si>
  <si>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</si>
  <si>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</si>
  <si>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</si>
  <si>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</si>
  <si>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</si>
  <si>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</si>
  <si>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</si>
  <si>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</si>
  <si>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</si>
  <si>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</si>
  <si>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</si>
  <si>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</si>
  <si>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</si>
  <si>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</si>
  <si>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</si>
  <si>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</si>
  <si>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</si>
  <si>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</si>
  <si>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</si>
  <si>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</si>
  <si>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</si>
  <si>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</si>
  <si>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</si>
  <si>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</si>
  <si>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</si>
  <si>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</si>
  <si>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</si>
  <si>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</si>
  <si>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</si>
  <si>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</si>
  <si>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</si>
  <si>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</si>
  <si>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</si>
  <si>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</si>
  <si>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</si>
  <si>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</si>
  <si>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</si>
  <si>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</si>
  <si>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</si>
  <si>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</si>
  <si>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</si>
  <si>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</si>
  <si>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</si>
  <si>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</si>
  <si>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</si>
  <si>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</si>
  <si>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</si>
  <si>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</si>
  <si>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</si>
  <si>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</si>
  <si>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</si>
  <si>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</si>
  <si>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</si>
  <si>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</si>
  <si>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</si>
  <si>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</si>
  <si>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</si>
  <si>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</si>
  <si>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</si>
  <si>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</si>
  <si>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</si>
  <si>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</si>
  <si>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</si>
  <si>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</si>
  <si>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</si>
  <si>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</si>
  <si>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</si>
  <si>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</si>
  <si>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</si>
  <si>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</si>
  <si>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</si>
  <si>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</si>
  <si>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</si>
  <si>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</si>
  <si>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</si>
  <si>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</si>
  <si>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</si>
  <si>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</si>
  <si>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</si>
  <si>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</si>
  <si>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</si>
  <si>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</si>
  <si>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</si>
  <si>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</si>
  <si>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</si>
  <si>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</si>
  <si>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</si>
  <si>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</si>
  <si>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</si>
  <si>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</si>
  <si>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</si>
  <si>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</si>
  <si>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</si>
  <si>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</si>
  <si>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</si>
  <si>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</si>
  <si>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</si>
  <si>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</si>
  <si>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</si>
  <si>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</si>
  <si>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</si>
  <si>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</si>
  <si>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</si>
  <si>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</si>
  <si>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</si>
  <si>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</si>
  <si>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</si>
  <si>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</si>
  <si>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</si>
  <si>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</si>
  <si>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</si>
  <si>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</si>
  <si>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</si>
  <si>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</si>
  <si>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</si>
  <si>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</si>
  <si>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</si>
  <si>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</si>
  <si>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</si>
  <si>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</si>
  <si>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</si>
  <si>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</si>
  <si>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</si>
  <si>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</si>
  <si>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</si>
  <si>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</si>
  <si>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</si>
  <si>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</si>
  <si>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</si>
  <si>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</si>
  <si>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</si>
  <si>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</si>
  <si>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</si>
  <si>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</si>
  <si>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</si>
  <si>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</si>
  <si>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</si>
  <si>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</si>
  <si>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</si>
  <si>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</si>
  <si>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</si>
  <si>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</si>
  <si>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</si>
  <si>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</si>
  <si>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</si>
  <si>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</si>
  <si>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</si>
  <si>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</si>
  <si>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</si>
  <si>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</si>
  <si>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</si>
  <si>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</si>
  <si>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</si>
  <si>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</si>
  <si>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</si>
  <si>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</si>
  <si>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</si>
  <si>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</si>
  <si>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</si>
  <si>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</si>
  <si>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</si>
  <si>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</si>
  <si>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</si>
  <si>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</si>
  <si>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</si>
  <si>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</si>
  <si>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</si>
  <si>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</si>
  <si>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</si>
  <si>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</si>
  <si>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</si>
  <si>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</si>
  <si>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</si>
  <si>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</si>
  <si>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</si>
  <si>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</si>
  <si>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</si>
  <si>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</si>
  <si>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</si>
  <si>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</si>
  <si>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</si>
  <si>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</si>
  <si>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</si>
  <si>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</si>
  <si>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</si>
  <si>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</si>
  <si>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</si>
  <si>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</si>
  <si>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</si>
  <si>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</si>
  <si>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</si>
  <si>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</si>
  <si>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</si>
  <si>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</si>
  <si>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</si>
  <si>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</si>
  <si>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</si>
  <si>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</si>
  <si>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</si>
  <si>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</si>
  <si>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</si>
  <si>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</si>
  <si>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</si>
  <si>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</si>
  <si>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</si>
  <si>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</si>
  <si>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</si>
  <si>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</si>
  <si>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</si>
  <si>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</si>
  <si>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</si>
  <si>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</si>
  <si>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</si>
  <si>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</si>
  <si>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</si>
  <si>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</si>
  <si>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</si>
  <si>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</si>
  <si>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</si>
  <si>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</si>
  <si>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</si>
  <si>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</si>
  <si>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</si>
  <si>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</si>
  <si>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</si>
  <si>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</si>
  <si>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</si>
  <si>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</si>
  <si>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</si>
  <si>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</si>
  <si>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</si>
  <si>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</si>
  <si>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</si>
  <si>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</si>
  <si>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</si>
  <si>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</si>
  <si>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</si>
  <si>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</si>
  <si>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</si>
  <si>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</si>
  <si>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</si>
  <si>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</si>
  <si>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</si>
  <si>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</si>
  <si>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</si>
  <si>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</si>
  <si>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</si>
  <si>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</si>
  <si>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</si>
  <si>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</si>
  <si>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</si>
  <si>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</si>
  <si>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</si>
  <si>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</si>
  <si>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</si>
  <si>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</si>
  <si>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</si>
  <si>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</si>
  <si>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</si>
  <si>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</si>
  <si>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</si>
  <si>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</si>
  <si>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</si>
  <si>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</si>
  <si>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</si>
  <si>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</si>
  <si>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</si>
  <si>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</si>
  <si>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</si>
  <si>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</si>
  <si>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</si>
  <si>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</si>
  <si>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</si>
  <si>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</si>
  <si>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</si>
  <si>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</si>
  <si>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</si>
  <si>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</si>
  <si>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</si>
  <si>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</si>
  <si>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</si>
  <si>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</si>
  <si>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</si>
  <si>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</si>
  <si>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</si>
  <si>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</si>
  <si>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</si>
  <si>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</si>
  <si>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</si>
  <si>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</si>
  <si>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</si>
  <si>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</si>
  <si>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</si>
  <si>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</si>
  <si>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</si>
  <si>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</si>
  <si>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</si>
  <si>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</si>
  <si>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</si>
  <si>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</si>
  <si>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</si>
  <si>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</si>
  <si>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</si>
  <si>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</si>
  <si>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</si>
  <si>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</si>
  <si>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</si>
  <si>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</si>
  <si>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</si>
  <si>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</si>
  <si>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</si>
  <si>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</si>
  <si>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</si>
  <si>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</si>
  <si>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</si>
  <si>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</si>
  <si>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</si>
  <si>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</si>
  <si>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</si>
  <si>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</si>
  <si>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</si>
  <si>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</si>
  <si>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</si>
  <si>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</si>
  <si>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</si>
  <si>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</si>
  <si>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</si>
  <si>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</si>
  <si>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</si>
  <si>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</si>
  <si>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</si>
  <si>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</si>
  <si>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</si>
  <si>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</si>
  <si>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</si>
  <si>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</si>
  <si>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</si>
  <si>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</si>
  <si>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</si>
  <si>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</si>
  <si>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</si>
  <si>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</si>
  <si>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</si>
  <si>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</si>
  <si>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</si>
  <si>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</si>
  <si>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</si>
  <si>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</si>
  <si>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</si>
  <si>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</si>
  <si>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</si>
  <si>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</si>
  <si>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</si>
  <si>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</si>
  <si>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</si>
  <si>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</si>
  <si>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</si>
  <si>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</si>
  <si>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</si>
  <si>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</si>
  <si>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</si>
  <si>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</si>
  <si>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</si>
  <si>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</si>
  <si>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</si>
  <si>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</si>
  <si>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</si>
  <si>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</si>
  <si>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</si>
  <si>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</si>
  <si>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</si>
  <si>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</si>
  <si>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</si>
  <si>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</si>
  <si>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</si>
  <si>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</si>
  <si>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</si>
  <si>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</si>
  <si>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</si>
  <si>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</si>
  <si>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</si>
  <si>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</si>
  <si>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</si>
  <si>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</si>
  <si>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</si>
  <si>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</si>
  <si>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</si>
  <si>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</si>
  <si>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</si>
  <si>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</si>
  <si>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</si>
  <si>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</si>
  <si>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</si>
  <si>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</si>
  <si>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</si>
  <si>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</si>
  <si>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</si>
  <si>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</si>
  <si>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</si>
  <si>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</si>
  <si>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</si>
  <si>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</si>
  <si>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</si>
  <si>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</si>
  <si>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</si>
  <si>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</si>
  <si>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</si>
  <si>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</si>
  <si>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</si>
  <si>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</si>
  <si>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</si>
  <si>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</si>
  <si>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</si>
  <si>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</si>
  <si>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</si>
  <si>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</si>
  <si>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</si>
  <si>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</si>
  <si>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</si>
  <si>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</si>
  <si>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</si>
  <si>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</si>
  <si>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</si>
  <si>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</si>
  <si>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</si>
  <si>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</si>
  <si>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</si>
  <si>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</si>
  <si>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</si>
  <si>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</si>
  <si>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</si>
  <si>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</si>
  <si>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</si>
  <si>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</si>
  <si>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</si>
  <si>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</si>
  <si>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</si>
  <si>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</si>
  <si>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</si>
  <si>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</si>
  <si>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</si>
  <si>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</si>
  <si>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</si>
  <si>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</si>
  <si>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</si>
  <si>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</si>
  <si>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</si>
  <si>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</si>
  <si>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</si>
  <si>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</si>
  <si>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</si>
  <si>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</si>
  <si>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</si>
  <si>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</si>
  <si>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</si>
  <si>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</si>
  <si>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</si>
  <si>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</si>
  <si>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</si>
  <si>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</si>
  <si>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</si>
  <si>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</si>
  <si>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</si>
  <si>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</si>
  <si>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</si>
  <si>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</si>
  <si>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</si>
  <si>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</si>
  <si>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</si>
  <si>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</si>
  <si>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</si>
  <si>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</si>
  <si>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</si>
  <si>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</si>
  <si>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</si>
  <si>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</si>
  <si>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</si>
  <si>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</si>
  <si>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</si>
  <si>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</si>
  <si>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</si>
  <si>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</si>
  <si>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</si>
  <si>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</si>
  <si>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</si>
  <si>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</si>
  <si>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</si>
  <si>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</si>
  <si>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</si>
  <si>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</si>
  <si>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</si>
  <si>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</si>
  <si>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</si>
  <si>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</si>
  <si>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</si>
  <si>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</si>
  <si>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</si>
  <si>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</si>
  <si>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</si>
  <si>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</si>
  <si>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</si>
  <si>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</si>
  <si>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</si>
  <si>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</si>
  <si>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</si>
  <si>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</si>
  <si>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</si>
  <si>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</si>
  <si>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</si>
  <si>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</si>
  <si>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</si>
  <si>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</si>
  <si>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</si>
  <si>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</si>
  <si>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</si>
  <si>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</si>
  <si>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</si>
  <si>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</si>
  <si>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</si>
  <si>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</si>
  <si>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</si>
  <si>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</si>
  <si>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</si>
  <si>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</si>
  <si>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</si>
  <si>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</si>
  <si>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</si>
  <si>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</si>
  <si>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</si>
  <si>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</si>
  <si>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</si>
  <si>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</si>
  <si>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</si>
  <si>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</si>
  <si>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</si>
  <si>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</si>
  <si>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</si>
  <si>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</si>
  <si>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</si>
  <si>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</si>
  <si>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</si>
  <si>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</si>
  <si>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</si>
  <si>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</si>
  <si>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</si>
  <si>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</si>
  <si>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</si>
  <si>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</si>
  <si>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</si>
  <si>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</si>
  <si>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</si>
  <si>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</si>
  <si>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</si>
  <si>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</si>
  <si>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</si>
  <si>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</si>
  <si>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</si>
  <si>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</si>
  <si>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</si>
  <si>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</si>
  <si>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</si>
  <si>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</si>
  <si>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</si>
  <si>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</si>
  <si>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</si>
  <si>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</si>
  <si>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</si>
  <si>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</si>
  <si>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</si>
  <si>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</si>
  <si>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</si>
  <si>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</si>
  <si>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</si>
  <si>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</si>
  <si>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</si>
  <si>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</si>
  <si>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</si>
  <si>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</si>
  <si>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</si>
  <si>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</si>
  <si>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</si>
  <si>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</si>
  <si>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</si>
  <si>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</si>
  <si>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</si>
  <si>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</si>
  <si>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</si>
  <si>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</si>
  <si>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</si>
  <si>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</si>
  <si>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</si>
  <si>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</si>
  <si>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</si>
  <si>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</si>
  <si>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</si>
  <si>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</si>
  <si>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</si>
  <si>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</si>
  <si>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</si>
  <si>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</si>
  <si>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</si>
  <si>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</si>
  <si>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</si>
  <si>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</si>
  <si>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</si>
  <si>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</si>
  <si>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</si>
  <si>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</si>
  <si>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</si>
  <si>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</si>
  <si>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</si>
  <si>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</si>
  <si>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</si>
  <si>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</si>
  <si>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</si>
  <si>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</si>
  <si>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</si>
  <si>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</si>
  <si>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</si>
  <si>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</si>
  <si>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</si>
  <si>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</si>
  <si>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</si>
  <si>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</si>
  <si>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</si>
  <si>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</si>
  <si>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</si>
  <si>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</si>
  <si>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</si>
  <si>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</si>
  <si>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</si>
  <si>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</si>
  <si>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</si>
  <si>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</si>
  <si>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</si>
  <si>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</si>
  <si>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</si>
  <si>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</si>
  <si>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</si>
  <si>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</si>
  <si>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</si>
  <si>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</si>
  <si>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</si>
  <si>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</si>
  <si>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</si>
  <si>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</si>
  <si>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</si>
  <si>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</si>
  <si>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</si>
  <si>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</si>
  <si>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</si>
  <si>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</si>
  <si>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</si>
  <si>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</si>
  <si>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</si>
  <si>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</si>
  <si>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</si>
  <si>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</si>
  <si>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</si>
  <si>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</si>
  <si>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</si>
  <si>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</si>
  <si>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</si>
  <si>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</si>
  <si>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</si>
  <si>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</si>
  <si>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</si>
  <si>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</si>
  <si>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</si>
  <si>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</si>
  <si>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</si>
  <si>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</si>
  <si>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</si>
  <si>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</si>
  <si>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</si>
  <si>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</si>
  <si>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</si>
  <si>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</si>
  <si>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</si>
  <si>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</si>
  <si>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</si>
  <si>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</si>
  <si>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</si>
  <si>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</si>
  <si>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</si>
  <si>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</si>
  <si>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</si>
  <si>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</si>
  <si>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</si>
  <si>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</si>
  <si>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</si>
  <si>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</si>
  <si>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</si>
  <si>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</si>
  <si>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</si>
  <si>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</si>
  <si>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</si>
  <si>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</si>
  <si>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</si>
  <si>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</si>
  <si>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</si>
  <si>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</si>
  <si>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</si>
  <si>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</si>
  <si>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</si>
  <si>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</si>
  <si>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</si>
  <si>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</si>
  <si>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</si>
  <si>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</si>
  <si>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</si>
  <si>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</si>
  <si>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</si>
  <si>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</si>
  <si>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</si>
  <si>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</si>
  <si>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</si>
  <si>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</si>
  <si>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</si>
  <si>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</si>
  <si>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</si>
  <si>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</si>
  <si>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</si>
  <si>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</si>
  <si>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</si>
  <si>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</si>
  <si>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</si>
  <si>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</si>
  <si>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</si>
  <si>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</si>
  <si>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</si>
  <si>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</si>
  <si>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</si>
  <si>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</si>
  <si>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</si>
  <si>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</si>
  <si>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</si>
  <si>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</si>
  <si>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</si>
  <si>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</si>
  <si>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</si>
  <si>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</si>
  <si>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</si>
  <si>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</si>
  <si>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</si>
  <si>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</si>
  <si>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</si>
  <si>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</si>
  <si>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</si>
  <si>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</si>
  <si>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</si>
  <si>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</si>
  <si>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</si>
  <si>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</si>
  <si>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</si>
  <si>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</si>
  <si>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</si>
  <si>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</si>
  <si>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</si>
  <si>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</si>
  <si>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</si>
  <si>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</si>
  <si>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</si>
  <si>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</si>
  <si>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</si>
  <si>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</si>
  <si>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</si>
  <si>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</si>
  <si>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</si>
  <si>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</si>
  <si>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</si>
  <si>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</si>
  <si>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</si>
  <si>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</si>
  <si>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</si>
  <si>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</si>
  <si>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</si>
  <si>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</si>
  <si>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</si>
  <si>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</si>
  <si>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</si>
  <si>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</si>
  <si>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</si>
  <si>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</si>
  <si>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</si>
  <si>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</si>
  <si>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</si>
  <si>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</si>
  <si>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</si>
  <si>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</si>
  <si>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</si>
  <si>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</si>
  <si>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</si>
  <si>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</si>
  <si>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</si>
  <si>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</si>
  <si>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</si>
  <si>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</si>
  <si>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</si>
  <si>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</si>
  <si>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</si>
  <si>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</si>
  <si>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</si>
  <si>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</si>
  <si>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</si>
  <si>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</si>
  <si>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</si>
  <si>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</si>
  <si>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</si>
  <si>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</si>
  <si>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</si>
  <si>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</si>
  <si>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</si>
  <si>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</si>
  <si>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</si>
  <si>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</si>
  <si>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</si>
  <si>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</si>
  <si>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</si>
  <si>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</si>
  <si>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</si>
  <si>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</si>
  <si>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</si>
  <si>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</si>
  <si>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</si>
  <si>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</si>
  <si>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</si>
  <si>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</si>
  <si>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</si>
  <si>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</si>
  <si>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</si>
  <si>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</si>
  <si>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</si>
  <si>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</si>
  <si>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</si>
  <si>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</si>
  <si>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</si>
  <si>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</si>
  <si>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</si>
  <si>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</si>
  <si>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</si>
  <si>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</si>
  <si>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</si>
  <si>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</si>
  <si>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</si>
  <si>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</si>
  <si>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</si>
  <si>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</si>
  <si>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</si>
  <si>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</si>
  <si>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</si>
  <si>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</si>
  <si>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</si>
  <si>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</si>
  <si>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</si>
  <si>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</si>
  <si>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</si>
  <si>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</si>
  <si>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</si>
  <si>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</si>
  <si>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</si>
  <si>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</si>
  <si>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</si>
  <si>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</si>
  <si>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</si>
  <si>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</si>
  <si>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</si>
  <si>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</si>
  <si>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</si>
  <si>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</si>
  <si>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</si>
  <si>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</si>
  <si>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</si>
  <si>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</si>
  <si>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</si>
  <si>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</si>
  <si>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</si>
  <si>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</si>
  <si>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</si>
  <si>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</si>
  <si>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</si>
  <si>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</si>
  <si>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</si>
  <si>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</si>
  <si>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</si>
  <si>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</si>
  <si>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</si>
  <si>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</si>
  <si>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</si>
  <si>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</si>
  <si>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</si>
  <si>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</si>
  <si>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</si>
  <si>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</si>
  <si>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</si>
  <si>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</si>
  <si>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</si>
  <si>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</si>
  <si>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</si>
  <si>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</si>
  <si>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</si>
  <si>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</si>
  <si>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</si>
  <si>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</si>
  <si>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</si>
  <si>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</si>
  <si>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</si>
  <si>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</si>
  <si>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</si>
  <si>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</si>
  <si>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</si>
  <si>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</si>
  <si>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</si>
  <si>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</si>
  <si>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</si>
  <si>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</si>
  <si>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</si>
  <si>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</si>
  <si>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</si>
  <si>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</si>
  <si>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</si>
  <si>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</si>
  <si>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</si>
  <si>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</si>
  <si>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</si>
  <si>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</si>
  <si>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</si>
  <si>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</si>
  <si>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</si>
  <si>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</si>
  <si>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</si>
  <si>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</si>
  <si>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</si>
  <si>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</si>
  <si>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</si>
  <si>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</si>
  <si>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</si>
  <si>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</si>
  <si>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</si>
  <si>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</si>
  <si>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</si>
  <si>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</si>
  <si>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</si>
  <si>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</si>
  <si>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</si>
  <si>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</si>
  <si>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</si>
  <si>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</si>
  <si>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</si>
  <si>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</si>
  <si>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</si>
  <si>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</si>
  <si>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</si>
  <si>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</si>
  <si>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</si>
  <si>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</si>
  <si>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</si>
  <si>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</si>
  <si>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</si>
  <si>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</si>
  <si>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</si>
  <si>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</si>
  <si>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</si>
  <si>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</si>
  <si>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</si>
  <si>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</si>
  <si>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</si>
  <si>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</si>
  <si>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</si>
  <si>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</si>
  <si>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</si>
  <si>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</si>
  <si>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</si>
  <si>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</si>
  <si>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</si>
  <si>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</si>
  <si>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</si>
  <si>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</si>
  <si>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</si>
  <si>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</si>
  <si>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</si>
  <si>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</si>
  <si>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</si>
  <si>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</si>
  <si>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</si>
  <si>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</si>
  <si>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</si>
  <si>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</si>
  <si>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</si>
  <si>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</si>
  <si>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</si>
  <si>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</si>
  <si>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</si>
  <si>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</si>
  <si>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</si>
  <si>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</si>
  <si>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</si>
  <si>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</si>
  <si>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</si>
  <si>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</si>
  <si>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</si>
  <si>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</si>
  <si>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</si>
  <si>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</si>
  <si>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</si>
  <si>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</si>
  <si>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</si>
  <si>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</si>
  <si>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</si>
  <si>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</si>
  <si>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</si>
  <si>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</si>
  <si>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</si>
  <si>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</si>
  <si>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</si>
  <si>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</si>
  <si>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</si>
  <si>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</si>
  <si>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</si>
  <si>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</si>
  <si>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</si>
  <si>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</si>
  <si>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</si>
  <si>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</si>
  <si>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</si>
  <si>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</si>
  <si>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</si>
  <si>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</si>
  <si>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</si>
  <si>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</si>
  <si>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</si>
  <si>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</si>
  <si>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</si>
  <si>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</si>
  <si>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</si>
  <si>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</si>
  <si>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</si>
  <si>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</si>
  <si>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</si>
  <si>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</si>
  <si>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</si>
  <si>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</si>
  <si>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</si>
  <si>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</si>
  <si>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</si>
  <si>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</si>
  <si>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</si>
  <si>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</si>
  <si>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</si>
  <si>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</si>
  <si>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</si>
  <si>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</si>
  <si>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</si>
  <si>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</si>
  <si>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</si>
  <si>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</si>
  <si>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</si>
  <si>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</si>
  <si>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</si>
  <si>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</si>
  <si>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</si>
  <si>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</si>
  <si>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</si>
  <si>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</si>
  <si>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</si>
  <si>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</si>
  <si>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</si>
  <si>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</si>
  <si>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</si>
  <si>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</si>
  <si>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</si>
  <si>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</si>
  <si>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</si>
  <si>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</si>
  <si>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</si>
  <si>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</si>
  <si>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</si>
  <si>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</si>
  <si>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</si>
  <si>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</si>
  <si>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</si>
  <si>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</si>
  <si>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</si>
  <si>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</si>
  <si>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</si>
  <si>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</si>
  <si>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</si>
  <si>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</si>
  <si>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</si>
  <si>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</si>
  <si>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</si>
  <si>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</si>
  <si>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</si>
  <si>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</si>
  <si>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</si>
  <si>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</si>
  <si>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</si>
  <si>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</si>
  <si>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</si>
  <si>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</si>
  <si>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</si>
  <si>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</si>
  <si>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</si>
  <si>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</si>
  <si>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</si>
  <si>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</si>
  <si>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</si>
  <si>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</si>
  <si>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</si>
  <si>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</si>
  <si>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</si>
  <si>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</si>
  <si>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</si>
  <si>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</si>
  <si>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</si>
  <si>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</si>
  <si>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</si>
  <si>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</si>
  <si>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</si>
  <si>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</si>
  <si>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</si>
  <si>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</si>
  <si>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</si>
  <si>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</si>
  <si>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</si>
  <si>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</si>
  <si>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</si>
  <si>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</si>
  <si>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</si>
  <si>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</si>
  <si>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</si>
  <si>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</si>
  <si>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</si>
  <si>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</si>
  <si>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</si>
  <si>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</si>
  <si>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</si>
  <si>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</si>
  <si>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</si>
  <si>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</si>
  <si>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</si>
  <si>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</si>
  <si>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</si>
  <si>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</si>
  <si>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</si>
  <si>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</si>
  <si>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</si>
  <si>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</si>
  <si>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</si>
  <si>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</si>
  <si>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</si>
  <si>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</si>
  <si>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</si>
  <si>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</si>
  <si>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</si>
  <si>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</si>
  <si>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</si>
  <si>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</si>
  <si>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</si>
  <si>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</si>
  <si>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</si>
  <si>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</si>
  <si>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</si>
  <si>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</si>
  <si>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</si>
  <si>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</si>
  <si>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</si>
  <si>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</si>
  <si>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</si>
  <si>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</si>
  <si>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</si>
  <si>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</si>
  <si>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</si>
  <si>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</si>
  <si>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</si>
  <si>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</si>
  <si>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</si>
  <si>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</si>
  <si>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</si>
  <si>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</si>
  <si>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</si>
  <si>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</si>
  <si>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</si>
  <si>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</si>
  <si>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</si>
  <si>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</si>
  <si>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</si>
  <si>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</si>
  <si>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</si>
  <si>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</si>
  <si>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</si>
  <si>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</si>
  <si>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</si>
  <si>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</si>
  <si>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</si>
  <si>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</si>
  <si>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</si>
  <si>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</si>
  <si>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</si>
  <si>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</si>
  <si>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</si>
  <si>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</si>
  <si>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</si>
  <si>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</si>
  <si>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</si>
  <si>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</si>
  <si>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</si>
  <si>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</si>
  <si>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</si>
  <si>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</si>
  <si>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</si>
  <si>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</si>
  <si>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</si>
  <si>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</si>
  <si>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</si>
  <si>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</si>
  <si>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</si>
  <si>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</si>
  <si>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</si>
  <si>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</si>
  <si>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</si>
  <si>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</si>
  <si>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</si>
  <si>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</si>
  <si>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</si>
  <si>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</si>
  <si>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</si>
  <si>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</si>
  <si>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</si>
  <si>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</si>
  <si>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</si>
  <si>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</si>
  <si>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</si>
  <si>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</si>
  <si>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</si>
  <si>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</si>
  <si>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</si>
  <si>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</si>
  <si>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</si>
  <si>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</si>
  <si>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</si>
  <si>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</si>
  <si>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</si>
  <si>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</si>
  <si>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</si>
  <si>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</si>
  <si>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</si>
  <si>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</si>
  <si>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</si>
  <si>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</si>
  <si>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</si>
  <si>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</si>
  <si>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</si>
  <si>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</si>
  <si>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</si>
  <si>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</si>
  <si>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</si>
  <si>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</si>
  <si>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</si>
  <si>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</si>
  <si>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</si>
  <si>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</si>
  <si>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</si>
  <si>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</si>
  <si>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</si>
  <si>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</si>
  <si>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</si>
  <si>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</si>
  <si>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</si>
  <si>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</si>
  <si>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</si>
  <si>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</si>
  <si>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</si>
  <si>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</si>
  <si>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</si>
  <si>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</si>
  <si>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</si>
  <si>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</si>
  <si>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</si>
  <si>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</si>
  <si>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</si>
  <si>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</si>
  <si>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</si>
  <si>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</si>
  <si>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</si>
  <si>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</si>
  <si>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</si>
  <si>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</si>
  <si>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</si>
  <si>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</si>
  <si>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</si>
  <si>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</si>
  <si>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</si>
  <si>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</si>
  <si>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</si>
  <si>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</si>
  <si>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</si>
  <si>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</si>
  <si>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</si>
  <si>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</si>
  <si>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</si>
  <si>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</si>
  <si>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</si>
  <si>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</si>
  <si>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</si>
  <si>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</si>
  <si>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</si>
  <si>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</si>
  <si>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</si>
  <si>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</si>
  <si>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</si>
  <si>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</si>
  <si>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</si>
  <si>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</si>
  <si>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</si>
  <si>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</si>
  <si>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</si>
  <si>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</si>
  <si>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</si>
  <si>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</si>
  <si>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</si>
  <si>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</si>
  <si>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</si>
  <si>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</si>
  <si>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</si>
  <si>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</si>
  <si>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</si>
  <si>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</si>
  <si>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</si>
  <si>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</si>
  <si>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</si>
  <si>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</si>
  <si>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</si>
  <si>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</si>
  <si>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</si>
  <si>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</si>
  <si>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</si>
  <si>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</si>
  <si>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</si>
  <si>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</si>
  <si>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</si>
  <si>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</si>
  <si>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</si>
  <si>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</si>
  <si>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</si>
  <si>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</si>
  <si>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</si>
  <si>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</si>
  <si>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</si>
  <si>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</si>
  <si>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</si>
  <si>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</si>
  <si>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</si>
  <si>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</si>
  <si>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</si>
  <si>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</si>
  <si>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</si>
  <si>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</si>
  <si>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</si>
  <si>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</si>
  <si>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</si>
  <si>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</si>
  <si>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</si>
  <si>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</si>
  <si>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</si>
  <si>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</si>
  <si>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</si>
  <si>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</si>
  <si>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</si>
  <si>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</si>
  <si>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</si>
  <si>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</si>
  <si>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</si>
  <si>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</si>
  <si>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</si>
  <si>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</si>
  <si>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</si>
  <si>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</si>
  <si>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</si>
  <si>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</si>
  <si>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</si>
  <si>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</si>
  <si>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</si>
  <si>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</si>
  <si>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</si>
  <si>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</si>
  <si>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</si>
  <si>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</si>
  <si>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</si>
  <si>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</si>
  <si>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</si>
  <si>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</si>
  <si>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</si>
  <si>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</si>
  <si>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</si>
  <si>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</si>
  <si>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</si>
  <si>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</si>
  <si>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</si>
  <si>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</si>
  <si>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</si>
  <si>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</si>
  <si>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</si>
  <si>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</si>
  <si>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</si>
  <si>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</si>
  <si>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</si>
  <si>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</si>
  <si>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</si>
  <si>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</si>
  <si>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</si>
  <si>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</si>
  <si>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</si>
  <si>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</si>
  <si>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</si>
  <si>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</si>
  <si>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</si>
  <si>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</si>
  <si>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</si>
  <si>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</si>
  <si>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</si>
  <si>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</si>
  <si>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</si>
  <si>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</si>
  <si>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</si>
  <si>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</si>
  <si>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</si>
  <si>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</si>
  <si>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</si>
  <si>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</si>
  <si>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</si>
  <si>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</si>
  <si>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</si>
  <si>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</si>
  <si>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</si>
  <si>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</si>
  <si>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</si>
  <si>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</si>
  <si>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</si>
  <si>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</si>
  <si>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</si>
  <si>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</si>
  <si>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</si>
  <si>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</si>
  <si>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</si>
  <si>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</si>
  <si>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</si>
  <si>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</si>
  <si>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</si>
  <si>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</si>
  <si>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</si>
  <si>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</si>
  <si>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</si>
  <si>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</si>
  <si>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</si>
  <si>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</si>
  <si>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</si>
  <si>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</si>
  <si>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</si>
  <si>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</si>
  <si>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</si>
  <si>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</si>
  <si>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</si>
  <si>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</si>
  <si>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</si>
  <si>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</si>
  <si>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</si>
  <si>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</si>
  <si>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</si>
  <si>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</si>
  <si>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</si>
  <si>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</si>
  <si>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</si>
  <si>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</si>
  <si>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</si>
  <si>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</si>
  <si>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</si>
  <si>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</si>
  <si>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</si>
  <si>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</si>
  <si>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</si>
  <si>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</si>
  <si>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</si>
  <si>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</si>
  <si>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</si>
  <si>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</si>
  <si>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</si>
  <si>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</si>
  <si>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</si>
  <si>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</si>
  <si>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</si>
  <si>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</si>
  <si>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</si>
  <si>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</si>
  <si>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</si>
  <si>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</si>
  <si>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</si>
  <si>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</si>
  <si>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</si>
  <si>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</si>
  <si>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</si>
  <si>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</si>
  <si>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</si>
  <si>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</si>
  <si>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</si>
  <si>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</si>
  <si>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</si>
  <si>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</si>
  <si>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</si>
  <si>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</si>
  <si>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</si>
  <si>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</si>
  <si>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</si>
  <si>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</si>
  <si>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</si>
  <si>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</si>
  <si>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</si>
  <si>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</si>
  <si>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</si>
  <si>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</si>
  <si>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</si>
  <si>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</si>
  <si>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</si>
  <si>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</si>
  <si>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</si>
  <si>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</si>
  <si>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</si>
  <si>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</si>
  <si>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</si>
  <si>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</si>
  <si>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</si>
  <si>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</si>
  <si>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</si>
  <si>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</si>
  <si>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</si>
  <si>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</si>
  <si>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</si>
  <si>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</si>
  <si>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</si>
  <si>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</si>
  <si>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</si>
  <si>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</si>
  <si>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</si>
  <si>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</si>
  <si>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</si>
  <si>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</si>
  <si>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</si>
  <si>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</si>
  <si>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</si>
  <si>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</si>
  <si>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</si>
  <si>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</si>
  <si>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</si>
  <si>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</si>
  <si>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</si>
  <si>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</si>
  <si>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</si>
  <si>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</si>
  <si>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</si>
  <si>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</si>
  <si>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</si>
  <si>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</si>
  <si>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</si>
  <si>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</si>
  <si>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</si>
  <si>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</si>
  <si>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</si>
  <si>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</si>
  <si>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</si>
  <si>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</si>
  <si>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</si>
  <si>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</si>
  <si>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</si>
  <si>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</si>
  <si>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</si>
  <si>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</si>
  <si>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</si>
  <si>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</si>
  <si>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</si>
  <si>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</si>
  <si>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</si>
  <si>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</si>
  <si>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</si>
  <si>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</si>
  <si>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</si>
  <si>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</si>
  <si>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</si>
  <si>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</si>
  <si>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</si>
  <si>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</si>
  <si>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</si>
  <si>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</si>
  <si>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</si>
  <si>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</si>
  <si>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</si>
  <si>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</si>
  <si>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</si>
  <si>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</si>
  <si>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</si>
  <si>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</si>
  <si>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</si>
  <si>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</si>
  <si>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</si>
  <si>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</si>
  <si>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</si>
  <si>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</si>
  <si>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</si>
  <si>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</si>
  <si>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</si>
  <si>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</si>
  <si>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</si>
  <si>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</si>
  <si>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</si>
  <si>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</si>
  <si>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</si>
  <si>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</si>
  <si>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</si>
  <si>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</si>
  <si>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</si>
  <si>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</si>
  <si>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</si>
  <si>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</si>
  <si>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</si>
  <si>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</si>
  <si>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</si>
  <si>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</si>
  <si>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</si>
  <si>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</si>
  <si>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</si>
  <si>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</si>
  <si>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</si>
  <si>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</si>
  <si>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</si>
  <si>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</si>
  <si>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</si>
  <si>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</si>
  <si>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</si>
  <si>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</si>
  <si>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</si>
  <si>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</si>
  <si>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</si>
  <si>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</si>
  <si>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</si>
  <si>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</si>
  <si>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</si>
  <si>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</si>
  <si>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</si>
  <si>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</si>
  <si>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</si>
  <si>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</si>
  <si>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</si>
  <si>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</si>
  <si>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</si>
  <si>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</si>
  <si>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</si>
  <si>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</si>
  <si>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</si>
  <si>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</si>
  <si>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</si>
  <si>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</si>
  <si>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</si>
  <si>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</si>
  <si>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</si>
  <si>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</si>
  <si>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</si>
  <si>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</si>
  <si>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</si>
  <si>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</si>
  <si>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</si>
  <si>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</si>
  <si>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</si>
  <si>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</si>
  <si>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</si>
  <si>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</si>
  <si>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</si>
  <si>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</si>
  <si>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</si>
  <si>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</si>
  <si>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</si>
  <si>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</si>
  <si>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</si>
  <si>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</si>
  <si>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</si>
  <si>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</si>
  <si>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</si>
  <si>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</si>
  <si>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</si>
  <si>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</si>
  <si>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</si>
  <si>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</si>
  <si>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</si>
  <si>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</si>
  <si>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</si>
  <si>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</si>
  <si>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</si>
  <si>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</si>
  <si>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</si>
  <si>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</si>
  <si>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</si>
  <si>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</si>
  <si>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</si>
  <si>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</si>
  <si>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</si>
  <si>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</si>
  <si>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</si>
  <si>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Dennis G. Koch &amp; Associates LLC</t>
  </si>
  <si>
    <t>Hancock</t>
  </si>
  <si>
    <t>Dennis G. Koch</t>
  </si>
  <si>
    <t>1706 N 16th Street</t>
  </si>
  <si>
    <t>270 N 10th Street</t>
  </si>
  <si>
    <t>Quincy</t>
  </si>
  <si>
    <t>IL</t>
  </si>
  <si>
    <t>Hamilton</t>
  </si>
  <si>
    <t>217-224-8484</t>
  </si>
  <si>
    <t>217-224-0504</t>
  </si>
  <si>
    <t>yurkoja@hhs328.com</t>
  </si>
  <si>
    <t>066-004856</t>
  </si>
  <si>
    <t>dgkoch@dgkochcpa.com</t>
  </si>
  <si>
    <t>Joseph A. Yurko</t>
  </si>
  <si>
    <t>John Meixner</t>
  </si>
  <si>
    <t>jmeixner@roe26.net</t>
  </si>
  <si>
    <t>866-332-3880 ext 310</t>
  </si>
  <si>
    <t>217-847-3915</t>
  </si>
  <si>
    <t>309-837-4821</t>
  </si>
  <si>
    <t>309-837-2887</t>
  </si>
  <si>
    <t>GO Bonds Series 2009</t>
  </si>
  <si>
    <t>Carl Sandburg College</t>
  </si>
  <si>
    <t>Warsaw School District (Sports Coop)</t>
  </si>
  <si>
    <t>WACS</t>
  </si>
  <si>
    <t>Illini West HSD, Warsaw School District, Carthage ESD</t>
  </si>
  <si>
    <t>West Central Purchasing Coop</t>
  </si>
  <si>
    <t>WCISEC</t>
  </si>
  <si>
    <t>Warsaw School District, Illini West School Distrct</t>
  </si>
  <si>
    <t>None</t>
  </si>
  <si>
    <t>Dennis G Koch &amp; Associates LLC, CPAs</t>
  </si>
  <si>
    <t>In addition to the Adverse Opinion for Regulatory Basis, the opinion on the Annual Financial Report is modified for the omission of information require by GASB Statement 45, Accounting and Financial Reporting for Post-Employment Benefit Other Than Pensions.</t>
  </si>
  <si>
    <t>Hailton CCSD 328</t>
  </si>
  <si>
    <t>in opinion page as a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</si>
</sst>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3</xdr:row>
          <xdr:rowOff>0</xdr:rowOff>
        </xdr:from>
        <xdr:to>
          <xdr:col>1</xdr:col>
          <xdr:colOff>1463387</xdr:colOff>
          <xdr:row>7</xdr:row>
          <xdr:rowOff>95249</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1653887</xdr:colOff>
          <xdr:row>2</xdr:row>
          <xdr:rowOff>121228</xdr:rowOff>
        </xdr:from>
        <xdr:to>
          <xdr:col>1</xdr:col>
          <xdr:colOff>2565689</xdr:colOff>
          <xdr:row>7</xdr:row>
          <xdr:rowOff>80530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2077</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26034328024</v>
      </c>
      <c r="B13" s="2003"/>
      <c r="C13" s="2003"/>
      <c r="D13" s="2003"/>
      <c r="E13" s="2003"/>
      <c r="F13" s="2003"/>
      <c r="G13" s="2003"/>
      <c r="H13" s="2004"/>
      <c r="I13" s="31"/>
      <c r="J13" s="30"/>
      <c r="K13" s="28"/>
      <c r="L13" s="30"/>
      <c r="M13" s="30"/>
      <c r="N13" s="30"/>
      <c r="O13" s="30"/>
      <c r="P13" s="30"/>
      <c r="Q13" s="30"/>
      <c r="R13" s="30"/>
      <c r="S13" s="30"/>
      <c r="T13" s="2007" t="s">
        <v>2078</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2079</v>
      </c>
      <c r="B15" s="2005"/>
      <c r="C15" s="2005"/>
      <c r="D15" s="2005"/>
      <c r="E15" s="2005"/>
      <c r="F15" s="2005"/>
      <c r="G15" s="2005"/>
      <c r="H15" s="2006"/>
      <c r="T15" s="1968" t="s">
        <v>2080</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2109</v>
      </c>
      <c r="B17" s="2030"/>
      <c r="C17" s="2030"/>
      <c r="D17" s="2030"/>
      <c r="E17" s="2030"/>
      <c r="F17" s="2030"/>
      <c r="G17" s="2030"/>
      <c r="H17" s="2031"/>
      <c r="T17" s="2017" t="s">
        <v>2081</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2082</v>
      </c>
      <c r="B19" s="2001"/>
      <c r="C19" s="2001"/>
      <c r="D19" s="2001"/>
      <c r="E19" s="2001"/>
      <c r="F19" s="2001"/>
      <c r="G19" s="2001"/>
      <c r="H19" s="1999"/>
      <c r="I19" s="30"/>
      <c r="J19" s="99"/>
      <c r="K19" s="40"/>
      <c r="L19" s="38"/>
      <c r="M19" s="112" t="s">
        <v>333</v>
      </c>
      <c r="P19" s="27"/>
      <c r="Q19" s="27"/>
      <c r="R19" s="27"/>
      <c r="S19" s="31"/>
      <c r="T19" s="2000" t="s">
        <v>2083</v>
      </c>
      <c r="U19" s="1998"/>
      <c r="V19" s="1998"/>
      <c r="W19" s="1999"/>
      <c r="X19" s="2015" t="s">
        <v>2084</v>
      </c>
      <c r="Y19" s="2016"/>
      <c r="Z19" s="2013">
        <v>62301</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2085</v>
      </c>
      <c r="B21" s="1998"/>
      <c r="C21" s="1998"/>
      <c r="D21" s="1998"/>
      <c r="E21" s="1998"/>
      <c r="F21" s="1998"/>
      <c r="G21" s="1998"/>
      <c r="H21" s="1999"/>
      <c r="I21" s="2023" t="s">
        <v>699</v>
      </c>
      <c r="J21" s="1986"/>
      <c r="K21" s="1986"/>
      <c r="L21" s="1986"/>
      <c r="M21" s="1986"/>
      <c r="N21" s="1986"/>
      <c r="O21" s="1986"/>
      <c r="P21" s="1986"/>
      <c r="Q21" s="1986"/>
      <c r="R21" s="1986"/>
      <c r="S21" s="1987"/>
      <c r="T21" s="1965" t="s">
        <v>2086</v>
      </c>
      <c r="U21" s="1966"/>
      <c r="V21" s="1966"/>
      <c r="W21" s="1966"/>
      <c r="X21" s="1979" t="s">
        <v>2087</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2088</v>
      </c>
      <c r="B23" s="2021"/>
      <c r="C23" s="2021"/>
      <c r="D23" s="2021"/>
      <c r="E23" s="2021"/>
      <c r="F23" s="2021"/>
      <c r="G23" s="2021"/>
      <c r="H23" s="2022"/>
      <c r="T23" s="1960" t="s">
        <v>2089</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62341</v>
      </c>
      <c r="B25" s="1998"/>
      <c r="C25" s="1998"/>
      <c r="D25" s="1998"/>
      <c r="E25" s="1998"/>
      <c r="F25" s="1998"/>
      <c r="G25" s="1998"/>
      <c r="H25" s="1999"/>
      <c r="I25" s="113"/>
      <c r="J25" s="2064"/>
      <c r="K25" s="2064"/>
      <c r="L25" s="2064"/>
      <c r="M25" s="2064"/>
      <c r="N25" s="2064"/>
      <c r="O25" s="2064"/>
      <c r="P25" s="2064"/>
      <c r="Q25" s="2064"/>
      <c r="R25" s="2064"/>
      <c r="S25" s="2065"/>
      <c r="T25" s="1957" t="s">
        <v>2090</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2091</v>
      </c>
      <c r="B38" s="2030"/>
      <c r="C38" s="2030"/>
      <c r="D38" s="2030"/>
      <c r="E38" s="2030"/>
      <c r="F38" s="1998"/>
      <c r="G38" s="1998"/>
      <c r="H38" s="1999"/>
      <c r="I38" s="2049"/>
      <c r="J38" s="1969"/>
      <c r="K38" s="1969"/>
      <c r="L38" s="1969"/>
      <c r="M38" s="1969"/>
      <c r="N38" s="1969"/>
      <c r="O38" s="1969"/>
      <c r="P38" s="1970"/>
      <c r="Q38" s="1970"/>
      <c r="R38" s="1970"/>
      <c r="S38" s="1971"/>
      <c r="T38" s="1968" t="s">
        <v>2092</v>
      </c>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2088</v>
      </c>
      <c r="B40" s="2057"/>
      <c r="C40" s="2058"/>
      <c r="D40" s="2058"/>
      <c r="E40" s="2058"/>
      <c r="F40" s="2059"/>
      <c r="G40" s="2059"/>
      <c r="H40" s="2060"/>
      <c r="I40" s="1972"/>
      <c r="J40" s="1974"/>
      <c r="K40" s="1974"/>
      <c r="L40" s="1974"/>
      <c r="M40" s="1974"/>
      <c r="N40" s="1974"/>
      <c r="O40" s="1974"/>
      <c r="P40" s="1974"/>
      <c r="Q40" s="1974"/>
      <c r="R40" s="1974"/>
      <c r="S40" s="1975"/>
      <c r="T40" s="1972" t="s">
        <v>2093</v>
      </c>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2094</v>
      </c>
      <c r="B42" s="2047"/>
      <c r="C42" s="2048"/>
      <c r="D42" s="2061" t="s">
        <v>2095</v>
      </c>
      <c r="E42" s="2047"/>
      <c r="F42" s="2047"/>
      <c r="G42" s="2047"/>
      <c r="H42" s="2048"/>
      <c r="I42" s="1967"/>
      <c r="J42" s="1963"/>
      <c r="K42" s="1963"/>
      <c r="L42" s="1963"/>
      <c r="M42" s="1963"/>
      <c r="N42" s="1963"/>
      <c r="O42" s="1964"/>
      <c r="P42" s="1962"/>
      <c r="Q42" s="1963"/>
      <c r="R42" s="1963"/>
      <c r="S42" s="1964"/>
      <c r="T42" s="1967" t="s">
        <v>2096</v>
      </c>
      <c r="U42" s="1963"/>
      <c r="V42" s="1963"/>
      <c r="W42" s="1964"/>
      <c r="X42" s="1962" t="s">
        <v>2097</v>
      </c>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0" zoomScale="110" zoomScaleNormal="110" workbookViewId="0">
      <selection activeCell="A13" sqref="A12:H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2108</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2107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t="s">
        <v>2110</v>
      </c>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17949538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2.9499999999999998E-2</v>
      </c>
      <c r="E10" s="356" t="s">
        <v>1062</v>
      </c>
      <c r="F10" s="355">
        <v>5.0000000000000001E-3</v>
      </c>
      <c r="G10" s="356" t="s">
        <v>1062</v>
      </c>
      <c r="H10" s="355">
        <v>2E-3</v>
      </c>
      <c r="I10" s="356" t="s">
        <v>1063</v>
      </c>
      <c r="J10" s="1754">
        <f>ROUND(D10+F10+H10,5)</f>
        <v>3.6499999999999998E-2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5313599</v>
      </c>
      <c r="E16" s="356"/>
      <c r="F16" s="1755">
        <f>SUM('Acct Summary 7-8'!C17,'Acct Summary 7-8'!D17,'Acct Summary 7-8'!F17)</f>
        <v>4922094</v>
      </c>
      <c r="G16" s="356"/>
      <c r="H16" s="1755">
        <f>SUM(D16-F16)</f>
        <v>391505</v>
      </c>
      <c r="I16" s="222"/>
      <c r="J16" s="1755">
        <f>SUM('Acct Summary 7-8'!C81,'Acct Summary 7-8'!D81,'Acct Summary 7-8'!F81,'Acct Summary 7-8'!I81)</f>
        <v>1114889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2477036.2440000004</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A13" sqref="A12:H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Hailton CCSD 328</v>
      </c>
      <c r="E7" s="391"/>
      <c r="G7" s="252"/>
      <c r="H7" s="387"/>
      <c r="I7" s="387"/>
      <c r="J7" s="387"/>
      <c r="K7" s="387"/>
      <c r="L7" s="329"/>
      <c r="M7" s="329"/>
      <c r="N7" s="329"/>
      <c r="O7" s="329"/>
      <c r="P7" s="329"/>
    </row>
    <row r="8" spans="1:18" ht="12.75" x14ac:dyDescent="0.2">
      <c r="A8" s="329"/>
      <c r="B8" s="329"/>
      <c r="C8" s="389" t="s">
        <v>1187</v>
      </c>
      <c r="D8" s="392">
        <f>COVER!A13</f>
        <v>26034328024</v>
      </c>
      <c r="E8" s="393"/>
      <c r="G8" s="329"/>
      <c r="H8" s="329"/>
      <c r="I8" s="329"/>
      <c r="J8" s="329"/>
      <c r="K8" s="329"/>
      <c r="L8" s="329"/>
      <c r="M8" s="329"/>
      <c r="N8" s="329"/>
      <c r="O8" s="329"/>
      <c r="P8" s="329"/>
    </row>
    <row r="9" spans="1:18" ht="12.75" x14ac:dyDescent="0.2">
      <c r="A9" s="329"/>
      <c r="B9" s="329"/>
      <c r="C9" s="389" t="s">
        <v>737</v>
      </c>
      <c r="D9" s="394" t="str">
        <f>COVER!A15</f>
        <v>Hancock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1114889</v>
      </c>
      <c r="I12" s="404"/>
      <c r="J12" s="404"/>
      <c r="K12" s="405">
        <f>TRUNC((H12/H13*100000),5)/100000</f>
        <v>0.2098180536</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5313599</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4922094</v>
      </c>
      <c r="I17" s="404"/>
      <c r="J17" s="416"/>
      <c r="K17" s="405">
        <f>TRUNC((H17/H18*100000),5)/100000</f>
        <v>0.9263201833000001</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5313599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1042438</v>
      </c>
      <c r="I24" s="422"/>
      <c r="J24" s="422"/>
      <c r="K24" s="423">
        <f>TRUNC(((H24/H25*100000)/100000),2)</f>
        <v>76.239999999999995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13672.483329999999</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556884.41645000002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75000</v>
      </c>
      <c r="I32" s="420"/>
      <c r="J32" s="420"/>
      <c r="K32" s="423">
        <f>TRUNC(100-((((H32/H33*100))*100)/100),2)</f>
        <v>96.97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2477036.2440000004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3.4499999999999997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13" sqref="A12:H15"/>
      <selection pane="bottomLeft" activeCell="A13" sqref="A12:H1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299751</v>
      </c>
      <c r="D4" s="466">
        <v>226707</v>
      </c>
      <c r="E4" s="466">
        <v>3499</v>
      </c>
      <c r="F4" s="466">
        <v>64695</v>
      </c>
      <c r="G4" s="466">
        <v>182564</v>
      </c>
      <c r="H4" s="466"/>
      <c r="I4" s="466">
        <v>451285</v>
      </c>
      <c r="J4" s="467">
        <v>66143</v>
      </c>
      <c r="K4" s="466">
        <v>128054</v>
      </c>
      <c r="L4" s="466">
        <v>140373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323581</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299751</v>
      </c>
      <c r="D13" s="1759">
        <f t="shared" ref="D13:L13" si="0">SUM(D4:D12)</f>
        <v>226707</v>
      </c>
      <c r="E13" s="1759">
        <f t="shared" si="0"/>
        <v>3499</v>
      </c>
      <c r="F13" s="1759">
        <f t="shared" si="0"/>
        <v>64695</v>
      </c>
      <c r="G13" s="1759">
        <f t="shared" si="0"/>
        <v>182564</v>
      </c>
      <c r="H13" s="1759">
        <f t="shared" si="0"/>
        <v>0</v>
      </c>
      <c r="I13" s="1759">
        <f t="shared" si="0"/>
        <v>774866</v>
      </c>
      <c r="J13" s="1759">
        <f t="shared" si="0"/>
        <v>66143</v>
      </c>
      <c r="K13" s="1759">
        <f t="shared" si="0"/>
        <v>128054</v>
      </c>
      <c r="L13" s="1759">
        <f t="shared" si="0"/>
        <v>140373</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306843</v>
      </c>
      <c r="N16" s="484"/>
    </row>
    <row r="17" spans="1:14" s="485" customFormat="1" ht="12.75" customHeight="1" x14ac:dyDescent="0.2">
      <c r="A17" s="482" t="s">
        <v>1470</v>
      </c>
      <c r="B17" s="483">
        <v>230</v>
      </c>
      <c r="C17" s="477"/>
      <c r="D17" s="477"/>
      <c r="E17" s="477"/>
      <c r="F17" s="477"/>
      <c r="G17" s="477"/>
      <c r="H17" s="477"/>
      <c r="I17" s="477"/>
      <c r="J17" s="477"/>
      <c r="K17" s="477"/>
      <c r="L17" s="477"/>
      <c r="M17" s="467">
        <v>2696870</v>
      </c>
      <c r="N17" s="484"/>
    </row>
    <row r="18" spans="1:14" s="485" customFormat="1" ht="12.75" customHeight="1" x14ac:dyDescent="0.2">
      <c r="A18" s="482" t="s">
        <v>1471</v>
      </c>
      <c r="B18" s="483">
        <v>240</v>
      </c>
      <c r="C18" s="477"/>
      <c r="D18" s="477"/>
      <c r="E18" s="477"/>
      <c r="F18" s="477"/>
      <c r="G18" s="477"/>
      <c r="H18" s="477"/>
      <c r="I18" s="477"/>
      <c r="J18" s="477"/>
      <c r="K18" s="477"/>
      <c r="L18" s="477"/>
      <c r="M18" s="467">
        <v>21689</v>
      </c>
      <c r="N18" s="484"/>
    </row>
    <row r="19" spans="1:14" s="485" customFormat="1" ht="12.75" customHeight="1" x14ac:dyDescent="0.2">
      <c r="A19" s="482" t="s">
        <v>1472</v>
      </c>
      <c r="B19" s="483">
        <v>250</v>
      </c>
      <c r="C19" s="477"/>
      <c r="D19" s="477"/>
      <c r="E19" s="477"/>
      <c r="F19" s="477"/>
      <c r="G19" s="477"/>
      <c r="H19" s="477"/>
      <c r="I19" s="477"/>
      <c r="J19" s="477"/>
      <c r="K19" s="477"/>
      <c r="L19" s="477"/>
      <c r="M19" s="467">
        <v>430860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3499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71501</v>
      </c>
    </row>
    <row r="23" spans="1:14" ht="13.5" customHeight="1" thickBot="1" x14ac:dyDescent="0.25">
      <c r="A23" s="1758" t="s">
        <v>664</v>
      </c>
      <c r="B23" s="1763"/>
      <c r="C23" s="468"/>
      <c r="D23" s="468"/>
      <c r="E23" s="468"/>
      <c r="F23" s="468"/>
      <c r="G23" s="468"/>
      <c r="H23" s="468"/>
      <c r="I23" s="468"/>
      <c r="J23" s="468"/>
      <c r="K23" s="468"/>
      <c r="L23" s="468"/>
      <c r="M23" s="1710">
        <f>SUM(M15:M22)</f>
        <v>3456262</v>
      </c>
      <c r="N23" s="1710">
        <f>SUM(N21:N22)</f>
        <v>75000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v>250000</v>
      </c>
      <c r="D25" s="478"/>
      <c r="E25" s="478">
        <v>73581</v>
      </c>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975</v>
      </c>
      <c r="D31" s="467"/>
      <c r="E31" s="467"/>
      <c r="F31" s="466">
        <v>155</v>
      </c>
      <c r="G31" s="467"/>
      <c r="H31" s="467"/>
      <c r="I31" s="467"/>
      <c r="J31" s="467">
        <v>-104</v>
      </c>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140373</v>
      </c>
      <c r="M33" s="468"/>
      <c r="N33" s="469"/>
    </row>
    <row r="34" spans="1:14" ht="13.5" customHeight="1" thickBot="1" x14ac:dyDescent="0.25">
      <c r="A34" s="1760" t="s">
        <v>675</v>
      </c>
      <c r="B34" s="1761"/>
      <c r="C34" s="1762">
        <f>SUM(C25:C33)</f>
        <v>250975</v>
      </c>
      <c r="D34" s="1762">
        <f t="shared" ref="D34:K34" si="1">SUM(D25:D33)</f>
        <v>0</v>
      </c>
      <c r="E34" s="1762">
        <f t="shared" si="1"/>
        <v>73581</v>
      </c>
      <c r="F34" s="1762">
        <f t="shared" si="1"/>
        <v>155</v>
      </c>
      <c r="G34" s="1762">
        <f t="shared" si="1"/>
        <v>0</v>
      </c>
      <c r="H34" s="1762">
        <f t="shared" si="1"/>
        <v>0</v>
      </c>
      <c r="I34" s="1762">
        <f t="shared" si="1"/>
        <v>0</v>
      </c>
      <c r="J34" s="1762">
        <f t="shared" si="1"/>
        <v>-104</v>
      </c>
      <c r="K34" s="1762">
        <f t="shared" si="1"/>
        <v>0</v>
      </c>
      <c r="L34" s="1743">
        <f>SUM(L33)</f>
        <v>140373</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75000</v>
      </c>
    </row>
    <row r="37" spans="1:14" ht="13.5" thickBot="1" x14ac:dyDescent="0.25">
      <c r="A37" s="1758" t="s">
        <v>674</v>
      </c>
      <c r="B37" s="1763"/>
      <c r="C37" s="477"/>
      <c r="D37" s="477"/>
      <c r="E37" s="477"/>
      <c r="F37" s="477"/>
      <c r="G37" s="477"/>
      <c r="H37" s="477"/>
      <c r="I37" s="477"/>
      <c r="J37" s="477"/>
      <c r="K37" s="477"/>
      <c r="L37" s="480"/>
      <c r="M37" s="468"/>
      <c r="N37" s="1710">
        <f>SUM(N36:N36)</f>
        <v>75000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48776</v>
      </c>
      <c r="D39" s="466">
        <v>226707</v>
      </c>
      <c r="E39" s="466">
        <v>-70082</v>
      </c>
      <c r="F39" s="466">
        <v>64540</v>
      </c>
      <c r="G39" s="466">
        <v>182564</v>
      </c>
      <c r="H39" s="466"/>
      <c r="I39" s="466">
        <v>774866</v>
      </c>
      <c r="J39" s="467">
        <v>66247</v>
      </c>
      <c r="K39" s="466">
        <v>128054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3456262</v>
      </c>
      <c r="N40" s="497"/>
    </row>
    <row r="41" spans="1:14" ht="13.5" customHeight="1" thickBot="1" x14ac:dyDescent="0.25">
      <c r="A41" s="1758" t="s">
        <v>676</v>
      </c>
      <c r="B41" s="1728"/>
      <c r="C41" s="1710">
        <f>(SUM(C34,C37,C38,C39))</f>
        <v>299751</v>
      </c>
      <c r="D41" s="1710">
        <f t="shared" ref="D41:L41" si="2">SUM(D34,D37,D38:D39)</f>
        <v>226707</v>
      </c>
      <c r="E41" s="1710">
        <f t="shared" si="2"/>
        <v>3499</v>
      </c>
      <c r="F41" s="1710">
        <f t="shared" si="2"/>
        <v>64695</v>
      </c>
      <c r="G41" s="1710">
        <f t="shared" si="2"/>
        <v>182564</v>
      </c>
      <c r="H41" s="1710">
        <f t="shared" si="2"/>
        <v>0</v>
      </c>
      <c r="I41" s="1710">
        <f t="shared" si="2"/>
        <v>774866</v>
      </c>
      <c r="J41" s="1710">
        <f t="shared" si="2"/>
        <v>66143</v>
      </c>
      <c r="K41" s="1710">
        <f t="shared" si="2"/>
        <v>128054</v>
      </c>
      <c r="L41" s="1710">
        <f t="shared" si="2"/>
        <v>140373</v>
      </c>
      <c r="M41" s="1710">
        <f>SUM(M40)</f>
        <v>3456262</v>
      </c>
      <c r="N41" s="1710">
        <f>SUM(N37)</f>
        <v>75000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13" sqref="A12:H15"/>
      <selection pane="bottomLeft" activeCell="A13" sqref="A12:H1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2391827</v>
      </c>
      <c r="D4" s="1764">
        <f>'Revenues 9-14'!D109</f>
        <v>434945</v>
      </c>
      <c r="E4" s="1764">
        <f>'Revenues 9-14'!E109</f>
        <v>80472</v>
      </c>
      <c r="F4" s="1764">
        <f>'Revenues 9-14'!F109</f>
        <v>150507</v>
      </c>
      <c r="G4" s="1764">
        <f>'Revenues 9-14'!G109</f>
        <v>159942</v>
      </c>
      <c r="H4" s="1764">
        <f>'Revenues 9-14'!H109</f>
        <v>0</v>
      </c>
      <c r="I4" s="1764">
        <f>'Revenues 9-14'!I109</f>
        <v>36107</v>
      </c>
      <c r="J4" s="1764">
        <f>'Revenues 9-14'!J109</f>
        <v>203918</v>
      </c>
      <c r="K4" s="1764">
        <f>'Revenues 9-14'!K109</f>
        <v>35980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1839813</v>
      </c>
      <c r="D6" s="1765">
        <f>'Revenues 9-14'!D173</f>
        <v>0</v>
      </c>
      <c r="E6" s="1765">
        <f>'Revenues 9-14'!E173</f>
        <v>0</v>
      </c>
      <c r="F6" s="1765">
        <f>'Revenues 9-14'!F173</f>
        <v>114955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345445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4577085</v>
      </c>
      <c r="D8" s="1710">
        <f t="shared" ref="D8:K8" si="0">SUM(D4:D7)</f>
        <v>434945</v>
      </c>
      <c r="E8" s="1710">
        <f t="shared" si="0"/>
        <v>80472</v>
      </c>
      <c r="F8" s="1710">
        <f t="shared" si="0"/>
        <v>265462</v>
      </c>
      <c r="G8" s="1710">
        <f t="shared" si="0"/>
        <v>159942</v>
      </c>
      <c r="H8" s="1710">
        <f t="shared" si="0"/>
        <v>0</v>
      </c>
      <c r="I8" s="1710">
        <f t="shared" si="0"/>
        <v>36107</v>
      </c>
      <c r="J8" s="1710">
        <f t="shared" si="0"/>
        <v>203918</v>
      </c>
      <c r="K8" s="1710">
        <f t="shared" si="0"/>
        <v>35980</v>
      </c>
      <c r="L8" s="347"/>
    </row>
    <row r="9" spans="1:13" ht="15.75" thickTop="1" x14ac:dyDescent="0.2">
      <c r="A9" s="514" t="s">
        <v>1752</v>
      </c>
      <c r="B9" s="515">
        <v>3998</v>
      </c>
      <c r="C9" s="481">
        <v>1718434</v>
      </c>
      <c r="D9" s="516"/>
      <c r="E9" s="481"/>
      <c r="F9" s="481"/>
      <c r="G9" s="517"/>
      <c r="H9" s="481"/>
      <c r="I9" s="509" t="s">
        <v>1231</v>
      </c>
      <c r="J9" s="478"/>
      <c r="K9" s="481"/>
      <c r="L9" s="347"/>
    </row>
    <row r="10" spans="1:13" s="519" customFormat="1" ht="13.5" thickBot="1" x14ac:dyDescent="0.25">
      <c r="A10" s="1758" t="s">
        <v>1235</v>
      </c>
      <c r="B10" s="1731"/>
      <c r="C10" s="1710">
        <f>SUM(C8:C9)</f>
        <v>6295519</v>
      </c>
      <c r="D10" s="1710">
        <f t="shared" ref="D10:K10" si="1">SUM(D8:D9)</f>
        <v>434945</v>
      </c>
      <c r="E10" s="1710">
        <f t="shared" si="1"/>
        <v>80472</v>
      </c>
      <c r="F10" s="1710">
        <f t="shared" si="1"/>
        <v>265462</v>
      </c>
      <c r="G10" s="1710">
        <f t="shared" si="1"/>
        <v>159942</v>
      </c>
      <c r="H10" s="1710">
        <f t="shared" si="1"/>
        <v>0</v>
      </c>
      <c r="I10" s="1710">
        <f t="shared" si="1"/>
        <v>36107</v>
      </c>
      <c r="J10" s="1710">
        <f t="shared" si="1"/>
        <v>203918</v>
      </c>
      <c r="K10" s="1710">
        <f t="shared" si="1"/>
        <v>35980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2732258</v>
      </c>
      <c r="D12" s="520" t="s">
        <v>1231</v>
      </c>
      <c r="E12" s="468" t="s">
        <v>1231</v>
      </c>
      <c r="F12" s="468" t="s">
        <v>1231</v>
      </c>
      <c r="G12" s="1764">
        <f>'Expenditures 15-22'!K229</f>
        <v>47497</v>
      </c>
      <c r="H12" s="521"/>
      <c r="I12" s="468" t="s">
        <v>1231</v>
      </c>
      <c r="J12" s="468" t="s">
        <v>1231</v>
      </c>
      <c r="K12" s="521" t="s">
        <v>1231</v>
      </c>
      <c r="L12" s="347"/>
    </row>
    <row r="13" spans="1:13" ht="15.75" customHeight="1" x14ac:dyDescent="0.2">
      <c r="A13" s="1598" t="s">
        <v>477</v>
      </c>
      <c r="B13" s="1600">
        <v>2000</v>
      </c>
      <c r="C13" s="1765">
        <f>'Expenditures 15-22'!K74</f>
        <v>1039918</v>
      </c>
      <c r="D13" s="1765">
        <f>'Expenditures 15-22'!K129</f>
        <v>429516</v>
      </c>
      <c r="E13" s="469" t="s">
        <v>1231</v>
      </c>
      <c r="F13" s="1765">
        <f>'Expenditures 15-22'!K184</f>
        <v>254263</v>
      </c>
      <c r="G13" s="1765">
        <f>'Expenditures 15-22'!K279</f>
        <v>95061</v>
      </c>
      <c r="H13" s="1765">
        <f>'Expenditures 15-22'!K303</f>
        <v>0</v>
      </c>
      <c r="I13" s="468" t="s">
        <v>1231</v>
      </c>
      <c r="J13" s="1765">
        <f>'Expenditures 15-22'!K330</f>
        <v>163657</v>
      </c>
      <c r="K13" s="1769">
        <f>'Expenditures 15-22'!K352</f>
        <v>10908</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466139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76663</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4238315</v>
      </c>
      <c r="D17" s="1710">
        <f t="shared" si="2"/>
        <v>429516</v>
      </c>
      <c r="E17" s="1710">
        <f t="shared" si="2"/>
        <v>76663</v>
      </c>
      <c r="F17" s="1710">
        <f t="shared" si="2"/>
        <v>254263</v>
      </c>
      <c r="G17" s="1710">
        <f t="shared" si="2"/>
        <v>142558</v>
      </c>
      <c r="H17" s="1710">
        <f t="shared" si="2"/>
        <v>0</v>
      </c>
      <c r="I17" s="468"/>
      <c r="J17" s="1710">
        <f>SUM(J12:J16)</f>
        <v>163657</v>
      </c>
      <c r="K17" s="1710">
        <f>SUM(K12:K16)</f>
        <v>10908</v>
      </c>
      <c r="L17" s="347"/>
    </row>
    <row r="18" spans="1:12" ht="15" customHeight="1" thickTop="1" x14ac:dyDescent="0.2">
      <c r="A18" s="1766" t="s">
        <v>1753</v>
      </c>
      <c r="B18" s="1767">
        <v>4180</v>
      </c>
      <c r="C18" s="1764">
        <f t="shared" ref="C18:H18" si="3">C9</f>
        <v>1718434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5956749</v>
      </c>
      <c r="D19" s="1710">
        <f t="shared" si="4"/>
        <v>429516</v>
      </c>
      <c r="E19" s="1710">
        <f t="shared" si="4"/>
        <v>76663</v>
      </c>
      <c r="F19" s="1710">
        <f t="shared" si="4"/>
        <v>254263</v>
      </c>
      <c r="G19" s="1710">
        <f t="shared" si="4"/>
        <v>142558</v>
      </c>
      <c r="H19" s="1710">
        <f t="shared" si="4"/>
        <v>0</v>
      </c>
      <c r="I19" s="468"/>
      <c r="J19" s="1710">
        <f>SUM(J17:J18)</f>
        <v>163657</v>
      </c>
      <c r="K19" s="1710">
        <f>SUM(K17:K18)</f>
        <v>10908</v>
      </c>
      <c r="L19" s="347"/>
    </row>
    <row r="20" spans="1:12" ht="16.5" thickTop="1" thickBot="1" x14ac:dyDescent="0.25">
      <c r="A20" s="2142" t="s">
        <v>1754</v>
      </c>
      <c r="B20" s="2143"/>
      <c r="C20" s="1768">
        <f>C8-C17</f>
        <v>338770</v>
      </c>
      <c r="D20" s="1768">
        <f t="shared" ref="D20:K20" si="5">D8-D17</f>
        <v>5429</v>
      </c>
      <c r="E20" s="1768">
        <f t="shared" si="5"/>
        <v>3809</v>
      </c>
      <c r="F20" s="1768">
        <f t="shared" si="5"/>
        <v>11199</v>
      </c>
      <c r="G20" s="1768">
        <f t="shared" si="5"/>
        <v>17384</v>
      </c>
      <c r="H20" s="1768">
        <f t="shared" si="5"/>
        <v>0</v>
      </c>
      <c r="I20" s="1768">
        <f t="shared" si="5"/>
        <v>36107</v>
      </c>
      <c r="J20" s="1768">
        <f t="shared" si="5"/>
        <v>40261</v>
      </c>
      <c r="K20" s="1768">
        <f t="shared" si="5"/>
        <v>25072</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338770</v>
      </c>
      <c r="D78" s="1724">
        <f t="shared" si="9"/>
        <v>5429</v>
      </c>
      <c r="E78" s="1724">
        <f t="shared" si="9"/>
        <v>3809</v>
      </c>
      <c r="F78" s="1724">
        <f t="shared" si="9"/>
        <v>11199</v>
      </c>
      <c r="G78" s="1724">
        <f t="shared" si="9"/>
        <v>17384</v>
      </c>
      <c r="H78" s="1724">
        <f t="shared" si="9"/>
        <v>0</v>
      </c>
      <c r="I78" s="1724">
        <f t="shared" si="9"/>
        <v>36107</v>
      </c>
      <c r="J78" s="1724">
        <f t="shared" si="9"/>
        <v>40261</v>
      </c>
      <c r="K78" s="1724">
        <f t="shared" si="9"/>
        <v>25072</v>
      </c>
      <c r="L78" s="533"/>
    </row>
    <row r="79" spans="1:12" ht="13.5" thickTop="1" x14ac:dyDescent="0.2">
      <c r="A79" s="1516" t="s">
        <v>2071</v>
      </c>
      <c r="B79" s="534"/>
      <c r="C79" s="478">
        <v>-289994</v>
      </c>
      <c r="D79" s="535">
        <v>221278</v>
      </c>
      <c r="E79" s="535">
        <v>-73891</v>
      </c>
      <c r="F79" s="535">
        <v>53341</v>
      </c>
      <c r="G79" s="535">
        <v>165180</v>
      </c>
      <c r="H79" s="535">
        <v>0</v>
      </c>
      <c r="I79" s="535">
        <v>738759</v>
      </c>
      <c r="J79" s="535">
        <v>25986</v>
      </c>
      <c r="K79" s="535">
        <v>102982</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2072</v>
      </c>
      <c r="B81" s="2137"/>
      <c r="C81" s="1710">
        <f>(SUM(C78:C80))</f>
        <v>48776</v>
      </c>
      <c r="D81" s="1710">
        <f>SUM(D78:D80)</f>
        <v>226707</v>
      </c>
      <c r="E81" s="1710">
        <f t="shared" ref="E81:K81" si="10">SUM(E78:E80)</f>
        <v>-70082</v>
      </c>
      <c r="F81" s="1710">
        <f t="shared" si="10"/>
        <v>64540</v>
      </c>
      <c r="G81" s="1710">
        <f t="shared" si="10"/>
        <v>182564</v>
      </c>
      <c r="H81" s="1710">
        <f t="shared" si="10"/>
        <v>0</v>
      </c>
      <c r="I81" s="1710">
        <f t="shared" si="10"/>
        <v>774866</v>
      </c>
      <c r="J81" s="1710">
        <f t="shared" si="10"/>
        <v>66247</v>
      </c>
      <c r="K81" s="1710">
        <f t="shared" si="10"/>
        <v>128054</v>
      </c>
      <c r="L81" s="347"/>
    </row>
    <row r="82" spans="1:12" ht="0.75" customHeight="1" thickTop="1" thickBot="1" x14ac:dyDescent="0.25">
      <c r="A82" s="536" t="s">
        <v>361</v>
      </c>
      <c r="B82" s="537"/>
      <c r="C82" s="538">
        <f>(C81-C79)</f>
        <v>338770</v>
      </c>
      <c r="D82" s="538">
        <f t="shared" ref="D82:K82" si="11">(D81-D79)</f>
        <v>5429</v>
      </c>
      <c r="E82" s="538">
        <f t="shared" si="11"/>
        <v>3809</v>
      </c>
      <c r="F82" s="538">
        <f t="shared" si="11"/>
        <v>11199</v>
      </c>
      <c r="G82" s="538">
        <f t="shared" si="11"/>
        <v>17384</v>
      </c>
      <c r="H82" s="538">
        <f t="shared" si="11"/>
        <v>0</v>
      </c>
      <c r="I82" s="538">
        <f t="shared" si="11"/>
        <v>36107</v>
      </c>
      <c r="J82" s="538">
        <f t="shared" si="11"/>
        <v>40261</v>
      </c>
      <c r="K82" s="538">
        <f t="shared" si="11"/>
        <v>25072</v>
      </c>
    </row>
    <row r="83" spans="1:12" ht="14.25" hidden="1" thickTop="1" thickBot="1" x14ac:dyDescent="0.25">
      <c r="A83" s="539" t="s">
        <v>362</v>
      </c>
      <c r="B83" s="464"/>
      <c r="C83" s="540">
        <f>C82/C81</f>
        <v>6.9454239790060681</v>
      </c>
      <c r="D83" s="540">
        <f t="shared" ref="D83:K83" si="12">D82/D81</f>
        <v>2.3947209393622604E-2</v>
      </c>
      <c r="E83" s="540">
        <f t="shared" si="12"/>
        <v>-5.4350617847664165E-2</v>
      </c>
      <c r="F83" s="540">
        <f t="shared" si="12"/>
        <v>0.17352029748992873</v>
      </c>
      <c r="G83" s="540">
        <f t="shared" si="12"/>
        <v>9.5221401809776299E-2</v>
      </c>
      <c r="H83" s="540" t="e">
        <f t="shared" si="12"/>
        <v>#DIV/0!</v>
      </c>
      <c r="I83" s="540">
        <f t="shared" si="12"/>
        <v>4.6597734317933681E-2</v>
      </c>
      <c r="J83" s="540">
        <f t="shared" si="12"/>
        <v>0.60774072788201727</v>
      </c>
      <c r="K83" s="540">
        <f t="shared" si="12"/>
        <v>0.19579240008121573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3" sqref="A12:H15"/>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2115254</v>
      </c>
      <c r="D5" s="481">
        <v>358518</v>
      </c>
      <c r="E5" s="466">
        <v>80358</v>
      </c>
      <c r="F5" s="548">
        <v>143409</v>
      </c>
      <c r="G5" s="466">
        <v>74828</v>
      </c>
      <c r="H5" s="466"/>
      <c r="I5" s="466">
        <v>35853</v>
      </c>
      <c r="J5" s="467">
        <v>189562</v>
      </c>
      <c r="K5" s="466">
        <v>35853</v>
      </c>
    </row>
    <row r="6" spans="1:12" ht="15" x14ac:dyDescent="0.2">
      <c r="A6" s="463" t="s">
        <v>1761</v>
      </c>
      <c r="B6" s="470">
        <v>1130</v>
      </c>
      <c r="C6" s="466">
        <v>35853</v>
      </c>
      <c r="D6" s="466"/>
      <c r="E6" s="475"/>
      <c r="F6" s="475"/>
      <c r="G6" s="468"/>
      <c r="H6" s="468"/>
      <c r="I6" s="468"/>
      <c r="J6" s="468"/>
      <c r="K6" s="468"/>
    </row>
    <row r="7" spans="1:12" x14ac:dyDescent="0.2">
      <c r="A7" s="463" t="s">
        <v>112</v>
      </c>
      <c r="B7" s="549">
        <v>1140</v>
      </c>
      <c r="C7" s="466">
        <v>28682</v>
      </c>
      <c r="D7" s="466"/>
      <c r="E7" s="468"/>
      <c r="F7" s="467"/>
      <c r="G7" s="467"/>
      <c r="H7" s="467"/>
      <c r="I7" s="468"/>
      <c r="J7" s="468"/>
      <c r="K7" s="468"/>
    </row>
    <row r="8" spans="1:12" x14ac:dyDescent="0.2">
      <c r="A8" s="463" t="s">
        <v>433</v>
      </c>
      <c r="B8" s="470">
        <v>1150</v>
      </c>
      <c r="C8" s="475"/>
      <c r="D8" s="475"/>
      <c r="E8" s="477"/>
      <c r="F8" s="477"/>
      <c r="G8" s="481">
        <v>84804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2179789</v>
      </c>
      <c r="D12" s="1729">
        <f t="shared" si="0"/>
        <v>358518</v>
      </c>
      <c r="E12" s="1729">
        <f t="shared" si="0"/>
        <v>80358</v>
      </c>
      <c r="F12" s="1729">
        <f t="shared" si="0"/>
        <v>143409</v>
      </c>
      <c r="G12" s="1729">
        <f t="shared" si="0"/>
        <v>159632</v>
      </c>
      <c r="H12" s="1729">
        <f t="shared" si="0"/>
        <v>0</v>
      </c>
      <c r="I12" s="1729">
        <f t="shared" si="0"/>
        <v>35853</v>
      </c>
      <c r="J12" s="1729">
        <f t="shared" si="0"/>
        <v>189562</v>
      </c>
      <c r="K12" s="1710">
        <f t="shared" si="0"/>
        <v>35853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2973</v>
      </c>
      <c r="D14" s="466">
        <v>489</v>
      </c>
      <c r="E14" s="466">
        <v>110</v>
      </c>
      <c r="F14" s="466">
        <v>196</v>
      </c>
      <c r="G14" s="466">
        <v>218</v>
      </c>
      <c r="H14" s="466"/>
      <c r="I14" s="466">
        <v>49</v>
      </c>
      <c r="J14" s="467">
        <v>259</v>
      </c>
      <c r="K14" s="466">
        <v>49</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62403</v>
      </c>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2973</v>
      </c>
      <c r="D18" s="1732">
        <f t="shared" ref="D18:K18" si="1">SUM(D14:D17)</f>
        <v>62892</v>
      </c>
      <c r="E18" s="1732">
        <f t="shared" si="1"/>
        <v>110</v>
      </c>
      <c r="F18" s="1732">
        <f t="shared" si="1"/>
        <v>196</v>
      </c>
      <c r="G18" s="1732">
        <f t="shared" si="1"/>
        <v>218</v>
      </c>
      <c r="H18" s="1732">
        <f t="shared" si="1"/>
        <v>0</v>
      </c>
      <c r="I18" s="1732">
        <f t="shared" si="1"/>
        <v>49</v>
      </c>
      <c r="J18" s="1732">
        <f t="shared" si="1"/>
        <v>259</v>
      </c>
      <c r="K18" s="1733">
        <f t="shared" si="1"/>
        <v>49</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231</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231</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1198</v>
      </c>
      <c r="D65" s="466">
        <v>63</v>
      </c>
      <c r="E65" s="466">
        <v>4</v>
      </c>
      <c r="F65" s="467">
        <v>18</v>
      </c>
      <c r="G65" s="466">
        <v>92</v>
      </c>
      <c r="H65" s="466"/>
      <c r="I65" s="466">
        <v>205</v>
      </c>
      <c r="J65" s="467">
        <v>7</v>
      </c>
      <c r="K65" s="466">
        <v>78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1198</v>
      </c>
      <c r="D67" s="1710">
        <f t="shared" ref="D67:K67" si="2">SUM(D65:D66)</f>
        <v>63</v>
      </c>
      <c r="E67" s="1710">
        <f t="shared" si="2"/>
        <v>4</v>
      </c>
      <c r="F67" s="1710">
        <f t="shared" si="2"/>
        <v>18</v>
      </c>
      <c r="G67" s="1710">
        <f t="shared" si="2"/>
        <v>92</v>
      </c>
      <c r="H67" s="1710">
        <f t="shared" si="2"/>
        <v>0</v>
      </c>
      <c r="I67" s="1710">
        <f t="shared" si="2"/>
        <v>205</v>
      </c>
      <c r="J67" s="1710">
        <f t="shared" si="2"/>
        <v>7</v>
      </c>
      <c r="K67" s="1710">
        <f t="shared" si="2"/>
        <v>78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65528</v>
      </c>
      <c r="D69" s="468"/>
      <c r="E69" s="468"/>
      <c r="F69" s="468"/>
      <c r="G69" s="468"/>
      <c r="H69" s="468"/>
      <c r="I69" s="468"/>
      <c r="J69" s="468"/>
      <c r="K69" s="468"/>
    </row>
    <row r="70" spans="1:11" ht="12.75" customHeight="1" x14ac:dyDescent="0.2">
      <c r="A70" s="463" t="s">
        <v>1054</v>
      </c>
      <c r="B70" s="470">
        <v>1612</v>
      </c>
      <c r="C70" s="551">
        <v>7872</v>
      </c>
      <c r="D70" s="468"/>
      <c r="E70" s="468"/>
      <c r="F70" s="468"/>
      <c r="G70" s="468"/>
      <c r="H70" s="468"/>
      <c r="I70" s="468"/>
      <c r="J70" s="468"/>
      <c r="K70" s="468"/>
    </row>
    <row r="71" spans="1:11" ht="12.75" customHeight="1" x14ac:dyDescent="0.2">
      <c r="A71" s="463" t="s">
        <v>291</v>
      </c>
      <c r="B71" s="470">
        <v>1613</v>
      </c>
      <c r="C71" s="551">
        <v>28005</v>
      </c>
      <c r="D71" s="468"/>
      <c r="E71" s="468"/>
      <c r="F71" s="468"/>
      <c r="G71" s="468"/>
      <c r="H71" s="468"/>
      <c r="I71" s="468"/>
      <c r="J71" s="468"/>
      <c r="K71" s="468"/>
    </row>
    <row r="72" spans="1:11" ht="12.75" customHeight="1" x14ac:dyDescent="0.2">
      <c r="A72" s="463" t="s">
        <v>24</v>
      </c>
      <c r="B72" s="470">
        <v>1614</v>
      </c>
      <c r="C72" s="551">
        <v>5971</v>
      </c>
      <c r="D72" s="468"/>
      <c r="E72" s="468"/>
      <c r="F72" s="468"/>
      <c r="G72" s="468"/>
      <c r="H72" s="468"/>
      <c r="I72" s="468"/>
      <c r="J72" s="468"/>
      <c r="K72" s="468"/>
    </row>
    <row r="73" spans="1:11" ht="12.75" customHeight="1" x14ac:dyDescent="0.2">
      <c r="A73" s="463" t="s">
        <v>1055</v>
      </c>
      <c r="B73" s="470">
        <v>1620</v>
      </c>
      <c r="C73" s="551">
        <v>3524</v>
      </c>
      <c r="D73" s="468"/>
      <c r="E73" s="468"/>
      <c r="F73" s="468"/>
      <c r="G73" s="468"/>
      <c r="H73" s="468"/>
      <c r="I73" s="468"/>
      <c r="J73" s="468"/>
      <c r="K73" s="468"/>
    </row>
    <row r="74" spans="1:11" ht="12.75" customHeight="1" x14ac:dyDescent="0.2">
      <c r="A74" s="463" t="s">
        <v>25</v>
      </c>
      <c r="B74" s="470">
        <v>1690</v>
      </c>
      <c r="C74" s="551">
        <v>138</v>
      </c>
      <c r="D74" s="468"/>
      <c r="E74" s="468"/>
      <c r="F74" s="468"/>
      <c r="G74" s="468"/>
      <c r="H74" s="468"/>
      <c r="I74" s="468"/>
      <c r="J74" s="468"/>
      <c r="K74" s="468"/>
    </row>
    <row r="75" spans="1:11" ht="12.75" customHeight="1" thickBot="1" x14ac:dyDescent="0.25">
      <c r="A75" s="1730" t="s">
        <v>569</v>
      </c>
      <c r="B75" s="1731"/>
      <c r="C75" s="1710">
        <f>SUM(C69:C74)</f>
        <v>111038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31351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31351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12435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12435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13472</v>
      </c>
      <c r="E95" s="521"/>
      <c r="F95" s="521"/>
      <c r="G95" s="521"/>
      <c r="H95" s="521"/>
      <c r="I95" s="521"/>
      <c r="J95" s="521"/>
      <c r="K95" s="521"/>
    </row>
    <row r="96" spans="1:11" ht="12.75" customHeight="1" x14ac:dyDescent="0.2">
      <c r="A96" s="463" t="s">
        <v>409</v>
      </c>
      <c r="B96" s="470">
        <v>1920</v>
      </c>
      <c r="C96" s="551">
        <v>8688</v>
      </c>
      <c r="D96" s="551"/>
      <c r="E96" s="479"/>
      <c r="F96" s="478"/>
      <c r="G96" s="478"/>
      <c r="H96" s="478"/>
      <c r="I96" s="478"/>
      <c r="J96" s="478"/>
      <c r="K96" s="478"/>
    </row>
    <row r="97" spans="1:12" ht="12.75" customHeight="1" x14ac:dyDescent="0.2">
      <c r="A97" s="1517" t="s">
        <v>262</v>
      </c>
      <c r="B97" s="559">
        <v>1930</v>
      </c>
      <c r="C97" s="489"/>
      <c r="D97" s="467"/>
      <c r="E97" s="474"/>
      <c r="F97" s="467">
        <v>6653</v>
      </c>
      <c r="G97" s="467"/>
      <c r="H97" s="467"/>
      <c r="I97" s="467"/>
      <c r="J97" s="467"/>
      <c r="K97" s="467"/>
    </row>
    <row r="98" spans="1:12" ht="12.75" customHeight="1" x14ac:dyDescent="0.2">
      <c r="A98" s="463" t="s">
        <v>198</v>
      </c>
      <c r="B98" s="470">
        <v>1940</v>
      </c>
      <c r="C98" s="489">
        <v>25783</v>
      </c>
      <c r="D98" s="466"/>
      <c r="E98" s="512"/>
      <c r="F98" s="466"/>
      <c r="G98" s="512"/>
      <c r="H98" s="512"/>
      <c r="I98" s="510"/>
      <c r="J98" s="512"/>
      <c r="K98" s="512"/>
    </row>
    <row r="99" spans="1:12" ht="12.75" customHeight="1" x14ac:dyDescent="0.2">
      <c r="A99" s="463" t="s">
        <v>875</v>
      </c>
      <c r="B99" s="470">
        <v>1950</v>
      </c>
      <c r="C99" s="489">
        <v>188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2400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705</v>
      </c>
      <c r="D106" s="489"/>
      <c r="E106" s="467"/>
      <c r="F106" s="467"/>
      <c r="G106" s="467"/>
      <c r="H106" s="467"/>
      <c r="I106" s="521"/>
      <c r="J106" s="467"/>
      <c r="K106" s="467"/>
    </row>
    <row r="107" spans="1:12" ht="12.75" customHeight="1" x14ac:dyDescent="0.2">
      <c r="A107" s="463" t="s">
        <v>80</v>
      </c>
      <c r="B107" s="470">
        <v>1999</v>
      </c>
      <c r="C107" s="551">
        <v>15279</v>
      </c>
      <c r="D107" s="466"/>
      <c r="E107" s="466"/>
      <c r="F107" s="466"/>
      <c r="G107" s="466"/>
      <c r="H107" s="466"/>
      <c r="I107" s="466"/>
      <c r="J107" s="467">
        <v>14090</v>
      </c>
      <c r="K107" s="466"/>
    </row>
    <row r="108" spans="1:12" ht="12.75" customHeight="1" thickBot="1" x14ac:dyDescent="0.25">
      <c r="A108" s="1730" t="s">
        <v>508</v>
      </c>
      <c r="B108" s="1734"/>
      <c r="C108" s="1729">
        <f>SUM(C95:C107)</f>
        <v>53043</v>
      </c>
      <c r="D108" s="1729">
        <f t="shared" ref="D108:K108" si="3">SUM(D95:D107)</f>
        <v>13472</v>
      </c>
      <c r="E108" s="1729">
        <f t="shared" si="3"/>
        <v>0</v>
      </c>
      <c r="F108" s="1729">
        <f t="shared" si="3"/>
        <v>6653</v>
      </c>
      <c r="G108" s="1729">
        <f t="shared" si="3"/>
        <v>0</v>
      </c>
      <c r="H108" s="1729">
        <f t="shared" si="3"/>
        <v>0</v>
      </c>
      <c r="I108" s="1729">
        <f t="shared" si="3"/>
        <v>0</v>
      </c>
      <c r="J108" s="1729">
        <f t="shared" si="3"/>
        <v>14090</v>
      </c>
      <c r="K108" s="1710">
        <f t="shared" si="3"/>
        <v>0</v>
      </c>
    </row>
    <row r="109" spans="1:12" ht="14.25" thickTop="1" thickBot="1" x14ac:dyDescent="0.25">
      <c r="A109" s="1735" t="s">
        <v>266</v>
      </c>
      <c r="B109" s="1736" t="s">
        <v>591</v>
      </c>
      <c r="C109" s="1737">
        <f t="shared" ref="C109:K109" si="4">SUM(C12,C18,C40,C63,C67,C75,C82,C93,C108,)</f>
        <v>2391827</v>
      </c>
      <c r="D109" s="1737">
        <f t="shared" si="4"/>
        <v>434945</v>
      </c>
      <c r="E109" s="1737">
        <f t="shared" si="4"/>
        <v>80472</v>
      </c>
      <c r="F109" s="1737">
        <f t="shared" si="4"/>
        <v>150507</v>
      </c>
      <c r="G109" s="1737">
        <f t="shared" si="4"/>
        <v>159942</v>
      </c>
      <c r="H109" s="1737">
        <f t="shared" si="4"/>
        <v>0</v>
      </c>
      <c r="I109" s="1737">
        <f t="shared" si="4"/>
        <v>36107</v>
      </c>
      <c r="J109" s="1737">
        <f t="shared" si="4"/>
        <v>203918</v>
      </c>
      <c r="K109" s="1724">
        <f t="shared" si="4"/>
        <v>35980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1593858</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1593858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37597</v>
      </c>
      <c r="D125" s="561"/>
      <c r="E125" s="468"/>
      <c r="F125" s="466"/>
      <c r="G125" s="468"/>
      <c r="H125" s="468"/>
      <c r="I125" s="468"/>
      <c r="J125" s="468"/>
      <c r="K125" s="468"/>
    </row>
    <row r="126" spans="1:11" ht="12.75" customHeight="1" x14ac:dyDescent="0.2">
      <c r="A126" s="463" t="s">
        <v>922</v>
      </c>
      <c r="B126" s="562">
        <v>3110</v>
      </c>
      <c r="C126" s="551">
        <v>53624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91221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18806</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18806</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2003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7624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64422</v>
      </c>
      <c r="G151" s="467"/>
      <c r="H151" s="468"/>
      <c r="I151" s="468"/>
      <c r="J151" s="468"/>
      <c r="K151" s="468"/>
    </row>
    <row r="152" spans="1:11" ht="12.75" customHeight="1" x14ac:dyDescent="0.2">
      <c r="A152" s="463" t="s">
        <v>1117</v>
      </c>
      <c r="B152" s="562">
        <v>3510</v>
      </c>
      <c r="C152" s="551"/>
      <c r="D152" s="466"/>
      <c r="E152" s="561"/>
      <c r="F152" s="466">
        <v>50533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114955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125551</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245955</v>
      </c>
      <c r="D172" s="1744">
        <f t="shared" si="6"/>
        <v>0</v>
      </c>
      <c r="E172" s="1744">
        <f t="shared" si="6"/>
        <v>0</v>
      </c>
      <c r="F172" s="1744">
        <f t="shared" si="6"/>
        <v>114955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1839813</v>
      </c>
      <c r="D173" s="1737">
        <f>SUM(D121,D172)</f>
        <v>0</v>
      </c>
      <c r="E173" s="1737">
        <f>SUM(E121,E172)</f>
        <v>0</v>
      </c>
      <c r="F173" s="1737">
        <f t="shared" ref="F173:K173" si="7">SUM(F121,F172)</f>
        <v>114955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112597</v>
      </c>
      <c r="D194" s="468"/>
      <c r="E194" s="561"/>
      <c r="F194" s="468"/>
      <c r="G194" s="585"/>
      <c r="H194" s="468"/>
      <c r="I194" s="468"/>
      <c r="J194" s="468"/>
      <c r="K194" s="468"/>
    </row>
    <row r="195" spans="1:11" ht="12.75" customHeight="1" x14ac:dyDescent="0.2">
      <c r="A195" s="463" t="s">
        <v>1107</v>
      </c>
      <c r="B195" s="470">
        <v>4215</v>
      </c>
      <c r="C195" s="551">
        <v>229</v>
      </c>
      <c r="D195" s="468"/>
      <c r="E195" s="561"/>
      <c r="F195" s="468"/>
      <c r="G195" s="585"/>
      <c r="H195" s="468"/>
      <c r="I195" s="468"/>
      <c r="J195" s="468"/>
      <c r="K195" s="468"/>
    </row>
    <row r="196" spans="1:11" ht="12.75" customHeight="1" x14ac:dyDescent="0.2">
      <c r="A196" s="463" t="s">
        <v>1119</v>
      </c>
      <c r="B196" s="470">
        <v>4220</v>
      </c>
      <c r="C196" s="551">
        <v>29512</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142338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120522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120522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5820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5820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539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539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28114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48112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345445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345445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4577085</v>
      </c>
      <c r="D275" s="1737">
        <f t="shared" si="12"/>
        <v>434945</v>
      </c>
      <c r="E275" s="1737">
        <f t="shared" si="12"/>
        <v>80472</v>
      </c>
      <c r="F275" s="1737">
        <f t="shared" si="12"/>
        <v>265462</v>
      </c>
      <c r="G275" s="1737">
        <f t="shared" si="12"/>
        <v>159942</v>
      </c>
      <c r="H275" s="1737">
        <f t="shared" si="12"/>
        <v>0</v>
      </c>
      <c r="I275" s="1737">
        <f t="shared" si="12"/>
        <v>36107</v>
      </c>
      <c r="J275" s="1737">
        <f t="shared" si="12"/>
        <v>203918</v>
      </c>
      <c r="K275" s="1724">
        <f t="shared" si="12"/>
        <v>35980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2" activePane="bottomLeft" state="frozen"/>
      <selection activeCell="A13" sqref="A12:H15"/>
      <selection pane="bottomLeft" activeCell="A13" sqref="A12:H1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1430539</v>
      </c>
      <c r="D5" s="466">
        <v>279633</v>
      </c>
      <c r="E5" s="466">
        <v>19539</v>
      </c>
      <c r="F5" s="466">
        <v>38432</v>
      </c>
      <c r="G5" s="466"/>
      <c r="H5" s="466"/>
      <c r="I5" s="467"/>
      <c r="J5" s="467"/>
      <c r="K5" s="1693">
        <f>SUM(C5:J5)</f>
        <v>1768143</v>
      </c>
      <c r="L5" s="466">
        <v>1779923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50199</v>
      </c>
      <c r="D7" s="467">
        <v>20755</v>
      </c>
      <c r="E7" s="467"/>
      <c r="F7" s="467">
        <v>2072</v>
      </c>
      <c r="G7" s="467"/>
      <c r="H7" s="467"/>
      <c r="I7" s="467"/>
      <c r="J7" s="467"/>
      <c r="K7" s="1693">
        <f t="shared" ref="K7:K32" si="0">SUM(C7:J7)</f>
        <v>73026</v>
      </c>
      <c r="L7" s="466">
        <v>74482</v>
      </c>
    </row>
    <row r="8" spans="1:14" x14ac:dyDescent="0.2">
      <c r="A8" s="1526" t="s">
        <v>166</v>
      </c>
      <c r="B8" s="615">
        <v>1200</v>
      </c>
      <c r="C8" s="466">
        <v>392964</v>
      </c>
      <c r="D8" s="466">
        <v>83587</v>
      </c>
      <c r="E8" s="466"/>
      <c r="F8" s="466">
        <v>1230</v>
      </c>
      <c r="G8" s="466"/>
      <c r="H8" s="466"/>
      <c r="I8" s="467"/>
      <c r="J8" s="467"/>
      <c r="K8" s="1693">
        <f t="shared" si="0"/>
        <v>477781</v>
      </c>
      <c r="L8" s="466">
        <v>479182</v>
      </c>
    </row>
    <row r="9" spans="1:14" x14ac:dyDescent="0.2">
      <c r="A9" s="1526" t="s">
        <v>745</v>
      </c>
      <c r="B9" s="615" t="s">
        <v>1025</v>
      </c>
      <c r="C9" s="467">
        <v>30</v>
      </c>
      <c r="D9" s="467"/>
      <c r="E9" s="467"/>
      <c r="F9" s="467"/>
      <c r="G9" s="467"/>
      <c r="H9" s="467"/>
      <c r="I9" s="467"/>
      <c r="J9" s="467"/>
      <c r="K9" s="1693">
        <f t="shared" si="0"/>
        <v>30</v>
      </c>
      <c r="L9" s="466">
        <v>50</v>
      </c>
    </row>
    <row r="10" spans="1:14" x14ac:dyDescent="0.2">
      <c r="A10" s="1526" t="s">
        <v>746</v>
      </c>
      <c r="B10" s="615">
        <v>1250</v>
      </c>
      <c r="C10" s="466">
        <v>90682</v>
      </c>
      <c r="D10" s="466">
        <v>19584</v>
      </c>
      <c r="E10" s="466"/>
      <c r="F10" s="466">
        <v>372</v>
      </c>
      <c r="G10" s="466"/>
      <c r="H10" s="466"/>
      <c r="I10" s="467"/>
      <c r="J10" s="467"/>
      <c r="K10" s="1693">
        <f t="shared" si="0"/>
        <v>110638</v>
      </c>
      <c r="L10" s="466">
        <v>113250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61442</v>
      </c>
      <c r="D13" s="466">
        <v>8722</v>
      </c>
      <c r="E13" s="466"/>
      <c r="F13" s="466">
        <v>5809</v>
      </c>
      <c r="G13" s="466"/>
      <c r="H13" s="466"/>
      <c r="I13" s="467"/>
      <c r="J13" s="467"/>
      <c r="K13" s="1693">
        <f t="shared" si="0"/>
        <v>75973</v>
      </c>
      <c r="L13" s="466">
        <v>76800</v>
      </c>
    </row>
    <row r="14" spans="1:14" x14ac:dyDescent="0.2">
      <c r="A14" s="1526" t="s">
        <v>1020</v>
      </c>
      <c r="B14" s="615">
        <v>1500</v>
      </c>
      <c r="C14" s="466">
        <v>120051</v>
      </c>
      <c r="D14" s="466">
        <v>1980</v>
      </c>
      <c r="E14" s="466">
        <v>31398</v>
      </c>
      <c r="F14" s="466">
        <v>33765</v>
      </c>
      <c r="G14" s="466"/>
      <c r="H14" s="466">
        <v>2092</v>
      </c>
      <c r="I14" s="467"/>
      <c r="J14" s="467"/>
      <c r="K14" s="1693">
        <f t="shared" si="0"/>
        <v>189286</v>
      </c>
      <c r="L14" s="466">
        <v>199306</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31171</v>
      </c>
      <c r="D17" s="467">
        <v>5697</v>
      </c>
      <c r="E17" s="467">
        <v>41</v>
      </c>
      <c r="F17" s="467">
        <v>472</v>
      </c>
      <c r="G17" s="467"/>
      <c r="H17" s="467"/>
      <c r="I17" s="467"/>
      <c r="J17" s="467"/>
      <c r="K17" s="1693">
        <f t="shared" si="0"/>
        <v>37381</v>
      </c>
      <c r="L17" s="466">
        <v>37745</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2177078</v>
      </c>
      <c r="D33" s="1692">
        <f t="shared" ref="D33:L33" si="1">SUM(D5:D32)</f>
        <v>419958</v>
      </c>
      <c r="E33" s="1692">
        <f t="shared" si="1"/>
        <v>50978</v>
      </c>
      <c r="F33" s="1692">
        <f t="shared" si="1"/>
        <v>82152</v>
      </c>
      <c r="G33" s="1692">
        <f t="shared" si="1"/>
        <v>0</v>
      </c>
      <c r="H33" s="1692">
        <f t="shared" si="1"/>
        <v>2092</v>
      </c>
      <c r="I33" s="1692">
        <f t="shared" si="1"/>
        <v>0</v>
      </c>
      <c r="J33" s="1692">
        <f t="shared" si="1"/>
        <v>0</v>
      </c>
      <c r="K33" s="1692">
        <f t="shared" si="1"/>
        <v>2732258</v>
      </c>
      <c r="L33" s="1692">
        <f t="shared" si="1"/>
        <v>2760738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39854</v>
      </c>
      <c r="D37" s="466">
        <v>8410</v>
      </c>
      <c r="E37" s="466"/>
      <c r="F37" s="466">
        <v>899</v>
      </c>
      <c r="G37" s="466"/>
      <c r="H37" s="466"/>
      <c r="I37" s="467"/>
      <c r="J37" s="467"/>
      <c r="K37" s="1693">
        <f t="shared" si="2"/>
        <v>49163</v>
      </c>
      <c r="L37" s="466">
        <v>49505</v>
      </c>
    </row>
    <row r="38" spans="1:14" x14ac:dyDescent="0.2">
      <c r="A38" s="1526" t="s">
        <v>207</v>
      </c>
      <c r="B38" s="615">
        <v>2130</v>
      </c>
      <c r="C38" s="466">
        <v>17613</v>
      </c>
      <c r="D38" s="466"/>
      <c r="E38" s="466">
        <v>41</v>
      </c>
      <c r="F38" s="466">
        <v>402</v>
      </c>
      <c r="G38" s="466"/>
      <c r="H38" s="466"/>
      <c r="I38" s="467"/>
      <c r="J38" s="467"/>
      <c r="K38" s="1693">
        <f t="shared" si="2"/>
        <v>18056</v>
      </c>
      <c r="L38" s="466">
        <v>19000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57467</v>
      </c>
      <c r="D42" s="1692">
        <f t="shared" ref="D42:L42" si="3">SUM(D36:D41)</f>
        <v>8410</v>
      </c>
      <c r="E42" s="1692">
        <f t="shared" si="3"/>
        <v>41</v>
      </c>
      <c r="F42" s="1692">
        <f t="shared" si="3"/>
        <v>1301</v>
      </c>
      <c r="G42" s="1692">
        <f t="shared" si="3"/>
        <v>0</v>
      </c>
      <c r="H42" s="1692">
        <f t="shared" si="3"/>
        <v>0</v>
      </c>
      <c r="I42" s="1692">
        <f t="shared" si="3"/>
        <v>0</v>
      </c>
      <c r="J42" s="1692">
        <f t="shared" si="3"/>
        <v>0</v>
      </c>
      <c r="K42" s="1692">
        <f t="shared" si="3"/>
        <v>67219</v>
      </c>
      <c r="L42" s="1692">
        <f t="shared" si="3"/>
        <v>68505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6139</v>
      </c>
      <c r="F44" s="481"/>
      <c r="G44" s="481"/>
      <c r="H44" s="481"/>
      <c r="I44" s="467"/>
      <c r="J44" s="467"/>
      <c r="K44" s="1694">
        <f>SUM(C44:J44)</f>
        <v>6139</v>
      </c>
      <c r="L44" s="481">
        <v>6150</v>
      </c>
    </row>
    <row r="45" spans="1:14" x14ac:dyDescent="0.2">
      <c r="A45" s="1526" t="s">
        <v>869</v>
      </c>
      <c r="B45" s="615">
        <v>2220</v>
      </c>
      <c r="C45" s="466">
        <v>84221</v>
      </c>
      <c r="D45" s="466">
        <v>15251</v>
      </c>
      <c r="E45" s="466">
        <v>18820</v>
      </c>
      <c r="F45" s="466">
        <v>20772</v>
      </c>
      <c r="G45" s="466">
        <v>27157</v>
      </c>
      <c r="H45" s="466"/>
      <c r="I45" s="467"/>
      <c r="J45" s="467"/>
      <c r="K45" s="1694">
        <f>SUM(C45:J45)</f>
        <v>166221</v>
      </c>
      <c r="L45" s="466">
        <v>168567</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84221</v>
      </c>
      <c r="D47" s="1692">
        <f t="shared" ref="D47:K47" si="4">SUM(D44:D46)</f>
        <v>15251</v>
      </c>
      <c r="E47" s="1692">
        <f t="shared" si="4"/>
        <v>24959</v>
      </c>
      <c r="F47" s="1692">
        <f t="shared" si="4"/>
        <v>20772</v>
      </c>
      <c r="G47" s="1692">
        <f t="shared" si="4"/>
        <v>27157</v>
      </c>
      <c r="H47" s="1692">
        <f t="shared" si="4"/>
        <v>0</v>
      </c>
      <c r="I47" s="1692">
        <f t="shared" si="4"/>
        <v>0</v>
      </c>
      <c r="J47" s="1692">
        <f t="shared" si="4"/>
        <v>0</v>
      </c>
      <c r="K47" s="1692">
        <f t="shared" si="4"/>
        <v>172360</v>
      </c>
      <c r="L47" s="1692">
        <f>SUM(L44:L46)</f>
        <v>174717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7372</v>
      </c>
      <c r="F49" s="481">
        <v>126</v>
      </c>
      <c r="G49" s="481"/>
      <c r="H49" s="481">
        <v>8618</v>
      </c>
      <c r="I49" s="467"/>
      <c r="J49" s="467"/>
      <c r="K49" s="1694">
        <f>SUM(C49:J49)</f>
        <v>16116</v>
      </c>
      <c r="L49" s="481">
        <v>16500</v>
      </c>
    </row>
    <row r="50" spans="1:14" x14ac:dyDescent="0.2">
      <c r="A50" s="1526" t="s">
        <v>872</v>
      </c>
      <c r="B50" s="615">
        <v>2320</v>
      </c>
      <c r="C50" s="466">
        <v>151721</v>
      </c>
      <c r="D50" s="466">
        <v>29607</v>
      </c>
      <c r="E50" s="466">
        <v>4401</v>
      </c>
      <c r="F50" s="466">
        <v>1982</v>
      </c>
      <c r="G50" s="466"/>
      <c r="H50" s="466">
        <v>1495</v>
      </c>
      <c r="I50" s="467"/>
      <c r="J50" s="467"/>
      <c r="K50" s="1694">
        <f>SUM(C50:J50)</f>
        <v>189206</v>
      </c>
      <c r="L50" s="466">
        <v>192545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151721</v>
      </c>
      <c r="D53" s="1692">
        <f t="shared" ref="D53:L53" si="5">SUM(D49:D52)</f>
        <v>29607</v>
      </c>
      <c r="E53" s="1692">
        <f t="shared" si="5"/>
        <v>11773</v>
      </c>
      <c r="F53" s="1692">
        <f t="shared" si="5"/>
        <v>2108</v>
      </c>
      <c r="G53" s="1692">
        <f t="shared" si="5"/>
        <v>0</v>
      </c>
      <c r="H53" s="1692">
        <f t="shared" si="5"/>
        <v>10113</v>
      </c>
      <c r="I53" s="1692">
        <f t="shared" si="5"/>
        <v>0</v>
      </c>
      <c r="J53" s="1692">
        <f t="shared" si="5"/>
        <v>0</v>
      </c>
      <c r="K53" s="1692">
        <f t="shared" si="5"/>
        <v>205322</v>
      </c>
      <c r="L53" s="1692">
        <f t="shared" si="5"/>
        <v>209045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233159</v>
      </c>
      <c r="D55" s="481">
        <v>36478</v>
      </c>
      <c r="E55" s="481">
        <v>392</v>
      </c>
      <c r="F55" s="481">
        <v>5966</v>
      </c>
      <c r="G55" s="481"/>
      <c r="H55" s="481">
        <v>1450</v>
      </c>
      <c r="I55" s="467"/>
      <c r="J55" s="467"/>
      <c r="K55" s="1694">
        <f>SUM(C55:J55)</f>
        <v>277445</v>
      </c>
      <c r="L55" s="481">
        <v>278100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233159</v>
      </c>
      <c r="D57" s="1696">
        <f t="shared" ref="D57:K57" si="6">SUM(D55:D56)</f>
        <v>36478</v>
      </c>
      <c r="E57" s="1696">
        <f t="shared" si="6"/>
        <v>392</v>
      </c>
      <c r="F57" s="1696">
        <f t="shared" si="6"/>
        <v>5966</v>
      </c>
      <c r="G57" s="1696">
        <f t="shared" si="6"/>
        <v>0</v>
      </c>
      <c r="H57" s="1696">
        <f t="shared" si="6"/>
        <v>1450</v>
      </c>
      <c r="I57" s="1696">
        <f t="shared" si="6"/>
        <v>0</v>
      </c>
      <c r="J57" s="1696">
        <f t="shared" si="6"/>
        <v>0</v>
      </c>
      <c r="K57" s="1696">
        <f t="shared" si="6"/>
        <v>277445</v>
      </c>
      <c r="L57" s="1692">
        <f>SUM(L55:L56)</f>
        <v>278100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36799</v>
      </c>
      <c r="D60" s="466">
        <v>7626</v>
      </c>
      <c r="E60" s="466">
        <v>13019</v>
      </c>
      <c r="F60" s="466">
        <v>1926</v>
      </c>
      <c r="G60" s="466"/>
      <c r="H60" s="466"/>
      <c r="I60" s="467"/>
      <c r="J60" s="467"/>
      <c r="K60" s="1694">
        <f t="shared" si="7"/>
        <v>59370</v>
      </c>
      <c r="L60" s="466">
        <v>59730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v>13125</v>
      </c>
      <c r="D62" s="466"/>
      <c r="E62" s="466"/>
      <c r="F62" s="466"/>
      <c r="G62" s="466"/>
      <c r="H62" s="466"/>
      <c r="I62" s="467"/>
      <c r="J62" s="467"/>
      <c r="K62" s="1694">
        <f t="shared" si="7"/>
        <v>13125</v>
      </c>
      <c r="L62" s="466">
        <v>14000</v>
      </c>
      <c r="M62" s="610"/>
      <c r="N62" s="610"/>
    </row>
    <row r="63" spans="1:14" s="610" customFormat="1" x14ac:dyDescent="0.2">
      <c r="A63" s="1526" t="s">
        <v>102</v>
      </c>
      <c r="B63" s="615">
        <v>2560</v>
      </c>
      <c r="C63" s="466">
        <v>104463</v>
      </c>
      <c r="D63" s="466">
        <v>30502</v>
      </c>
      <c r="E63" s="466">
        <v>1404</v>
      </c>
      <c r="F63" s="466">
        <v>108708</v>
      </c>
      <c r="G63" s="466"/>
      <c r="H63" s="466"/>
      <c r="I63" s="467"/>
      <c r="J63" s="467"/>
      <c r="K63" s="1694">
        <f t="shared" si="7"/>
        <v>245077</v>
      </c>
      <c r="L63" s="466">
        <v>242950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154387</v>
      </c>
      <c r="D65" s="1692">
        <f t="shared" ref="D65:L65" si="8">SUM(D59:D64)</f>
        <v>38128</v>
      </c>
      <c r="E65" s="1692">
        <f t="shared" si="8"/>
        <v>14423</v>
      </c>
      <c r="F65" s="1692">
        <f t="shared" si="8"/>
        <v>110634</v>
      </c>
      <c r="G65" s="1692">
        <f t="shared" si="8"/>
        <v>0</v>
      </c>
      <c r="H65" s="1692">
        <f t="shared" si="8"/>
        <v>0</v>
      </c>
      <c r="I65" s="1692">
        <f t="shared" si="8"/>
        <v>0</v>
      </c>
      <c r="J65" s="1692">
        <f t="shared" si="8"/>
        <v>0</v>
      </c>
      <c r="K65" s="1692">
        <f t="shared" si="8"/>
        <v>317572</v>
      </c>
      <c r="L65" s="1692">
        <f t="shared" si="8"/>
        <v>316680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680955</v>
      </c>
      <c r="D74" s="1699">
        <f t="shared" ref="D74:K74" si="10">SUM(D42,D47,D53,D57,D65,D72,D73)</f>
        <v>127874</v>
      </c>
      <c r="E74" s="1699">
        <f t="shared" si="10"/>
        <v>51588</v>
      </c>
      <c r="F74" s="1699">
        <f t="shared" si="10"/>
        <v>140781</v>
      </c>
      <c r="G74" s="1699">
        <f t="shared" si="10"/>
        <v>27157</v>
      </c>
      <c r="H74" s="1699">
        <f t="shared" si="10"/>
        <v>11563</v>
      </c>
      <c r="I74" s="1699">
        <f t="shared" si="10"/>
        <v>0</v>
      </c>
      <c r="J74" s="1699">
        <f t="shared" si="10"/>
        <v>0</v>
      </c>
      <c r="K74" s="1699">
        <f t="shared" si="10"/>
        <v>1039918</v>
      </c>
      <c r="L74" s="1699">
        <f>SUM(L42,L47,L53,L57,L65,L72,L73)</f>
        <v>1047047</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31750</v>
      </c>
      <c r="I78" s="477"/>
      <c r="J78" s="477"/>
      <c r="K78" s="1693">
        <f t="shared" ref="K78:K83" si="11">SUM(C78:J78)</f>
        <v>31750</v>
      </c>
      <c r="L78" s="481">
        <v>35125</v>
      </c>
    </row>
    <row r="79" spans="1:14" x14ac:dyDescent="0.2">
      <c r="A79" s="1526" t="s">
        <v>322</v>
      </c>
      <c r="B79" s="615">
        <v>4120</v>
      </c>
      <c r="C79" s="617"/>
      <c r="D79" s="617"/>
      <c r="E79" s="466"/>
      <c r="F79" s="617"/>
      <c r="G79" s="617"/>
      <c r="H79" s="466">
        <v>231940</v>
      </c>
      <c r="I79" s="477"/>
      <c r="J79" s="477"/>
      <c r="K79" s="1693">
        <f t="shared" si="11"/>
        <v>231940</v>
      </c>
      <c r="L79" s="466">
        <v>231947</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44660</v>
      </c>
      <c r="I81" s="477"/>
      <c r="J81" s="477"/>
      <c r="K81" s="1693">
        <f t="shared" si="11"/>
        <v>44660</v>
      </c>
      <c r="L81" s="466">
        <v>45500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308350</v>
      </c>
      <c r="I84" s="477"/>
      <c r="J84" s="477"/>
      <c r="K84" s="1692">
        <f>SUM(K78:K83)</f>
        <v>308350</v>
      </c>
      <c r="L84" s="1692">
        <f>SUM(L78:L83)</f>
        <v>312572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157789</v>
      </c>
      <c r="I86" s="477"/>
      <c r="J86" s="477"/>
      <c r="K86" s="1699">
        <f t="shared" ref="K86:K98" si="12">H86</f>
        <v>157789</v>
      </c>
      <c r="L86" s="530">
        <v>160000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157789</v>
      </c>
      <c r="I92" s="477"/>
      <c r="J92" s="477"/>
      <c r="K92" s="1699">
        <f t="shared" si="12"/>
        <v>157789</v>
      </c>
      <c r="L92" s="1692">
        <f>SUM(L85:L91)</f>
        <v>160000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466139</v>
      </c>
      <c r="I102" s="477"/>
      <c r="J102" s="477"/>
      <c r="K102" s="1699">
        <f>SUM(K84,K92,K100,K101)</f>
        <v>466139</v>
      </c>
      <c r="L102" s="1699">
        <f>SUM(L84,L92,L100,L101)</f>
        <v>472572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2858033</v>
      </c>
      <c r="D114" s="1692">
        <f t="shared" ref="D114:K114" si="13">SUM(D33,D74,D75,D102,D112,D113)</f>
        <v>547832</v>
      </c>
      <c r="E114" s="1692">
        <f t="shared" si="13"/>
        <v>102566</v>
      </c>
      <c r="F114" s="1692">
        <f t="shared" si="13"/>
        <v>222933</v>
      </c>
      <c r="G114" s="1692">
        <f t="shared" si="13"/>
        <v>27157</v>
      </c>
      <c r="H114" s="1692">
        <f>SUM(H33,H74,H75,H102,H112,H113)</f>
        <v>479794</v>
      </c>
      <c r="I114" s="1692">
        <f t="shared" si="13"/>
        <v>0</v>
      </c>
      <c r="J114" s="1692">
        <f t="shared" si="13"/>
        <v>0</v>
      </c>
      <c r="K114" s="1692">
        <f t="shared" si="13"/>
        <v>4238315</v>
      </c>
      <c r="L114" s="1692">
        <f>SUM(L33,L74,L75,L102,L112,L113)</f>
        <v>4280357</v>
      </c>
    </row>
    <row r="115" spans="1:14" ht="13.5" thickTop="1" x14ac:dyDescent="0.2">
      <c r="A115" s="2197" t="s">
        <v>1053</v>
      </c>
      <c r="B115" s="2198"/>
      <c r="C115" s="619"/>
      <c r="D115" s="619"/>
      <c r="E115" s="619"/>
      <c r="F115" s="619"/>
      <c r="G115" s="619"/>
      <c r="H115" s="619"/>
      <c r="I115" s="619"/>
      <c r="J115" s="619"/>
      <c r="K115" s="1706">
        <f>'Revenues 9-14'!C275-'Expenditures 15-22'!K114</f>
        <v>338770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148062</v>
      </c>
      <c r="D124" s="466">
        <v>28450</v>
      </c>
      <c r="E124" s="466">
        <v>72085</v>
      </c>
      <c r="F124" s="466">
        <v>131704</v>
      </c>
      <c r="G124" s="466">
        <v>47976</v>
      </c>
      <c r="H124" s="466">
        <v>1239</v>
      </c>
      <c r="I124" s="467"/>
      <c r="J124" s="467"/>
      <c r="K124" s="1692">
        <f>SUM(C124:J124)</f>
        <v>429516</v>
      </c>
      <c r="L124" s="466">
        <v>440850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148062</v>
      </c>
      <c r="D127" s="1692">
        <f t="shared" ref="D127:L127" si="14">SUM(D122:D126)</f>
        <v>28450</v>
      </c>
      <c r="E127" s="1692">
        <f t="shared" si="14"/>
        <v>72085</v>
      </c>
      <c r="F127" s="1692">
        <f t="shared" si="14"/>
        <v>131704</v>
      </c>
      <c r="G127" s="1692">
        <f t="shared" si="14"/>
        <v>47976</v>
      </c>
      <c r="H127" s="1692">
        <f t="shared" si="14"/>
        <v>1239</v>
      </c>
      <c r="I127" s="1692">
        <f t="shared" si="14"/>
        <v>0</v>
      </c>
      <c r="J127" s="1692">
        <f t="shared" si="14"/>
        <v>0</v>
      </c>
      <c r="K127" s="1692">
        <f t="shared" si="14"/>
        <v>429516</v>
      </c>
      <c r="L127" s="1692">
        <f t="shared" si="14"/>
        <v>440850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148062</v>
      </c>
      <c r="D129" s="1699">
        <f t="shared" ref="D129:L129" si="15">SUM(D120,D127,D128)</f>
        <v>28450</v>
      </c>
      <c r="E129" s="1699">
        <f t="shared" si="15"/>
        <v>72085</v>
      </c>
      <c r="F129" s="1699">
        <f t="shared" si="15"/>
        <v>131704</v>
      </c>
      <c r="G129" s="1699">
        <f t="shared" si="15"/>
        <v>47976</v>
      </c>
      <c r="H129" s="1699">
        <f t="shared" si="15"/>
        <v>1239</v>
      </c>
      <c r="I129" s="1699">
        <f t="shared" si="15"/>
        <v>0</v>
      </c>
      <c r="J129" s="1699">
        <f t="shared" si="15"/>
        <v>0</v>
      </c>
      <c r="K129" s="1699">
        <f t="shared" si="15"/>
        <v>429516</v>
      </c>
      <c r="L129" s="1699">
        <f t="shared" si="15"/>
        <v>440850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148062</v>
      </c>
      <c r="D151" s="1692">
        <f t="shared" ref="D151:K151" si="16">SUM(D129,D130,D139,D149,D150)</f>
        <v>28450</v>
      </c>
      <c r="E151" s="1692">
        <f t="shared" si="16"/>
        <v>72085</v>
      </c>
      <c r="F151" s="1692">
        <f t="shared" si="16"/>
        <v>131704</v>
      </c>
      <c r="G151" s="1692">
        <f t="shared" si="16"/>
        <v>47976</v>
      </c>
      <c r="H151" s="1692">
        <f t="shared" si="16"/>
        <v>1239</v>
      </c>
      <c r="I151" s="1692">
        <f t="shared" si="16"/>
        <v>0</v>
      </c>
      <c r="J151" s="1692">
        <f t="shared" si="16"/>
        <v>0</v>
      </c>
      <c r="K151" s="1692">
        <f t="shared" si="16"/>
        <v>429516</v>
      </c>
      <c r="L151" s="1692">
        <f>SUM(L129,L130,L139,L149,L150)</f>
        <v>440850</v>
      </c>
    </row>
    <row r="152" spans="1:14" ht="12.75" customHeight="1" thickTop="1" x14ac:dyDescent="0.2">
      <c r="A152" s="2190" t="s">
        <v>1240</v>
      </c>
      <c r="B152" s="2191"/>
      <c r="C152" s="619"/>
      <c r="D152" s="619"/>
      <c r="E152" s="619"/>
      <c r="F152" s="619"/>
      <c r="G152" s="619"/>
      <c r="H152" s="619"/>
      <c r="I152" s="619"/>
      <c r="J152" s="617"/>
      <c r="K152" s="1706">
        <f>'Revenues 9-14'!D275-'Expenditures 15-22'!K151</f>
        <v>5429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6663</v>
      </c>
      <c r="I169" s="617"/>
      <c r="J169" s="617"/>
      <c r="K169" s="1693">
        <f>SUM(C169:H169)</f>
        <v>6663</v>
      </c>
      <c r="L169" s="657">
        <v>8459</v>
      </c>
    </row>
    <row r="170" spans="1:14" ht="33.75" customHeight="1" x14ac:dyDescent="0.2">
      <c r="A170" s="670" t="s">
        <v>1769</v>
      </c>
      <c r="B170" s="672" t="s">
        <v>31</v>
      </c>
      <c r="C170" s="617"/>
      <c r="D170" s="617"/>
      <c r="E170" s="617"/>
      <c r="F170" s="617"/>
      <c r="G170" s="617"/>
      <c r="H170" s="569">
        <v>70000</v>
      </c>
      <c r="I170" s="617"/>
      <c r="J170" s="617"/>
      <c r="K170" s="1693">
        <f>SUM(C170:J170)</f>
        <v>70000</v>
      </c>
      <c r="L170" s="569">
        <v>72000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76663</v>
      </c>
      <c r="I172" s="639"/>
      <c r="J172" s="617"/>
      <c r="K172" s="1699">
        <f>SUM(K168,K169,K170,K171)</f>
        <v>76663</v>
      </c>
      <c r="L172" s="1699">
        <f>SUM(L168,L169,L170,L171)</f>
        <v>80459</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76663</v>
      </c>
      <c r="I174" s="639"/>
      <c r="J174" s="617"/>
      <c r="K174" s="1699">
        <f>SUM(K160,K172,K173)</f>
        <v>76663</v>
      </c>
      <c r="L174" s="1699">
        <f>SUM(L160,L172,L173)</f>
        <v>80459</v>
      </c>
    </row>
    <row r="175" spans="1:14" ht="13.5" thickTop="1" x14ac:dyDescent="0.2">
      <c r="A175" s="2197" t="s">
        <v>1053</v>
      </c>
      <c r="B175" s="2198"/>
      <c r="C175" s="617"/>
      <c r="D175" s="617"/>
      <c r="E175" s="617"/>
      <c r="F175" s="617"/>
      <c r="G175" s="617"/>
      <c r="H175" s="619"/>
      <c r="I175" s="617"/>
      <c r="J175" s="617"/>
      <c r="K175" s="1706">
        <f>'Revenues 9-14'!E275-'Expenditures 15-22'!K174</f>
        <v>3809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87685</v>
      </c>
      <c r="D182" s="466"/>
      <c r="E182" s="466">
        <v>137361</v>
      </c>
      <c r="F182" s="466">
        <v>29217</v>
      </c>
      <c r="G182" s="466"/>
      <c r="H182" s="466"/>
      <c r="I182" s="467"/>
      <c r="J182" s="467"/>
      <c r="K182" s="1693">
        <f>SUM(C182:J182)</f>
        <v>254263</v>
      </c>
      <c r="L182" s="466">
        <v>252781</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87685</v>
      </c>
      <c r="D184" s="1699">
        <f t="shared" ref="D184:J184" si="17">SUM(D180,D182,D183)</f>
        <v>0</v>
      </c>
      <c r="E184" s="1699">
        <f t="shared" si="17"/>
        <v>137361</v>
      </c>
      <c r="F184" s="1699">
        <f t="shared" si="17"/>
        <v>29217</v>
      </c>
      <c r="G184" s="1699">
        <f t="shared" si="17"/>
        <v>0</v>
      </c>
      <c r="H184" s="1699">
        <f t="shared" si="17"/>
        <v>0</v>
      </c>
      <c r="I184" s="1699">
        <f t="shared" si="17"/>
        <v>0</v>
      </c>
      <c r="J184" s="1699">
        <f t="shared" si="17"/>
        <v>0</v>
      </c>
      <c r="K184" s="1699">
        <f>SUM(K180,K182,K183)</f>
        <v>254263</v>
      </c>
      <c r="L184" s="1699">
        <f>SUM(L180, L182:L183)</f>
        <v>252781</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87685</v>
      </c>
      <c r="D210" s="1692">
        <f>SUM(D184,D185)</f>
        <v>0</v>
      </c>
      <c r="E210" s="1692">
        <f>SUM(E184,E185,E196)</f>
        <v>137361</v>
      </c>
      <c r="F210" s="1692">
        <f>SUM(F184,F185)</f>
        <v>29217</v>
      </c>
      <c r="G210" s="1692">
        <f>SUM(G184,G185)</f>
        <v>0</v>
      </c>
      <c r="H210" s="1692">
        <f>SUM(H184,H185,H196,H208,H209)</f>
        <v>0</v>
      </c>
      <c r="I210" s="1692">
        <f>SUM(I184,I185)</f>
        <v>0</v>
      </c>
      <c r="J210" s="1692">
        <f>SUM(J184,J185)</f>
        <v>0</v>
      </c>
      <c r="K210" s="1693">
        <f>SUM(K184,K185,K196,K208,K209)</f>
        <v>254263</v>
      </c>
      <c r="L210" s="1692">
        <f>SUM(L184,L185,L196,L208,L209)</f>
        <v>252781</v>
      </c>
    </row>
    <row r="211" spans="1:14" ht="13.5" thickTop="1" x14ac:dyDescent="0.2">
      <c r="A211" s="2197" t="s">
        <v>1053</v>
      </c>
      <c r="B211" s="2198"/>
      <c r="C211" s="619"/>
      <c r="D211" s="619"/>
      <c r="E211" s="619"/>
      <c r="F211" s="619"/>
      <c r="G211" s="619"/>
      <c r="H211" s="619"/>
      <c r="I211" s="617"/>
      <c r="J211" s="617"/>
      <c r="K211" s="1706">
        <f>'Revenues 9-14'!F275-'Expenditures 15-22'!K210</f>
        <v>11199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20800</v>
      </c>
      <c r="E215" s="617"/>
      <c r="F215" s="617"/>
      <c r="G215" s="617"/>
      <c r="H215" s="617"/>
      <c r="I215" s="617"/>
      <c r="J215" s="617"/>
      <c r="K215" s="1693">
        <f>D215</f>
        <v>20800</v>
      </c>
      <c r="L215" s="466">
        <v>21448</v>
      </c>
    </row>
    <row r="216" spans="1:14" x14ac:dyDescent="0.2">
      <c r="A216" s="1526" t="s">
        <v>165</v>
      </c>
      <c r="B216" s="615" t="s">
        <v>1024</v>
      </c>
      <c r="C216" s="617"/>
      <c r="D216" s="467">
        <v>2871</v>
      </c>
      <c r="E216" s="617"/>
      <c r="F216" s="617"/>
      <c r="G216" s="617"/>
      <c r="H216" s="617"/>
      <c r="I216" s="617"/>
      <c r="J216" s="617"/>
      <c r="K216" s="1693">
        <f t="shared" ref="K216:K228" si="19">D216</f>
        <v>2871</v>
      </c>
      <c r="L216" s="466">
        <v>2471</v>
      </c>
    </row>
    <row r="217" spans="1:14" x14ac:dyDescent="0.2">
      <c r="A217" s="1526" t="s">
        <v>166</v>
      </c>
      <c r="B217" s="615">
        <v>1200</v>
      </c>
      <c r="C217" s="617"/>
      <c r="D217" s="466">
        <v>16778</v>
      </c>
      <c r="E217" s="617"/>
      <c r="F217" s="617"/>
      <c r="G217" s="617"/>
      <c r="H217" s="617"/>
      <c r="I217" s="617"/>
      <c r="J217" s="617"/>
      <c r="K217" s="1693">
        <f t="shared" si="19"/>
        <v>16778</v>
      </c>
      <c r="L217" s="466">
        <v>17458</v>
      </c>
    </row>
    <row r="218" spans="1:14" x14ac:dyDescent="0.2">
      <c r="A218" s="1526" t="s">
        <v>296</v>
      </c>
      <c r="B218" s="615" t="s">
        <v>1025</v>
      </c>
      <c r="C218" s="617"/>
      <c r="D218" s="467">
        <v>2</v>
      </c>
      <c r="E218" s="617"/>
      <c r="F218" s="617"/>
      <c r="G218" s="617"/>
      <c r="H218" s="617"/>
      <c r="I218" s="617"/>
      <c r="J218" s="617"/>
      <c r="K218" s="1693">
        <f t="shared" si="19"/>
        <v>2</v>
      </c>
      <c r="L218" s="466">
        <v>50</v>
      </c>
    </row>
    <row r="219" spans="1:14" x14ac:dyDescent="0.2">
      <c r="A219" s="1526" t="s">
        <v>297</v>
      </c>
      <c r="B219" s="615">
        <v>1250</v>
      </c>
      <c r="C219" s="617"/>
      <c r="D219" s="466">
        <v>1297</v>
      </c>
      <c r="E219" s="617"/>
      <c r="F219" s="617"/>
      <c r="G219" s="617"/>
      <c r="H219" s="617"/>
      <c r="I219" s="617"/>
      <c r="J219" s="617"/>
      <c r="K219" s="1693">
        <f t="shared" si="19"/>
        <v>1297</v>
      </c>
      <c r="L219" s="466">
        <v>1335</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1759</v>
      </c>
      <c r="E222" s="617"/>
      <c r="F222" s="617"/>
      <c r="G222" s="617"/>
      <c r="H222" s="617"/>
      <c r="I222" s="617"/>
      <c r="J222" s="617"/>
      <c r="K222" s="1693">
        <f t="shared" si="19"/>
        <v>1759</v>
      </c>
      <c r="L222" s="466">
        <v>1832</v>
      </c>
    </row>
    <row r="223" spans="1:14" x14ac:dyDescent="0.2">
      <c r="A223" s="1526" t="s">
        <v>1020</v>
      </c>
      <c r="B223" s="615">
        <v>1500</v>
      </c>
      <c r="C223" s="617"/>
      <c r="D223" s="466">
        <v>3542</v>
      </c>
      <c r="E223" s="617"/>
      <c r="F223" s="617"/>
      <c r="G223" s="617"/>
      <c r="H223" s="617"/>
      <c r="I223" s="617"/>
      <c r="J223" s="617"/>
      <c r="K223" s="1693">
        <f t="shared" si="19"/>
        <v>3542</v>
      </c>
      <c r="L223" s="466">
        <v>3272</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448</v>
      </c>
      <c r="E226" s="617"/>
      <c r="F226" s="617"/>
      <c r="G226" s="617"/>
      <c r="H226" s="617"/>
      <c r="I226" s="617"/>
      <c r="J226" s="617"/>
      <c r="K226" s="1693">
        <f t="shared" si="19"/>
        <v>448</v>
      </c>
      <c r="L226" s="466">
        <v>452</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47497</v>
      </c>
      <c r="E229" s="617"/>
      <c r="F229" s="617"/>
      <c r="G229" s="617"/>
      <c r="H229" s="617"/>
      <c r="I229" s="617"/>
      <c r="J229" s="617"/>
      <c r="K229" s="1692">
        <f>SUM(K215:K228)</f>
        <v>47497</v>
      </c>
      <c r="L229" s="1692">
        <f>SUM(L215:L228)</f>
        <v>48318</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572</v>
      </c>
      <c r="E233" s="617"/>
      <c r="F233" s="617"/>
      <c r="G233" s="617"/>
      <c r="H233" s="617"/>
      <c r="I233" s="617"/>
      <c r="J233" s="617"/>
      <c r="K233" s="1693">
        <f t="shared" si="20"/>
        <v>572</v>
      </c>
      <c r="L233" s="466">
        <v>631</v>
      </c>
    </row>
    <row r="234" spans="1:12" x14ac:dyDescent="0.2">
      <c r="A234" s="1526" t="s">
        <v>207</v>
      </c>
      <c r="B234" s="615">
        <v>2130</v>
      </c>
      <c r="C234" s="617"/>
      <c r="D234" s="466">
        <v>2829</v>
      </c>
      <c r="E234" s="617"/>
      <c r="F234" s="617"/>
      <c r="G234" s="617"/>
      <c r="H234" s="617"/>
      <c r="I234" s="617"/>
      <c r="J234" s="617"/>
      <c r="K234" s="1693">
        <f t="shared" si="20"/>
        <v>2829</v>
      </c>
      <c r="L234" s="466">
        <v>2858</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3401</v>
      </c>
      <c r="E238" s="617"/>
      <c r="F238" s="617"/>
      <c r="G238" s="617"/>
      <c r="H238" s="617"/>
      <c r="I238" s="617"/>
      <c r="J238" s="617"/>
      <c r="K238" s="1692">
        <f>SUM(K232:K237)</f>
        <v>3401</v>
      </c>
      <c r="L238" s="1692">
        <f>SUM(L232:L237)</f>
        <v>3489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13447</v>
      </c>
      <c r="E241" s="617"/>
      <c r="F241" s="617"/>
      <c r="G241" s="617"/>
      <c r="H241" s="617"/>
      <c r="I241" s="617"/>
      <c r="J241" s="617"/>
      <c r="K241" s="1694">
        <f>D241</f>
        <v>13447</v>
      </c>
      <c r="L241" s="466">
        <v>13889</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13447</v>
      </c>
      <c r="E243" s="617"/>
      <c r="F243" s="617"/>
      <c r="G243" s="617"/>
      <c r="H243" s="617"/>
      <c r="I243" s="617"/>
      <c r="J243" s="617"/>
      <c r="K243" s="1692">
        <f>SUM(K240:K242)</f>
        <v>13447</v>
      </c>
      <c r="L243" s="1692">
        <f>SUM(L240:L242)</f>
        <v>13889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7918</v>
      </c>
      <c r="E246" s="617"/>
      <c r="F246" s="617"/>
      <c r="G246" s="617"/>
      <c r="H246" s="617"/>
      <c r="I246" s="617"/>
      <c r="J246" s="617"/>
      <c r="K246" s="1694">
        <f t="shared" ref="K246:K256" si="21">D246</f>
        <v>7918</v>
      </c>
      <c r="L246" s="466">
        <v>7810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7918</v>
      </c>
      <c r="E257" s="617"/>
      <c r="F257" s="617"/>
      <c r="G257" s="617"/>
      <c r="H257" s="617"/>
      <c r="I257" s="617"/>
      <c r="J257" s="617"/>
      <c r="K257" s="1692">
        <f>SUM(K245:K256)</f>
        <v>7918</v>
      </c>
      <c r="L257" s="1692">
        <f>SUM(L245:L256)</f>
        <v>7810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11702</v>
      </c>
      <c r="E259" s="617"/>
      <c r="F259" s="617"/>
      <c r="G259" s="617"/>
      <c r="H259" s="617"/>
      <c r="I259" s="617"/>
      <c r="J259" s="617"/>
      <c r="K259" s="1694">
        <f>D259</f>
        <v>11702</v>
      </c>
      <c r="L259" s="481">
        <v>11647</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11702</v>
      </c>
      <c r="E261" s="617"/>
      <c r="F261" s="617"/>
      <c r="G261" s="617"/>
      <c r="H261" s="617"/>
      <c r="I261" s="617"/>
      <c r="J261" s="617"/>
      <c r="K261" s="1692">
        <f>SUM(K259:K260)</f>
        <v>11702</v>
      </c>
      <c r="L261" s="1692">
        <f>SUM(L259:L260)</f>
        <v>11647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5838</v>
      </c>
      <c r="E264" s="617"/>
      <c r="F264" s="617"/>
      <c r="G264" s="617"/>
      <c r="H264" s="617"/>
      <c r="I264" s="617"/>
      <c r="J264" s="617"/>
      <c r="K264" s="1694">
        <f t="shared" ref="K264:K269" si="22">D264</f>
        <v>5838</v>
      </c>
      <c r="L264" s="466">
        <v>5184</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21938</v>
      </c>
      <c r="E266" s="617"/>
      <c r="F266" s="617"/>
      <c r="G266" s="617"/>
      <c r="H266" s="617"/>
      <c r="I266" s="617"/>
      <c r="J266" s="617"/>
      <c r="K266" s="1694">
        <f t="shared" si="22"/>
        <v>21938</v>
      </c>
      <c r="L266" s="466">
        <v>21660</v>
      </c>
    </row>
    <row r="267" spans="1:14" x14ac:dyDescent="0.2">
      <c r="A267" s="1526" t="s">
        <v>1010</v>
      </c>
      <c r="B267" s="615">
        <v>2550</v>
      </c>
      <c r="C267" s="617"/>
      <c r="D267" s="466">
        <v>14656</v>
      </c>
      <c r="E267" s="617"/>
      <c r="F267" s="617"/>
      <c r="G267" s="617"/>
      <c r="H267" s="617"/>
      <c r="I267" s="617"/>
      <c r="J267" s="617"/>
      <c r="K267" s="1694">
        <f t="shared" si="22"/>
        <v>14656</v>
      </c>
      <c r="L267" s="466">
        <v>14567</v>
      </c>
    </row>
    <row r="268" spans="1:14" x14ac:dyDescent="0.2">
      <c r="A268" s="1526" t="s">
        <v>102</v>
      </c>
      <c r="B268" s="615">
        <v>2560</v>
      </c>
      <c r="C268" s="617"/>
      <c r="D268" s="466">
        <v>16161</v>
      </c>
      <c r="E268" s="617"/>
      <c r="F268" s="617"/>
      <c r="G268" s="617"/>
      <c r="H268" s="617"/>
      <c r="I268" s="617"/>
      <c r="J268" s="617"/>
      <c r="K268" s="1694">
        <f t="shared" si="22"/>
        <v>16161</v>
      </c>
      <c r="L268" s="466">
        <v>16175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58593</v>
      </c>
      <c r="E270" s="617"/>
      <c r="F270" s="617"/>
      <c r="G270" s="617"/>
      <c r="H270" s="617"/>
      <c r="I270" s="617"/>
      <c r="J270" s="617"/>
      <c r="K270" s="1692">
        <f>SUM(K263:K269)</f>
        <v>58593</v>
      </c>
      <c r="L270" s="1692">
        <f>SUM(L263:L269)</f>
        <v>57586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95061</v>
      </c>
      <c r="E279" s="617"/>
      <c r="F279" s="617"/>
      <c r="G279" s="617"/>
      <c r="H279" s="617"/>
      <c r="I279" s="617"/>
      <c r="J279" s="617"/>
      <c r="K279" s="1699">
        <f>SUM(K238,K243,K257,K261,K270,K277,K278)</f>
        <v>95061</v>
      </c>
      <c r="L279" s="1699">
        <f>SUM(L238,L243,L257,L261,L270,L277,L278)</f>
        <v>94421</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142558</v>
      </c>
      <c r="E295" s="617"/>
      <c r="F295" s="617"/>
      <c r="G295" s="617"/>
      <c r="H295" s="1692">
        <f>H293</f>
        <v>0</v>
      </c>
      <c r="I295" s="617"/>
      <c r="J295" s="617"/>
      <c r="K295" s="1692">
        <f>SUM(K229,K279,K280,K285,K293,K294)</f>
        <v>142558</v>
      </c>
      <c r="L295" s="1692">
        <f>SUM(L229,L279,L280,L285,L293,L294)</f>
        <v>142739</v>
      </c>
    </row>
    <row r="296" spans="1:14" ht="13.5" thickTop="1" x14ac:dyDescent="0.2">
      <c r="A296" s="2197" t="s">
        <v>1053</v>
      </c>
      <c r="B296" s="2198"/>
      <c r="C296" s="617"/>
      <c r="D296" s="619"/>
      <c r="E296" s="617"/>
      <c r="F296" s="617"/>
      <c r="G296" s="617"/>
      <c r="H296" s="688"/>
      <c r="I296" s="617"/>
      <c r="J296" s="617"/>
      <c r="K296" s="1706">
        <f>'Revenues 9-14'!G275-'Expenditures 15-22'!K295</f>
        <v>17384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30731</v>
      </c>
      <c r="F320" s="467"/>
      <c r="G320" s="467"/>
      <c r="H320" s="467"/>
      <c r="I320" s="467"/>
      <c r="J320" s="467"/>
      <c r="K320" s="1693">
        <f t="shared" ref="K320:K327" si="24">SUM(C320:J320)</f>
        <v>30731</v>
      </c>
      <c r="L320" s="467">
        <v>32000</v>
      </c>
      <c r="M320" s="666"/>
      <c r="N320" s="666"/>
    </row>
    <row r="321" spans="1:14" s="675" customFormat="1" x14ac:dyDescent="0.2">
      <c r="A321" s="1541" t="s">
        <v>318</v>
      </c>
      <c r="B321" s="698" t="s">
        <v>301</v>
      </c>
      <c r="C321" s="467"/>
      <c r="D321" s="467"/>
      <c r="E321" s="467">
        <v>135</v>
      </c>
      <c r="F321" s="467"/>
      <c r="G321" s="467"/>
      <c r="H321" s="467"/>
      <c r="I321" s="467"/>
      <c r="J321" s="467"/>
      <c r="K321" s="1693">
        <f t="shared" si="24"/>
        <v>135</v>
      </c>
      <c r="L321" s="467">
        <v>150</v>
      </c>
      <c r="M321" s="666"/>
      <c r="N321" s="666"/>
    </row>
    <row r="322" spans="1:14" s="675" customFormat="1" x14ac:dyDescent="0.2">
      <c r="A322" s="1541" t="s">
        <v>256</v>
      </c>
      <c r="B322" s="698" t="s">
        <v>302</v>
      </c>
      <c r="C322" s="467"/>
      <c r="D322" s="467"/>
      <c r="E322" s="467">
        <v>25874</v>
      </c>
      <c r="F322" s="467"/>
      <c r="G322" s="467"/>
      <c r="H322" s="467"/>
      <c r="I322" s="467"/>
      <c r="J322" s="467"/>
      <c r="K322" s="1693">
        <f t="shared" si="24"/>
        <v>25874</v>
      </c>
      <c r="L322" s="467">
        <v>26000</v>
      </c>
      <c r="M322" s="666"/>
      <c r="N322" s="666"/>
    </row>
    <row r="323" spans="1:14" s="675" customFormat="1" x14ac:dyDescent="0.2">
      <c r="A323" s="1541" t="s">
        <v>726</v>
      </c>
      <c r="B323" s="698" t="s">
        <v>303</v>
      </c>
      <c r="C323" s="467"/>
      <c r="D323" s="467"/>
      <c r="E323" s="467">
        <v>8767</v>
      </c>
      <c r="F323" s="467"/>
      <c r="G323" s="467"/>
      <c r="H323" s="467">
        <v>996</v>
      </c>
      <c r="I323" s="467"/>
      <c r="J323" s="467"/>
      <c r="K323" s="1693">
        <f t="shared" si="24"/>
        <v>9763</v>
      </c>
      <c r="L323" s="467">
        <v>8000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50861</v>
      </c>
      <c r="D325" s="467">
        <v>4369</v>
      </c>
      <c r="E325" s="467"/>
      <c r="F325" s="467"/>
      <c r="G325" s="467"/>
      <c r="H325" s="467"/>
      <c r="I325" s="467"/>
      <c r="J325" s="467"/>
      <c r="K325" s="1693">
        <f t="shared" si="24"/>
        <v>55230</v>
      </c>
      <c r="L325" s="467">
        <v>55218</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4137</v>
      </c>
      <c r="F327" s="467"/>
      <c r="G327" s="467"/>
      <c r="H327" s="467"/>
      <c r="I327" s="467"/>
      <c r="J327" s="467"/>
      <c r="K327" s="1693">
        <f t="shared" si="24"/>
        <v>4137</v>
      </c>
      <c r="L327" s="467">
        <v>4250</v>
      </c>
      <c r="M327" s="666"/>
      <c r="N327" s="666"/>
    </row>
    <row r="328" spans="1:14" s="675" customFormat="1" x14ac:dyDescent="0.2">
      <c r="A328" s="1542" t="s">
        <v>492</v>
      </c>
      <c r="B328" s="691" t="s">
        <v>1194</v>
      </c>
      <c r="C328" s="474"/>
      <c r="D328" s="474"/>
      <c r="E328" s="474">
        <v>25342</v>
      </c>
      <c r="F328" s="474"/>
      <c r="G328" s="474"/>
      <c r="H328" s="474"/>
      <c r="I328" s="474"/>
      <c r="J328" s="474"/>
      <c r="K328" s="1721">
        <f>SUM(C328:J328)</f>
        <v>25342</v>
      </c>
      <c r="L328" s="474">
        <v>26000</v>
      </c>
      <c r="M328" s="666"/>
      <c r="N328" s="666"/>
    </row>
    <row r="329" spans="1:14" s="675" customFormat="1" x14ac:dyDescent="0.2">
      <c r="A329" s="1542" t="s">
        <v>1195</v>
      </c>
      <c r="B329" s="691" t="s">
        <v>1196</v>
      </c>
      <c r="C329" s="474"/>
      <c r="D329" s="474"/>
      <c r="E329" s="474">
        <v>12445</v>
      </c>
      <c r="F329" s="474"/>
      <c r="G329" s="474"/>
      <c r="H329" s="474"/>
      <c r="I329" s="474"/>
      <c r="J329" s="474"/>
      <c r="K329" s="1721">
        <f>SUM(C329:J329)</f>
        <v>12445</v>
      </c>
      <c r="L329" s="474">
        <v>13000</v>
      </c>
      <c r="M329" s="666"/>
      <c r="N329" s="666"/>
    </row>
    <row r="330" spans="1:14" s="675" customFormat="1" ht="12.75" customHeight="1" thickBot="1" x14ac:dyDescent="0.25">
      <c r="A330" s="1722" t="s">
        <v>741</v>
      </c>
      <c r="B330" s="1691" t="s">
        <v>590</v>
      </c>
      <c r="C330" s="1692">
        <f>SUM(C319:C329)</f>
        <v>50861</v>
      </c>
      <c r="D330" s="1692">
        <f t="shared" ref="D330:J330" si="25">SUM(D319:D329)</f>
        <v>4369</v>
      </c>
      <c r="E330" s="1692">
        <f t="shared" si="25"/>
        <v>107431</v>
      </c>
      <c r="F330" s="1692">
        <f t="shared" si="25"/>
        <v>0</v>
      </c>
      <c r="G330" s="1692">
        <f t="shared" si="25"/>
        <v>0</v>
      </c>
      <c r="H330" s="1692">
        <f t="shared" si="25"/>
        <v>996</v>
      </c>
      <c r="I330" s="1692">
        <f t="shared" si="25"/>
        <v>0</v>
      </c>
      <c r="J330" s="1692">
        <f t="shared" si="25"/>
        <v>0</v>
      </c>
      <c r="K330" s="1692">
        <f>SUM(K319:K329)</f>
        <v>163657</v>
      </c>
      <c r="L330" s="1692">
        <f>SUM(L319:L329)</f>
        <v>164618</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50861</v>
      </c>
      <c r="D342" s="1692">
        <f>SUM(D330)</f>
        <v>4369</v>
      </c>
      <c r="E342" s="1692">
        <f>SUM(E330)</f>
        <v>107431</v>
      </c>
      <c r="F342" s="1692">
        <f>SUM(F330)</f>
        <v>0</v>
      </c>
      <c r="G342" s="1692">
        <f>SUM(G330)</f>
        <v>0</v>
      </c>
      <c r="H342" s="1692">
        <f>SUM(H330,H334,H340)</f>
        <v>996</v>
      </c>
      <c r="I342" s="1692">
        <f>SUM(I330)</f>
        <v>0</v>
      </c>
      <c r="J342" s="1692">
        <f>SUM(J330)</f>
        <v>0</v>
      </c>
      <c r="K342" s="1692">
        <f>SUM(K330,K334,K340)</f>
        <v>163657</v>
      </c>
      <c r="L342" s="1699">
        <f>SUM(L330,L340,L341)</f>
        <v>164618</v>
      </c>
    </row>
    <row r="343" spans="1:14" ht="12.75" customHeight="1" thickTop="1" x14ac:dyDescent="0.2">
      <c r="A343" s="2183" t="s">
        <v>1053</v>
      </c>
      <c r="B343" s="2184"/>
      <c r="C343" s="617"/>
      <c r="D343" s="617"/>
      <c r="E343" s="617"/>
      <c r="F343" s="617"/>
      <c r="G343" s="617"/>
      <c r="H343" s="617"/>
      <c r="I343" s="617"/>
      <c r="J343" s="617"/>
      <c r="K343" s="1706">
        <f>'Revenues 9-14'!J275-'Expenditures 15-22'!K342</f>
        <v>40261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10908</v>
      </c>
      <c r="F349" s="466"/>
      <c r="G349" s="466"/>
      <c r="H349" s="466"/>
      <c r="I349" s="467"/>
      <c r="J349" s="467"/>
      <c r="K349" s="1693">
        <f>SUM(C349:J349)</f>
        <v>10908</v>
      </c>
      <c r="L349" s="466">
        <v>12000</v>
      </c>
    </row>
    <row r="350" spans="1:14" ht="12.75" customHeight="1" thickBot="1" x14ac:dyDescent="0.25">
      <c r="A350" s="1690" t="s">
        <v>743</v>
      </c>
      <c r="B350" s="1691" t="s">
        <v>35</v>
      </c>
      <c r="C350" s="1692">
        <f>SUM(C348:C349)</f>
        <v>0</v>
      </c>
      <c r="D350" s="1692">
        <f t="shared" ref="D350:L350" si="26">SUM(D348:D349)</f>
        <v>0</v>
      </c>
      <c r="E350" s="1692">
        <f t="shared" si="26"/>
        <v>10908</v>
      </c>
      <c r="F350" s="1692">
        <f t="shared" si="26"/>
        <v>0</v>
      </c>
      <c r="G350" s="1692">
        <f t="shared" si="26"/>
        <v>0</v>
      </c>
      <c r="H350" s="1692">
        <f t="shared" si="26"/>
        <v>0</v>
      </c>
      <c r="I350" s="1692">
        <f t="shared" si="26"/>
        <v>0</v>
      </c>
      <c r="J350" s="1692">
        <f t="shared" si="26"/>
        <v>0</v>
      </c>
      <c r="K350" s="1692">
        <f t="shared" si="26"/>
        <v>10908</v>
      </c>
      <c r="L350" s="1692">
        <f t="shared" si="26"/>
        <v>12000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10908</v>
      </c>
      <c r="F352" s="1692">
        <f t="shared" si="27"/>
        <v>0</v>
      </c>
      <c r="G352" s="1692">
        <f t="shared" si="27"/>
        <v>0</v>
      </c>
      <c r="H352" s="1692">
        <f t="shared" si="27"/>
        <v>0</v>
      </c>
      <c r="I352" s="1692">
        <f t="shared" si="27"/>
        <v>0</v>
      </c>
      <c r="J352" s="1692">
        <f t="shared" si="27"/>
        <v>0</v>
      </c>
      <c r="K352" s="1692">
        <f t="shared" si="27"/>
        <v>10908</v>
      </c>
      <c r="L352" s="1692">
        <f t="shared" si="27"/>
        <v>12000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10908</v>
      </c>
      <c r="F367" s="1692">
        <f t="shared" si="28"/>
        <v>0</v>
      </c>
      <c r="G367" s="1692">
        <f t="shared" si="28"/>
        <v>0</v>
      </c>
      <c r="H367" s="1692">
        <f t="shared" si="28"/>
        <v>0</v>
      </c>
      <c r="I367" s="1692">
        <f t="shared" si="28"/>
        <v>0</v>
      </c>
      <c r="J367" s="1692">
        <f t="shared" si="28"/>
        <v>0</v>
      </c>
      <c r="K367" s="1692">
        <f t="shared" si="28"/>
        <v>10908</v>
      </c>
      <c r="L367" s="1692">
        <f t="shared" si="28"/>
        <v>12000</v>
      </c>
    </row>
    <row r="368" spans="1:14" ht="13.5" thickTop="1" x14ac:dyDescent="0.2">
      <c r="A368" s="2197" t="s">
        <v>1053</v>
      </c>
      <c r="B368" s="2198"/>
      <c r="C368" s="655"/>
      <c r="D368" s="655"/>
      <c r="E368" s="627"/>
      <c r="F368" s="627"/>
      <c r="G368" s="627"/>
      <c r="H368" s="627"/>
      <c r="I368" s="627"/>
      <c r="J368" s="624"/>
      <c r="K368" s="1693">
        <f>'Revenues 9-14'!K275-'Expenditures 15-22'!K367</f>
        <v>25072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3" sqref="A12:H1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2035</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2115254</v>
      </c>
      <c r="C4" s="1546"/>
      <c r="D4" s="1774">
        <f>B4-C4</f>
        <v>2115254</v>
      </c>
      <c r="E4" s="1546">
        <v>2126364</v>
      </c>
      <c r="F4" s="1774">
        <f>E4-C4</f>
        <v>2126364</v>
      </c>
    </row>
    <row r="5" spans="1:6" ht="13.7" customHeight="1" x14ac:dyDescent="0.2">
      <c r="A5" s="716" t="s">
        <v>925</v>
      </c>
      <c r="B5" s="1772">
        <f>'Revenues 9-14'!D5</f>
        <v>358518</v>
      </c>
      <c r="C5" s="585"/>
      <c r="D5" s="1775">
        <f t="shared" ref="D5:D18" si="0">B5-C5</f>
        <v>358518</v>
      </c>
      <c r="E5" s="585">
        <v>360401</v>
      </c>
      <c r="F5" s="1775">
        <f>E5-C5</f>
        <v>360401</v>
      </c>
    </row>
    <row r="6" spans="1:6" ht="13.7" customHeight="1" x14ac:dyDescent="0.2">
      <c r="A6" s="716" t="s">
        <v>431</v>
      </c>
      <c r="B6" s="1772">
        <f>'Revenues 9-14'!E5</f>
        <v>80358</v>
      </c>
      <c r="C6" s="585"/>
      <c r="D6" s="1775">
        <f t="shared" si="0"/>
        <v>80358</v>
      </c>
      <c r="E6" s="585">
        <v>77695</v>
      </c>
      <c r="F6" s="1775">
        <f t="shared" ref="F6:F18" si="1">E6-C6</f>
        <v>77695</v>
      </c>
    </row>
    <row r="7" spans="1:6" ht="13.7" customHeight="1" x14ac:dyDescent="0.2">
      <c r="A7" s="716" t="s">
        <v>157</v>
      </c>
      <c r="B7" s="1772">
        <f>'Revenues 9-14'!F5</f>
        <v>143409</v>
      </c>
      <c r="C7" s="585"/>
      <c r="D7" s="1775">
        <f t="shared" si="0"/>
        <v>143409</v>
      </c>
      <c r="E7" s="585">
        <v>144160</v>
      </c>
      <c r="F7" s="1775">
        <f t="shared" si="1"/>
        <v>144160</v>
      </c>
    </row>
    <row r="8" spans="1:6" ht="13.7" customHeight="1" x14ac:dyDescent="0.2">
      <c r="A8" s="716" t="s">
        <v>1241</v>
      </c>
      <c r="B8" s="1772">
        <f>'Revenues 9-14'!G5</f>
        <v>74828</v>
      </c>
      <c r="C8" s="585"/>
      <c r="D8" s="1775">
        <f t="shared" si="0"/>
        <v>74828</v>
      </c>
      <c r="E8" s="585">
        <v>76001</v>
      </c>
      <c r="F8" s="1775">
        <f t="shared" si="1"/>
        <v>76001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35853</v>
      </c>
      <c r="C10" s="585"/>
      <c r="D10" s="1775">
        <f t="shared" si="0"/>
        <v>35853</v>
      </c>
      <c r="E10" s="585">
        <v>36040</v>
      </c>
      <c r="F10" s="1775">
        <f t="shared" si="1"/>
        <v>36040</v>
      </c>
    </row>
    <row r="11" spans="1:6" x14ac:dyDescent="0.2">
      <c r="A11" s="716" t="s">
        <v>429</v>
      </c>
      <c r="B11" s="1772">
        <f>'Revenues 9-14'!J5</f>
        <v>189562</v>
      </c>
      <c r="C11" s="585"/>
      <c r="D11" s="1775">
        <f t="shared" si="0"/>
        <v>189562</v>
      </c>
      <c r="E11" s="585">
        <v>201305</v>
      </c>
      <c r="F11" s="1775">
        <f t="shared" si="1"/>
        <v>201305</v>
      </c>
    </row>
    <row r="12" spans="1:6" ht="13.7" customHeight="1" x14ac:dyDescent="0.2">
      <c r="A12" s="716" t="s">
        <v>159</v>
      </c>
      <c r="B12" s="1772">
        <f>'Revenues 9-14'!K5</f>
        <v>35853</v>
      </c>
      <c r="C12" s="585"/>
      <c r="D12" s="1775">
        <f t="shared" si="0"/>
        <v>35853</v>
      </c>
      <c r="E12" s="585">
        <v>36040</v>
      </c>
      <c r="F12" s="1775">
        <f t="shared" si="1"/>
        <v>36040</v>
      </c>
    </row>
    <row r="13" spans="1:6" ht="13.7" customHeight="1" x14ac:dyDescent="0.2">
      <c r="A13" s="716" t="s">
        <v>993</v>
      </c>
      <c r="B13" s="1772">
        <f>SUM('Revenues 9-14'!C6:D6)</f>
        <v>35853</v>
      </c>
      <c r="C13" s="585"/>
      <c r="D13" s="1775">
        <f t="shared" si="0"/>
        <v>35853</v>
      </c>
      <c r="E13" s="585">
        <v>36040</v>
      </c>
      <c r="F13" s="1775">
        <f t="shared" si="1"/>
        <v>36040</v>
      </c>
    </row>
    <row r="14" spans="1:6" ht="13.7" customHeight="1" x14ac:dyDescent="0.2">
      <c r="A14" s="716" t="s">
        <v>430</v>
      </c>
      <c r="B14" s="1772">
        <f>SUM('Revenues 9-14'!C7:D7,'Revenues 9-14'!F7:H7)</f>
        <v>28682</v>
      </c>
      <c r="C14" s="585"/>
      <c r="D14" s="1775">
        <f t="shared" si="0"/>
        <v>28682</v>
      </c>
      <c r="E14" s="585">
        <v>28832</v>
      </c>
      <c r="F14" s="1775">
        <f t="shared" si="1"/>
        <v>28832</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84804</v>
      </c>
      <c r="C16" s="585"/>
      <c r="D16" s="1775">
        <f t="shared" si="0"/>
        <v>84804</v>
      </c>
      <c r="E16" s="585">
        <v>87001</v>
      </c>
      <c r="F16" s="1775">
        <f t="shared" si="1"/>
        <v>87001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3182974</v>
      </c>
      <c r="C19" s="1773">
        <f>SUM(C4:C18)</f>
        <v>0</v>
      </c>
      <c r="D19" s="1773">
        <f>SUM(D4:D18)</f>
        <v>3182974</v>
      </c>
      <c r="E19" s="1773">
        <f>SUM(E4:E18)</f>
        <v>3209879</v>
      </c>
      <c r="F19" s="1773">
        <f>SUM(F4:F18)</f>
        <v>3209879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13" sqref="A12:H1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2036</v>
      </c>
      <c r="D2" s="724" t="s">
        <v>2043</v>
      </c>
      <c r="E2" s="724" t="s">
        <v>2044</v>
      </c>
      <c r="F2" s="1909" t="s">
        <v>2037</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2098</v>
      </c>
      <c r="B31" s="734">
        <v>39994</v>
      </c>
      <c r="C31" s="735">
        <v>625000</v>
      </c>
      <c r="D31" s="736">
        <v>2</v>
      </c>
      <c r="E31" s="735">
        <v>145000</v>
      </c>
      <c r="F31" s="735"/>
      <c r="G31" s="735"/>
      <c r="H31" s="735">
        <v>70000</v>
      </c>
      <c r="I31" s="1778">
        <f>((E31+F31)-H31)+G31</f>
        <v>75000</v>
      </c>
      <c r="J31" s="735">
        <v>71501</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625000</v>
      </c>
      <c r="D49" s="746"/>
      <c r="E49" s="1778">
        <f t="shared" ref="E49:J49" si="2">SUM(E31:E48)</f>
        <v>145000</v>
      </c>
      <c r="F49" s="1778">
        <f t="shared" si="2"/>
        <v>0</v>
      </c>
      <c r="G49" s="1778">
        <f t="shared" si="2"/>
        <v>0</v>
      </c>
      <c r="H49" s="1778">
        <f t="shared" si="2"/>
        <v>70000</v>
      </c>
      <c r="I49" s="1778">
        <f t="shared" si="2"/>
        <v>75000</v>
      </c>
      <c r="J49" s="1778">
        <f t="shared" si="2"/>
        <v>71501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3" sqref="A12: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28682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2400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7624</v>
      </c>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28682</v>
      </c>
      <c r="I12" s="1780">
        <f>SUM(I5:I11)</f>
        <v>0</v>
      </c>
      <c r="J12" s="1780">
        <f>SUM(J5:J11)</f>
        <v>0</v>
      </c>
      <c r="K12" s="1780">
        <f>SUM(K5:K11)</f>
        <v>10024</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28682</v>
      </c>
      <c r="I14" s="772"/>
      <c r="J14" s="774"/>
      <c r="K14" s="766">
        <v>10024</v>
      </c>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28682</v>
      </c>
      <c r="I23" s="1780">
        <f>SUM(I14:I16,I21,I22)</f>
        <v>0</v>
      </c>
      <c r="J23" s="1780">
        <f>SUM(J14:J16,J21,J22)</f>
        <v>0</v>
      </c>
      <c r="K23" s="1780">
        <f>SUM(K14:K16,K21,K22)</f>
        <v>10024</v>
      </c>
    </row>
    <row r="24" spans="1:11" ht="14.25" thickTop="1" thickBot="1" x14ac:dyDescent="0.25">
      <c r="A24" s="2251" t="s">
        <v>2024</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3" sqref="A12:H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7"/>
      <c r="E1" s="828"/>
      <c r="F1" s="828"/>
      <c r="G1" s="829"/>
      <c r="H1" s="830"/>
      <c r="I1" s="831"/>
      <c r="J1" s="2267"/>
      <c r="K1" s="2268"/>
      <c r="L1" s="226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306843</v>
      </c>
      <c r="D5" s="842"/>
      <c r="E5" s="842"/>
      <c r="F5" s="1782">
        <f>(C5+D5)-E5</f>
        <v>306843</v>
      </c>
      <c r="G5" s="838"/>
      <c r="H5" s="843"/>
      <c r="I5" s="843"/>
      <c r="J5" s="843"/>
      <c r="K5" s="794"/>
      <c r="L5" s="1791">
        <f>F5-K5</f>
        <v>306843</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7349731</v>
      </c>
      <c r="D8" s="845">
        <v>42811</v>
      </c>
      <c r="E8" s="845"/>
      <c r="F8" s="1782">
        <f>(C8+D8)-E8</f>
        <v>7392542</v>
      </c>
      <c r="G8" s="844">
        <v>50</v>
      </c>
      <c r="H8" s="766">
        <v>4567861</v>
      </c>
      <c r="I8" s="766">
        <v>127810</v>
      </c>
      <c r="J8" s="766"/>
      <c r="K8" s="1791">
        <f>(H8+I8)-J8</f>
        <v>4695671</v>
      </c>
      <c r="L8" s="1791">
        <f>F8-K8</f>
        <v>2696871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79283</v>
      </c>
      <c r="D10" s="847"/>
      <c r="E10" s="847"/>
      <c r="F10" s="1786">
        <f>(C10+D10)-E10</f>
        <v>79283</v>
      </c>
      <c r="G10" s="844">
        <v>20</v>
      </c>
      <c r="H10" s="848">
        <v>53747</v>
      </c>
      <c r="I10" s="848">
        <v>4522</v>
      </c>
      <c r="J10" s="848"/>
      <c r="K10" s="1791">
        <f>(H10+I10)-J10</f>
        <v>58269</v>
      </c>
      <c r="L10" s="1791">
        <f>F10-K10</f>
        <v>21014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792981</v>
      </c>
      <c r="D12" s="845">
        <v>27157</v>
      </c>
      <c r="E12" s="845">
        <v>260533</v>
      </c>
      <c r="F12" s="1782">
        <f>(C12+D12)-E12</f>
        <v>559605</v>
      </c>
      <c r="G12" s="844">
        <v>10</v>
      </c>
      <c r="H12" s="766">
        <v>389300</v>
      </c>
      <c r="I12" s="766">
        <v>42777</v>
      </c>
      <c r="J12" s="766">
        <v>260533</v>
      </c>
      <c r="K12" s="1791">
        <f>(H12+I12)-J12</f>
        <v>171544</v>
      </c>
      <c r="L12" s="1791">
        <f>F12-K12</f>
        <v>388061</v>
      </c>
    </row>
    <row r="13" spans="1:14" ht="14.25" thickTop="1" thickBot="1" x14ac:dyDescent="0.25">
      <c r="A13" s="849" t="s">
        <v>1184</v>
      </c>
      <c r="B13" s="841">
        <v>252</v>
      </c>
      <c r="C13" s="845">
        <v>823707</v>
      </c>
      <c r="D13" s="845">
        <v>5165</v>
      </c>
      <c r="E13" s="845">
        <v>88150</v>
      </c>
      <c r="F13" s="1782">
        <f>(C13+D13)-E13</f>
        <v>740722</v>
      </c>
      <c r="G13" s="844">
        <v>5</v>
      </c>
      <c r="H13" s="766">
        <v>661028</v>
      </c>
      <c r="I13" s="766">
        <v>124371</v>
      </c>
      <c r="J13" s="766">
        <v>88150</v>
      </c>
      <c r="K13" s="1791">
        <f>(H13+I13)-J13</f>
        <v>697249</v>
      </c>
      <c r="L13" s="1791">
        <f>F13-K13</f>
        <v>43473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9352545</v>
      </c>
      <c r="D16" s="1782">
        <f>SUM(D3,D5:D6,D8:D10,D12:D15)</f>
        <v>75133</v>
      </c>
      <c r="E16" s="1782">
        <f>SUM(E3,E5:E6,E8:E10,E12:E15)</f>
        <v>348683</v>
      </c>
      <c r="F16" s="1782">
        <f>SUM(F3,F5:F6,F8:F10,F12:F15)</f>
        <v>9078995</v>
      </c>
      <c r="G16" s="844"/>
      <c r="H16" s="1782">
        <f>SUM(H3,H6,H8:H10,H12:H14,)</f>
        <v>5671936</v>
      </c>
      <c r="I16" s="1782">
        <f>SUM(I3,I6,I8:I10,I12:I14,)</f>
        <v>299480</v>
      </c>
      <c r="J16" s="1782">
        <f>SUM(J3,J6,J8:J10,J12:J14,)</f>
        <v>348683</v>
      </c>
      <c r="K16" s="1782">
        <f>(H16+I16)-J16</f>
        <v>5622733</v>
      </c>
      <c r="L16" s="1782">
        <f>F16-K16</f>
        <v>3456262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299480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activeCell="A13" sqref="A12:H15"/>
      <selection pane="bottomLeft" activeCell="A13" sqref="A12:H1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4238315</v>
      </c>
      <c r="G8" s="866"/>
    </row>
    <row r="9" spans="1:7" x14ac:dyDescent="0.2">
      <c r="A9" s="870" t="s">
        <v>480</v>
      </c>
      <c r="B9" s="871" t="s">
        <v>1988</v>
      </c>
      <c r="C9" s="872"/>
      <c r="D9" s="870" t="s">
        <v>522</v>
      </c>
      <c r="E9" s="869"/>
      <c r="F9" s="1935">
        <f>'Expenditures 15-22'!K151</f>
        <v>429516</v>
      </c>
      <c r="G9" s="873"/>
    </row>
    <row r="10" spans="1:7" x14ac:dyDescent="0.2">
      <c r="A10" s="870" t="s">
        <v>520</v>
      </c>
      <c r="B10" s="871" t="s">
        <v>1989</v>
      </c>
      <c r="C10" s="872"/>
      <c r="D10" s="870" t="s">
        <v>522</v>
      </c>
      <c r="E10" s="869"/>
      <c r="F10" s="1935">
        <f>'Expenditures 15-22'!K174</f>
        <v>76663</v>
      </c>
      <c r="G10" s="873"/>
    </row>
    <row r="11" spans="1:7" x14ac:dyDescent="0.2">
      <c r="A11" s="870" t="s">
        <v>481</v>
      </c>
      <c r="B11" s="871" t="s">
        <v>1990</v>
      </c>
      <c r="C11" s="872"/>
      <c r="D11" s="870" t="s">
        <v>522</v>
      </c>
      <c r="E11" s="869"/>
      <c r="F11" s="1935">
        <f>'Expenditures 15-22'!K210</f>
        <v>254263</v>
      </c>
      <c r="G11" s="873"/>
    </row>
    <row r="12" spans="1:7" x14ac:dyDescent="0.2">
      <c r="A12" s="870" t="s">
        <v>482</v>
      </c>
      <c r="B12" s="871" t="s">
        <v>1991</v>
      </c>
      <c r="C12" s="872"/>
      <c r="D12" s="870" t="s">
        <v>522</v>
      </c>
      <c r="E12" s="869"/>
      <c r="F12" s="1935">
        <f>'Expenditures 15-22'!K295</f>
        <v>142558</v>
      </c>
      <c r="G12" s="873"/>
    </row>
    <row r="13" spans="1:7" x14ac:dyDescent="0.2">
      <c r="A13" s="870" t="s">
        <v>108</v>
      </c>
      <c r="B13" s="871" t="s">
        <v>1992</v>
      </c>
      <c r="C13" s="872"/>
      <c r="D13" s="870" t="s">
        <v>522</v>
      </c>
      <c r="E13" s="869"/>
      <c r="F13" s="1935">
        <f>'Expenditures 15-22'!K342</f>
        <v>163657</v>
      </c>
      <c r="G13" s="874"/>
    </row>
    <row r="14" spans="1:7" ht="12" customHeight="1" thickBot="1" x14ac:dyDescent="0.25">
      <c r="A14" s="1792"/>
      <c r="B14" s="1793"/>
      <c r="C14" s="1794"/>
      <c r="D14" s="1795" t="s">
        <v>522</v>
      </c>
      <c r="E14" s="1796" t="s">
        <v>1015</v>
      </c>
      <c r="F14" s="1797">
        <f>SUM(F8:F13)</f>
        <v>5304972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231</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73026</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30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466139</v>
      </c>
      <c r="G53" s="866"/>
    </row>
    <row r="54" spans="1:7" x14ac:dyDescent="0.2">
      <c r="A54" s="870" t="s">
        <v>479</v>
      </c>
      <c r="B54" s="870" t="s">
        <v>1552</v>
      </c>
      <c r="C54" s="890" t="s">
        <v>1039</v>
      </c>
      <c r="D54" s="886" t="s">
        <v>1157</v>
      </c>
      <c r="E54" s="869"/>
      <c r="F54" s="1939">
        <f>'Expenditures 15-22'!G114</f>
        <v>27157</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47976</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2871</v>
      </c>
      <c r="G67" s="866"/>
    </row>
    <row r="68" spans="1:8" x14ac:dyDescent="0.2">
      <c r="A68" s="870" t="s">
        <v>482</v>
      </c>
      <c r="B68" s="870" t="s">
        <v>1555</v>
      </c>
      <c r="C68" s="887" t="str">
        <f>'Expenditures 15-22'!B218</f>
        <v>1225</v>
      </c>
      <c r="D68" s="893" t="str">
        <f>'Expenditures 15-22'!A218</f>
        <v>Special Education Programs - Pre-K</v>
      </c>
      <c r="E68" s="869"/>
      <c r="F68" s="1939">
        <f>'Expenditures 15-22'!K218</f>
        <v>2</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687432</v>
      </c>
      <c r="G76" s="866"/>
    </row>
    <row r="77" spans="1:8" s="894" customFormat="1" ht="12" customHeight="1" thickTop="1" thickBot="1" x14ac:dyDescent="0.25">
      <c r="A77" s="1801"/>
      <c r="B77" s="1798"/>
      <c r="C77" s="1794"/>
      <c r="D77" s="1799" t="s">
        <v>2011</v>
      </c>
      <c r="E77" s="1796"/>
      <c r="F77" s="1802">
        <f>(F14-F76)</f>
        <v>4617540</v>
      </c>
      <c r="G77" s="870"/>
    </row>
    <row r="78" spans="1:8" s="894" customFormat="1" ht="12" customHeight="1" thickTop="1" x14ac:dyDescent="0.2">
      <c r="A78" s="1803"/>
      <c r="B78" s="1798"/>
      <c r="C78" s="1794"/>
      <c r="D78" s="1799" t="s">
        <v>2057</v>
      </c>
      <c r="E78" s="1796"/>
      <c r="F78" s="899">
        <v>520.49</v>
      </c>
      <c r="G78" s="900"/>
      <c r="H78" s="870"/>
    </row>
    <row r="79" spans="1:8" s="894" customFormat="1" ht="12" customHeight="1" thickBot="1" x14ac:dyDescent="0.25">
      <c r="A79" s="1804"/>
      <c r="B79" s="1798"/>
      <c r="C79" s="1794"/>
      <c r="D79" s="1799" t="s">
        <v>2012</v>
      </c>
      <c r="E79" s="1796" t="s">
        <v>1015</v>
      </c>
      <c r="F79" s="1805">
        <f>IF(F78&gt;0,F77/F78," Complete Line 78")</f>
        <v>8871.5249092201575</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111038</v>
      </c>
      <c r="G94" s="913"/>
    </row>
    <row r="95" spans="1:7" x14ac:dyDescent="0.2">
      <c r="A95" s="909" t="s">
        <v>142</v>
      </c>
      <c r="B95" s="909" t="s">
        <v>177</v>
      </c>
      <c r="C95" s="911">
        <v>1700</v>
      </c>
      <c r="D95" s="919" t="str">
        <f>'Revenues 9-14'!A82</f>
        <v>Total District/School Activity Income</v>
      </c>
      <c r="E95" s="907"/>
      <c r="F95" s="1811">
        <f>SUM('Revenues 9-14'!C82,'Revenues 9-14'!D82)</f>
        <v>31351</v>
      </c>
      <c r="G95" s="913"/>
    </row>
    <row r="96" spans="1:7" x14ac:dyDescent="0.2">
      <c r="A96" s="909" t="s">
        <v>479</v>
      </c>
      <c r="B96" s="909" t="s">
        <v>178</v>
      </c>
      <c r="C96" s="911">
        <f>'Revenues 9-14'!B84</f>
        <v>1811</v>
      </c>
      <c r="D96" s="912" t="str">
        <f>'Revenues 9-14'!A84</f>
        <v>Rentals - Regular Textbooks</v>
      </c>
      <c r="E96" s="907"/>
      <c r="F96" s="1811">
        <f>'Revenues 9-14'!C84</f>
        <v>12435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13472</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25783</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705</v>
      </c>
      <c r="G104" s="913"/>
    </row>
    <row r="105" spans="1:7" x14ac:dyDescent="0.2">
      <c r="A105" s="909" t="s">
        <v>524</v>
      </c>
      <c r="B105" s="909" t="s">
        <v>842</v>
      </c>
      <c r="C105" s="914">
        <v>3100</v>
      </c>
      <c r="D105" s="920" t="str">
        <f>'Revenues 9-14'!A131</f>
        <v>Total Special Education</v>
      </c>
      <c r="E105" s="907"/>
      <c r="F105" s="1811">
        <f>SUM('Revenues 9-14'!C131:D131,'Revenues 9-14'!F131)</f>
        <v>91221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18806</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2003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7624</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114955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142338</v>
      </c>
      <c r="G129" s="931"/>
    </row>
    <row r="130" spans="1:7" x14ac:dyDescent="0.2">
      <c r="A130" s="928" t="s">
        <v>689</v>
      </c>
      <c r="B130" s="928" t="s">
        <v>804</v>
      </c>
      <c r="C130" s="933">
        <v>4300</v>
      </c>
      <c r="D130" s="934" t="str">
        <f>'Revenues 9-14'!A211</f>
        <v>Total Title I</v>
      </c>
      <c r="E130" s="907"/>
      <c r="F130" s="1811">
        <f>SUM('Revenues 9-14'!C211,'Revenues 9-14'!D211,'Revenues 9-14'!F211,'Revenues 9-14'!G211)</f>
        <v>120522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5820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539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28114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48112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775588</v>
      </c>
    </row>
    <row r="179" spans="1:7" ht="12" customHeight="1" x14ac:dyDescent="0.2">
      <c r="A179" s="1792"/>
      <c r="B179" s="1806"/>
      <c r="C179" s="1807"/>
      <c r="D179" s="1808" t="s">
        <v>2014</v>
      </c>
      <c r="E179" s="1809"/>
      <c r="F179" s="1811">
        <f>'PCTC-OEPP 27-28'!F77-F178</f>
        <v>3841952</v>
      </c>
    </row>
    <row r="180" spans="1:7" ht="12" customHeight="1" x14ac:dyDescent="0.2">
      <c r="A180" s="1792"/>
      <c r="B180" s="1806"/>
      <c r="C180" s="1807"/>
      <c r="D180" s="1808" t="s">
        <v>1924</v>
      </c>
      <c r="E180" s="1809"/>
      <c r="F180" s="1811">
        <f>'Cap Outlay Deprec 26'!I18</f>
        <v>299480</v>
      </c>
    </row>
    <row r="181" spans="1:7" ht="12" customHeight="1" x14ac:dyDescent="0.2">
      <c r="A181" s="1792"/>
      <c r="B181" s="1806"/>
      <c r="C181" s="1807"/>
      <c r="D181" s="1808" t="s">
        <v>2015</v>
      </c>
      <c r="E181" s="1809"/>
      <c r="F181" s="1811">
        <f>F179+F180</f>
        <v>4141432</v>
      </c>
    </row>
    <row r="182" spans="1:7" ht="12" customHeight="1" x14ac:dyDescent="0.2">
      <c r="A182" s="1792"/>
      <c r="B182" s="1812"/>
      <c r="C182" s="1807"/>
      <c r="D182" s="1808" t="str">
        <f>D78</f>
        <v>9 Month ADA from District Average Daily Attendance/Prior General State Aid Inquiry 2017-2018</v>
      </c>
      <c r="E182" s="1809"/>
      <c r="F182" s="1813">
        <f>'PCTC-OEPP 27-28'!F78</f>
        <v>520.49</v>
      </c>
      <c r="G182" s="931"/>
    </row>
    <row r="183" spans="1:7" ht="12" customHeight="1" thickBot="1" x14ac:dyDescent="0.25">
      <c r="A183" s="1792"/>
      <c r="B183" s="1812"/>
      <c r="C183" s="1807"/>
      <c r="D183" s="1808" t="s">
        <v>2016</v>
      </c>
      <c r="E183" s="1809" t="s">
        <v>1626</v>
      </c>
      <c r="F183" s="1814">
        <f>F181/F182</f>
        <v>7956.7945589732753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3" sqref="A12:H15"/>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2076</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2075</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956" t="s">
        <v>2106</v>
      </c>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A13" sqref="A12:H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3" t="s">
        <v>1944</v>
      </c>
      <c r="B11" s="2304"/>
      <c r="C11" s="2304"/>
      <c r="D11" s="2305"/>
      <c r="E11" s="978">
        <v>20248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2779755</v>
      </c>
      <c r="F19" s="1822"/>
      <c r="G19" s="1824">
        <f>'Expenditures 15-22'!K33-SUM('Expenditures 15-22'!G33,'Expenditures 15-22'!I33)+'Expenditures 15-22'!D229</f>
        <v>2779755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70620</v>
      </c>
      <c r="F21" s="1825"/>
      <c r="G21" s="1828">
        <f>'Expenditures 15-22'!K42-SUM('Expenditures 15-22'!G42,'Expenditures 15-22'!I42)+'Expenditures 15-22'!K120-SUM('Expenditures 15-22'!G120,'Expenditures 15-22'!I120)+'Expenditures 15-22'!K180-SUM('Expenditures 15-22'!G180,'Expenditures 15-22'!I180)+'Expenditures 15-22'!D238</f>
        <v>70620</v>
      </c>
      <c r="H21" s="988"/>
      <c r="I21" s="162"/>
    </row>
    <row r="22" spans="1:9" s="669" customFormat="1" ht="12" customHeight="1" x14ac:dyDescent="0.2">
      <c r="A22" s="995" t="s">
        <v>585</v>
      </c>
      <c r="B22" s="996"/>
      <c r="C22" s="994">
        <v>2200</v>
      </c>
      <c r="D22" s="1825"/>
      <c r="E22" s="1827">
        <f>'Expenditures 15-22'!K47-SUM('Expenditures 15-22'!G47,'Expenditures 15-22'!I47)+'Expenditures 15-22'!D243</f>
        <v>158650</v>
      </c>
      <c r="F22" s="1825"/>
      <c r="G22" s="1828">
        <f>'Expenditures 15-22'!K47-SUM('Expenditures 15-22'!G47,'Expenditures 15-22'!I47)+'Expenditures 15-22'!D243</f>
        <v>158650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376897</v>
      </c>
      <c r="F23" s="1825"/>
      <c r="G23" s="1827">
        <f>'Expenditures 15-22'!K53-SUM('Expenditures 15-22'!G53,'Expenditures 15-22'!I53)+'Expenditures 15-22'!D257+'Expenditures 15-22'!K330-SUM('Expenditures 15-22'!G330,'Expenditures 15-22'!I330)</f>
        <v>376897</v>
      </c>
      <c r="H23" s="988"/>
      <c r="I23" s="162"/>
    </row>
    <row r="24" spans="1:9" s="669" customFormat="1" ht="12" customHeight="1" x14ac:dyDescent="0.2">
      <c r="A24" s="995" t="s">
        <v>587</v>
      </c>
      <c r="B24" s="996"/>
      <c r="C24" s="994">
        <v>2400</v>
      </c>
      <c r="D24" s="1825"/>
      <c r="E24" s="1827">
        <f>'Expenditures 15-22'!K57-SUM('Expenditures 15-22'!G57,'Expenditures 15-22'!I57)+'Expenditures 15-22'!D261</f>
        <v>289147</v>
      </c>
      <c r="F24" s="1825"/>
      <c r="G24" s="1828">
        <f>'Expenditures 15-22'!K57-SUM('Expenditures 15-22'!G57,'Expenditures 15-22'!I57)+'Expenditures 15-22'!D261</f>
        <v>289147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65208</v>
      </c>
      <c r="E27" s="1827">
        <f>E8</f>
        <v>0</v>
      </c>
      <c r="F27" s="1827">
        <f>'Expenditures 15-22'!K60-SUM('Expenditures 15-22'!G60,'Expenditures 15-22'!I60)+'Expenditures 15-22'!D264-E8</f>
        <v>65208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403478</v>
      </c>
      <c r="F28" s="1829">
        <f>'Expenditures 15-22'!K61-SUM('Expenditures 15-22'!G61,'Expenditures 15-22'!I61)+'Expenditures 15-22'!K124-SUM('Expenditures 15-22'!G124,'Expenditures 15-22'!I124)+'Expenditures 15-22'!D266-E9</f>
        <v>403478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282044</v>
      </c>
      <c r="F29" s="1825"/>
      <c r="G29" s="1828">
        <f>'Expenditures 15-22'!K62-SUM('Expenditures 15-22'!G62,'Expenditures 15-22'!I62)+'Expenditures 15-22'!K125-SUM('Expenditures 15-22'!G125,'Expenditures 15-22'!I125)+'Expenditures 15-22'!K182-SUM('Expenditures 15-22'!G182,'Expenditures 15-22'!I182)+'Expenditures 15-22'!D267</f>
        <v>282044</v>
      </c>
      <c r="H29" s="986"/>
    </row>
    <row r="30" spans="1:9" ht="12" customHeight="1" x14ac:dyDescent="0.2">
      <c r="A30" s="995" t="s">
        <v>102</v>
      </c>
      <c r="B30" s="998"/>
      <c r="C30" s="994">
        <v>2560</v>
      </c>
      <c r="D30" s="1825"/>
      <c r="E30" s="1827">
        <f>'Expenditures 15-22'!K63-SUM('Expenditures 15-22'!G63,'Expenditures 15-22'!I63)+'Expenditures 15-22'!D268-E10</f>
        <v>261238</v>
      </c>
      <c r="F30" s="1825"/>
      <c r="G30" s="1827">
        <f>'Expenditures 15-22'!K63-SUM('Expenditures 15-22'!G63,'Expenditures 15-22'!I63)+'Expenditures 15-22'!D268-E10</f>
        <v>261238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65208</v>
      </c>
      <c r="E41" s="1829">
        <f>SUM(E19:E40)</f>
        <v>4621829</v>
      </c>
      <c r="F41" s="1829">
        <f>SUM(F19:F39)</f>
        <v>468686</v>
      </c>
      <c r="G41" s="1829">
        <f>SUM(G19:G40)</f>
        <v>4218351</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65208</v>
      </c>
      <c r="F43" s="1830" t="s">
        <v>495</v>
      </c>
      <c r="G43" s="1831">
        <f>F41</f>
        <v>468686</v>
      </c>
    </row>
    <row r="44" spans="1:7" ht="12" customHeight="1" x14ac:dyDescent="0.2">
      <c r="A44" s="988"/>
      <c r="B44" s="162"/>
      <c r="C44" s="1002"/>
      <c r="D44" s="1830" t="s">
        <v>494</v>
      </c>
      <c r="E44" s="1831">
        <f>E41</f>
        <v>4621829</v>
      </c>
      <c r="F44" s="1830" t="s">
        <v>494</v>
      </c>
      <c r="G44" s="1831">
        <f>G41</f>
        <v>4218351</v>
      </c>
    </row>
    <row r="45" spans="1:7" ht="12" customHeight="1" x14ac:dyDescent="0.2">
      <c r="A45" s="988"/>
      <c r="B45" s="162"/>
      <c r="C45" s="162"/>
      <c r="D45" s="1832" t="s">
        <v>1063</v>
      </c>
      <c r="E45" s="1833">
        <f>(E43/E44)</f>
        <v>1.4108700256976189E-2</v>
      </c>
      <c r="F45" s="1832" t="s">
        <v>1063</v>
      </c>
      <c r="G45" s="1833">
        <f>(G43/G44)</f>
        <v>0.11110644894177843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3" sqref="A12:H15"/>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Hailton CCSD 328</v>
      </c>
      <c r="D6" s="2313"/>
      <c r="E6" s="2313"/>
      <c r="F6" s="1877"/>
    </row>
    <row r="7" spans="1:10" ht="11.25" customHeight="1" thickBot="1" x14ac:dyDescent="0.3">
      <c r="A7" s="1875"/>
      <c r="B7" s="1876"/>
      <c r="C7" s="2314">
        <f>COVER!A13</f>
        <v>26034328024</v>
      </c>
      <c r="D7" s="2314"/>
      <c r="E7" s="2314"/>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2077</v>
      </c>
      <c r="D13" s="1890" t="s">
        <v>2077</v>
      </c>
      <c r="E13" s="1893"/>
      <c r="F13" s="1892" t="s">
        <v>2099</v>
      </c>
      <c r="H13" s="1903">
        <f t="shared" si="0"/>
        <v>5</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
        <v>2105</v>
      </c>
      <c r="H25" s="1903">
        <f t="shared" si="0"/>
        <v>5</v>
      </c>
      <c r="I25" s="1903">
        <f t="shared" si="1"/>
        <v>5</v>
      </c>
      <c r="J25" s="1903">
        <f t="shared" si="2"/>
        <v>0</v>
      </c>
    </row>
    <row r="26" spans="1:12" ht="12" customHeight="1" x14ac:dyDescent="0.2">
      <c r="A26" s="1888" t="s">
        <v>1615</v>
      </c>
      <c r="B26" s="1889"/>
      <c r="C26" s="1890" t="s">
        <v>2077</v>
      </c>
      <c r="D26" s="1890" t="s">
        <v>2077</v>
      </c>
      <c r="E26" s="1893"/>
      <c r="F26" s="1892" t="s">
        <v>2104</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2077</v>
      </c>
      <c r="D28" s="1890" t="s">
        <v>2077</v>
      </c>
      <c r="E28" s="1893"/>
      <c r="F28" s="1892" t="s">
        <v>2103</v>
      </c>
      <c r="H28" s="1903">
        <f t="shared" si="0"/>
        <v>5</v>
      </c>
      <c r="I28" s="1903">
        <f t="shared" si="1"/>
        <v>5</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2077</v>
      </c>
      <c r="D30" s="1890" t="s">
        <v>2077</v>
      </c>
      <c r="E30" s="1893"/>
      <c r="F30" s="1892" t="s">
        <v>2102</v>
      </c>
      <c r="H30" s="1903">
        <f t="shared" si="0"/>
        <v>5</v>
      </c>
      <c r="I30" s="1903">
        <f t="shared" si="1"/>
        <v>5</v>
      </c>
      <c r="J30" s="1903">
        <f t="shared" si="2"/>
        <v>0</v>
      </c>
    </row>
    <row r="31" spans="1:12" ht="12" customHeight="1" x14ac:dyDescent="0.2">
      <c r="A31" s="1888" t="s">
        <v>1620</v>
      </c>
      <c r="B31" s="1889"/>
      <c r="C31" s="1890" t="s">
        <v>2077</v>
      </c>
      <c r="D31" s="1890" t="s">
        <v>2077</v>
      </c>
      <c r="E31" s="1893"/>
      <c r="F31" s="1892" t="s">
        <v>2101</v>
      </c>
      <c r="H31" s="1903">
        <f t="shared" si="0"/>
        <v>5</v>
      </c>
      <c r="I31" s="1903">
        <f t="shared" si="1"/>
        <v>5</v>
      </c>
      <c r="J31" s="1903">
        <f t="shared" si="2"/>
        <v>0</v>
      </c>
      <c r="L31" s="1894"/>
    </row>
    <row r="32" spans="1:12" ht="12" customHeight="1" x14ac:dyDescent="0.2">
      <c r="A32" s="1888" t="s">
        <v>1621</v>
      </c>
      <c r="B32" s="1889"/>
      <c r="C32" s="1890" t="s">
        <v>2077</v>
      </c>
      <c r="D32" s="1890" t="s">
        <v>2077</v>
      </c>
      <c r="E32" s="1893"/>
      <c r="F32" s="1892" t="s">
        <v>2100</v>
      </c>
      <c r="H32" s="1903">
        <f t="shared" si="0"/>
        <v>5</v>
      </c>
      <c r="I32" s="1903">
        <f t="shared" si="1"/>
        <v>5</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35</v>
      </c>
      <c r="I34" s="1903">
        <f>SUM(I11:I32)</f>
        <v>35</v>
      </c>
      <c r="J34" s="1903">
        <f>SUM(J11:J32)</f>
        <v>0</v>
      </c>
      <c r="K34" s="1903">
        <f>SUM(H34:J34)</f>
        <v>70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3" sqref="A12: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Hailton CCSD 328</v>
      </c>
      <c r="J6" s="2334"/>
      <c r="Q6" s="1686"/>
    </row>
    <row r="7" spans="1:17" x14ac:dyDescent="0.2">
      <c r="A7" s="2335" t="s">
        <v>924</v>
      </c>
      <c r="B7" s="2336"/>
      <c r="C7" s="2336"/>
      <c r="D7" s="2336"/>
      <c r="E7" s="2337"/>
      <c r="F7" s="1018"/>
      <c r="G7" s="1010"/>
      <c r="H7" s="1017" t="s">
        <v>390</v>
      </c>
      <c r="I7" s="2338">
        <f>COVER!A13</f>
        <v>26034328024</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189206</v>
      </c>
      <c r="F12" s="1040"/>
      <c r="G12" s="1834">
        <f t="shared" ref="G12:G18" si="0">SUM(E12:F12)</f>
        <v>189206</v>
      </c>
      <c r="H12" s="1041">
        <v>195840</v>
      </c>
      <c r="I12" s="1040"/>
      <c r="J12" s="1834">
        <f t="shared" ref="J12:J18" si="1">SUM(H12:I12)</f>
        <v>195840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189206</v>
      </c>
      <c r="F19" s="1836">
        <f t="shared" si="2"/>
        <v>0</v>
      </c>
      <c r="G19" s="1836">
        <f t="shared" si="2"/>
        <v>189206</v>
      </c>
      <c r="H19" s="1836">
        <f t="shared" si="2"/>
        <v>195840</v>
      </c>
      <c r="I19" s="1836">
        <f t="shared" si="2"/>
        <v>0</v>
      </c>
      <c r="J19" s="1836">
        <f t="shared" si="2"/>
        <v>195840</v>
      </c>
    </row>
    <row r="20" spans="1:10" ht="13.5" thickTop="1" x14ac:dyDescent="0.2">
      <c r="A20" s="1036">
        <v>9</v>
      </c>
      <c r="B20" s="2345" t="s">
        <v>1703</v>
      </c>
      <c r="C20" s="2345"/>
      <c r="D20" s="2346"/>
      <c r="E20" s="1047"/>
      <c r="F20" s="1047"/>
      <c r="G20" s="1047"/>
      <c r="H20" s="1047"/>
      <c r="I20" s="1047"/>
      <c r="J20" s="1837">
        <f>IF(AND(G19&gt;0,J19&gt;0),(((J19-G19)/G19)),"Enter Budget Data")</f>
        <v>3.5062313034470369E-2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1943</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3" sqref="A12:H1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Hailton CCSD 328</v>
      </c>
    </row>
    <row r="65" spans="2:2" x14ac:dyDescent="0.2">
      <c r="B65" s="1071">
        <f>COVER!A13</f>
        <v>26034328024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3" sqref="A12:H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autoPict="0" r:id="rId5">
            <anchor moveWithCells="1">
              <from>
                <xdr:col>1</xdr:col>
                <xdr:colOff>571500</xdr:colOff>
                <xdr:row>3</xdr:row>
                <xdr:rowOff>0</xdr:rowOff>
              </from>
              <to>
                <xdr:col>1</xdr:col>
                <xdr:colOff>1466850</xdr:colOff>
                <xdr:row>7</xdr:row>
                <xdr:rowOff>95250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1657350</xdr:colOff>
                <xdr:row>2</xdr:row>
                <xdr:rowOff>123825</xdr:rowOff>
              </from>
              <to>
                <xdr:col>1</xdr:col>
                <xdr:colOff>2562225</xdr:colOff>
                <xdr:row>7</xdr:row>
                <xdr:rowOff>76200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3" sqref="A12: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2054</v>
      </c>
      <c r="B4" s="2373"/>
      <c r="C4" s="2373"/>
      <c r="D4" s="2373"/>
      <c r="E4" s="2373"/>
      <c r="F4" s="2374"/>
      <c r="G4" s="1075"/>
      <c r="H4" s="1075"/>
    </row>
    <row r="5" spans="1:8" ht="14.25" customHeight="1" x14ac:dyDescent="0.2">
      <c r="A5" s="2375" t="s">
        <v>2055</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4577085</v>
      </c>
      <c r="C8" s="1838">
        <f>'Acct Summary 7-8'!D8</f>
        <v>434945</v>
      </c>
      <c r="D8" s="1838">
        <f>'Acct Summary 7-8'!F8</f>
        <v>265462</v>
      </c>
      <c r="E8" s="1838">
        <f>'Acct Summary 7-8'!I8</f>
        <v>36107</v>
      </c>
      <c r="F8" s="1838">
        <f>SUM(B8:E8)</f>
        <v>5313599</v>
      </c>
    </row>
    <row r="9" spans="1:8" s="1080" customFormat="1" ht="14.25" customHeight="1" thickBot="1" x14ac:dyDescent="0.25">
      <c r="A9" s="1079" t="s">
        <v>1436</v>
      </c>
      <c r="B9" s="1839">
        <f>'Acct Summary 7-8'!C17</f>
        <v>4238315</v>
      </c>
      <c r="C9" s="1839">
        <f>'Acct Summary 7-8'!D17</f>
        <v>429516</v>
      </c>
      <c r="D9" s="1839">
        <f>'Acct Summary 7-8'!F17</f>
        <v>254263</v>
      </c>
      <c r="E9" s="1838"/>
      <c r="F9" s="1838">
        <f>SUM(B9:E9)</f>
        <v>4922094</v>
      </c>
    </row>
    <row r="10" spans="1:8" s="1080" customFormat="1" ht="14.25" thickTop="1" thickBot="1" x14ac:dyDescent="0.25">
      <c r="A10" s="1081" t="s">
        <v>1437</v>
      </c>
      <c r="B10" s="1840">
        <f>(B8-B9)</f>
        <v>338770</v>
      </c>
      <c r="C10" s="1840">
        <f>(C8-C9)</f>
        <v>5429</v>
      </c>
      <c r="D10" s="1840">
        <f>(D8-D9)</f>
        <v>11199</v>
      </c>
      <c r="E10" s="1839">
        <f>(E8-E9)</f>
        <v>36107</v>
      </c>
      <c r="F10" s="1841">
        <f>SUM(F8-F9)</f>
        <v>391505</v>
      </c>
    </row>
    <row r="11" spans="1:8" s="1080" customFormat="1" ht="14.25" thickTop="1" thickBot="1" x14ac:dyDescent="0.25">
      <c r="A11" s="1082" t="s">
        <v>1785</v>
      </c>
      <c r="B11" s="1842">
        <f>'Acct Summary 7-8'!C81</f>
        <v>48776</v>
      </c>
      <c r="C11" s="1842">
        <f>'Acct Summary 7-8'!D81</f>
        <v>226707</v>
      </c>
      <c r="D11" s="1842">
        <f>'Acct Summary 7-8'!F81</f>
        <v>64540</v>
      </c>
      <c r="E11" s="1842">
        <f>'Acct Summary 7-8'!I81</f>
        <v>774866</v>
      </c>
      <c r="F11" s="1843">
        <f>SUM(B11:E11)</f>
        <v>1114889</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78" sqref="D7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26034328024</v>
      </c>
    </row>
    <row r="3" spans="1:2" x14ac:dyDescent="0.2">
      <c r="A3" t="s">
        <v>1013</v>
      </c>
      <c r="B3" s="138" t="str">
        <f>COVER!A15</f>
        <v>Hancock</v>
      </c>
    </row>
    <row r="4" spans="1:2" x14ac:dyDescent="0.2">
      <c r="A4" t="s">
        <v>1064</v>
      </c>
      <c r="B4" s="138" t="str">
        <f>COVER!A17</f>
        <v>Hailton CCSD 328</v>
      </c>
    </row>
    <row r="5" spans="1:2" x14ac:dyDescent="0.2">
      <c r="A5" t="s">
        <v>728</v>
      </c>
      <c r="B5" s="138" t="str">
        <f>COVER!A38</f>
        <v>Joseph A. Yurko</v>
      </c>
    </row>
    <row r="6" spans="1:2" x14ac:dyDescent="0.2">
      <c r="A6" t="s">
        <v>733</v>
      </c>
      <c r="B6" s="138">
        <f>COVER!P35</f>
        <v>0</v>
      </c>
    </row>
    <row r="7" spans="1:2" x14ac:dyDescent="0.2">
      <c r="A7" t="s">
        <v>729</v>
      </c>
      <c r="B7" s="138">
        <f>COVER!I38</f>
        <v>0</v>
      </c>
    </row>
    <row r="8" spans="1:2" x14ac:dyDescent="0.2">
      <c r="A8" t="s">
        <v>730</v>
      </c>
      <c r="B8" s="138" t="str">
        <f>COVER!T38</f>
        <v>John Meixner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066-004856</v>
      </c>
    </row>
    <row r="16" spans="1:2" x14ac:dyDescent="0.2">
      <c r="A16" t="s">
        <v>442</v>
      </c>
      <c r="B16" s="138" t="str">
        <f>COVER!T13</f>
        <v>Dennis G. Koch &amp; Associates LLC</v>
      </c>
    </row>
    <row r="17" spans="1:2" x14ac:dyDescent="0.2">
      <c r="A17" t="s">
        <v>939</v>
      </c>
      <c r="B17" s="138" t="str">
        <f>COVER!T15</f>
        <v>Dennis G. Koch</v>
      </c>
    </row>
    <row r="18" spans="1:2" x14ac:dyDescent="0.2">
      <c r="A18" t="s">
        <v>1212</v>
      </c>
      <c r="B18" s="138" t="str">
        <f>COVER!T17</f>
        <v>1706 N 16th Street</v>
      </c>
    </row>
    <row r="19" spans="1:2" x14ac:dyDescent="0.2">
      <c r="A19" t="s">
        <v>941</v>
      </c>
      <c r="B19" s="138" t="str">
        <f>COVER!T25</f>
        <v>dgkoch@dgkochcpa.com</v>
      </c>
    </row>
    <row r="20" spans="1:2" x14ac:dyDescent="0.2">
      <c r="A20" t="s">
        <v>942</v>
      </c>
      <c r="B20" s="138" t="str">
        <f>COVER!T19</f>
        <v>Quincy</v>
      </c>
    </row>
    <row r="21" spans="1:2" x14ac:dyDescent="0.2">
      <c r="A21" t="s">
        <v>500</v>
      </c>
      <c r="B21" s="138" t="str">
        <f>COVER!X19</f>
        <v>IL</v>
      </c>
    </row>
    <row r="22" spans="1:2" x14ac:dyDescent="0.2">
      <c r="A22" t="s">
        <v>943</v>
      </c>
      <c r="B22" s="138">
        <f>COVER!Z19</f>
        <v>62301</v>
      </c>
    </row>
    <row r="23" spans="1:2" x14ac:dyDescent="0.2">
      <c r="A23" t="s">
        <v>1214</v>
      </c>
      <c r="B23" s="138" t="str">
        <f>COVER!T21</f>
        <v>217-224-8484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299751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975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250975</v>
      </c>
      <c r="C91" s="2" t="s">
        <v>594</v>
      </c>
      <c r="D91" s="2" t="str">
        <f t="shared" si="0"/>
        <v>Error?</v>
      </c>
    </row>
    <row r="92" spans="1:4" x14ac:dyDescent="0.2">
      <c r="A92" s="5">
        <v>31</v>
      </c>
      <c r="B92" s="138">
        <f>'Assets-Liab 5-6'!C39</f>
        <v>48776</v>
      </c>
      <c r="D92" s="2" t="str">
        <f t="shared" si="0"/>
        <v>Error?</v>
      </c>
    </row>
    <row r="93" spans="1:4" x14ac:dyDescent="0.2">
      <c r="A93" s="5">
        <v>32</v>
      </c>
      <c r="B93" s="138">
        <f>'Assets-Liab 5-6'!C41</f>
        <v>299751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226707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226707</v>
      </c>
      <c r="D123" s="2" t="str">
        <f t="shared" si="0"/>
        <v>Error?</v>
      </c>
    </row>
    <row r="124" spans="1:4" x14ac:dyDescent="0.2">
      <c r="A124" s="5">
        <v>63</v>
      </c>
      <c r="B124" s="138">
        <f>'Assets-Liab 5-6'!D41</f>
        <v>226707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3499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73581</v>
      </c>
      <c r="C139" s="2" t="s">
        <v>594</v>
      </c>
      <c r="D139" s="2" t="str">
        <f t="shared" si="1"/>
        <v>Error?</v>
      </c>
    </row>
    <row r="140" spans="1:4" x14ac:dyDescent="0.2">
      <c r="A140" s="5">
        <v>79</v>
      </c>
      <c r="B140" s="138">
        <f>'Assets-Liab 5-6'!E39</f>
        <v>-70082</v>
      </c>
      <c r="D140" s="2" t="str">
        <f t="shared" si="1"/>
        <v>Error?</v>
      </c>
    </row>
    <row r="141" spans="1:4" x14ac:dyDescent="0.2">
      <c r="A141" s="5">
        <v>80</v>
      </c>
      <c r="B141" s="138">
        <f>'Assets-Liab 5-6'!E41</f>
        <v>3499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64695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155</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155</v>
      </c>
      <c r="C169" s="2" t="s">
        <v>594</v>
      </c>
      <c r="D169" s="2" t="str">
        <f t="shared" si="1"/>
        <v>Error?</v>
      </c>
    </row>
    <row r="170" spans="1:4" x14ac:dyDescent="0.2">
      <c r="A170" s="5">
        <v>109</v>
      </c>
      <c r="B170" s="138">
        <f>'Assets-Liab 5-6'!F39</f>
        <v>64540</v>
      </c>
      <c r="D170" s="2" t="str">
        <f t="shared" si="1"/>
        <v>Error?</v>
      </c>
    </row>
    <row r="171" spans="1:4" x14ac:dyDescent="0.2">
      <c r="A171" s="5">
        <v>110</v>
      </c>
      <c r="B171" s="138">
        <f>'Assets-Liab 5-6'!F41</f>
        <v>64695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182564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182564</v>
      </c>
      <c r="D189" s="2" t="str">
        <f t="shared" si="1"/>
        <v>Error?</v>
      </c>
    </row>
    <row r="190" spans="1:4" x14ac:dyDescent="0.2">
      <c r="A190" s="5">
        <v>129</v>
      </c>
      <c r="B190" s="138">
        <f>'Assets-Liab 5-6'!G41</f>
        <v>182564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306843</v>
      </c>
      <c r="D273" s="2" t="str">
        <f t="shared" si="3"/>
        <v>Error?</v>
      </c>
    </row>
    <row r="274" spans="1:4" x14ac:dyDescent="0.2">
      <c r="A274" s="5">
        <v>213</v>
      </c>
      <c r="B274" s="138">
        <f>'Assets-Liab 5-6'!M17</f>
        <v>2696870</v>
      </c>
      <c r="D274" s="2" t="str">
        <f t="shared" si="3"/>
        <v>Error?</v>
      </c>
    </row>
    <row r="275" spans="1:4" x14ac:dyDescent="0.2">
      <c r="A275" s="5">
        <v>214</v>
      </c>
      <c r="B275" s="138">
        <f>'Assets-Liab 5-6'!M18</f>
        <v>21689</v>
      </c>
      <c r="D275" s="2" t="str">
        <f t="shared" si="3"/>
        <v>Error?</v>
      </c>
    </row>
    <row r="276" spans="1:4" x14ac:dyDescent="0.2">
      <c r="A276" s="5">
        <v>215</v>
      </c>
      <c r="B276" s="138">
        <f>'Assets-Liab 5-6'!M19</f>
        <v>430860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3456262</v>
      </c>
      <c r="C279" s="2" t="s">
        <v>594</v>
      </c>
      <c r="D279" s="2" t="str">
        <f t="shared" si="3"/>
        <v>Error?</v>
      </c>
    </row>
    <row r="280" spans="1:4" x14ac:dyDescent="0.2">
      <c r="A280" s="5">
        <v>219</v>
      </c>
      <c r="B280" s="138">
        <f>'Assets-Liab 5-6'!M40</f>
        <v>3456262</v>
      </c>
      <c r="D280" s="2" t="str">
        <f t="shared" si="3"/>
        <v>Error?</v>
      </c>
    </row>
    <row r="281" spans="1:4" x14ac:dyDescent="0.2">
      <c r="A281" s="5">
        <v>220</v>
      </c>
      <c r="B281" s="138">
        <f>'Assets-Liab 5-6'!M41</f>
        <v>3456262</v>
      </c>
      <c r="C281" s="2" t="s">
        <v>594</v>
      </c>
      <c r="D281" s="2" t="str">
        <f t="shared" si="3"/>
        <v>Error?</v>
      </c>
    </row>
    <row r="282" spans="1:4" x14ac:dyDescent="0.2">
      <c r="A282" s="5">
        <v>221</v>
      </c>
      <c r="B282" s="138">
        <f>'Assets-Liab 5-6'!N21</f>
        <v>3499</v>
      </c>
      <c r="D282" s="2" t="str">
        <f t="shared" si="3"/>
        <v>Error?</v>
      </c>
    </row>
    <row r="283" spans="1:4" x14ac:dyDescent="0.2">
      <c r="A283" s="5">
        <v>222</v>
      </c>
      <c r="B283" s="138">
        <f>'Assets-Liab 5-6'!N22</f>
        <v>71501</v>
      </c>
      <c r="D283" s="2" t="str">
        <f t="shared" si="3"/>
        <v>Error?</v>
      </c>
    </row>
    <row r="284" spans="1:4" x14ac:dyDescent="0.2">
      <c r="A284" s="5">
        <v>223</v>
      </c>
      <c r="B284" s="138">
        <f>'Assets-Liab 5-6'!N23</f>
        <v>75000</v>
      </c>
      <c r="C284" s="2" t="s">
        <v>594</v>
      </c>
      <c r="D284" s="2" t="str">
        <f t="shared" si="3"/>
        <v>Error?</v>
      </c>
    </row>
    <row r="285" spans="1:4" x14ac:dyDescent="0.2">
      <c r="A285" s="5">
        <v>224</v>
      </c>
      <c r="B285" s="138">
        <f>'Assets-Liab 5-6'!N36</f>
        <v>75000</v>
      </c>
      <c r="D285" s="2" t="str">
        <f t="shared" si="3"/>
        <v>Error?</v>
      </c>
    </row>
    <row r="286" spans="1:4" x14ac:dyDescent="0.2">
      <c r="A286" s="10">
        <v>225</v>
      </c>
      <c r="D286" s="2" t="str">
        <f t="shared" si="3"/>
        <v>OK</v>
      </c>
    </row>
    <row r="287" spans="1:4" x14ac:dyDescent="0.2">
      <c r="A287" s="5">
        <v>226</v>
      </c>
      <c r="B287" s="138">
        <f>'Assets-Liab 5-6'!N37</f>
        <v>75000</v>
      </c>
      <c r="C287" s="2" t="s">
        <v>594</v>
      </c>
      <c r="D287" s="2" t="str">
        <f t="shared" si="3"/>
        <v>Error?</v>
      </c>
    </row>
    <row r="288" spans="1:4" x14ac:dyDescent="0.2">
      <c r="A288" s="5">
        <v>227</v>
      </c>
      <c r="B288" s="138">
        <f>'Assets-Liab 5-6'!N41</f>
        <v>75000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1430539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61442</v>
      </c>
      <c r="D717" s="2" t="str">
        <f t="shared" si="10"/>
        <v>Error?</v>
      </c>
    </row>
    <row r="718" spans="1:4" x14ac:dyDescent="0.2">
      <c r="A718" s="5">
        <v>657</v>
      </c>
      <c r="B718" s="138">
        <f>'Expenditures 15-22'!C14</f>
        <v>120051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2177078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39854</v>
      </c>
      <c r="D722" s="2" t="str">
        <f t="shared" si="10"/>
        <v>Error?</v>
      </c>
    </row>
    <row r="723" spans="1:4" x14ac:dyDescent="0.2">
      <c r="A723" s="5">
        <v>662</v>
      </c>
      <c r="B723" s="138">
        <f>'Expenditures 15-22'!C38</f>
        <v>17613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57467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84221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84221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151721</v>
      </c>
      <c r="D733" s="2" t="str">
        <f t="shared" si="10"/>
        <v>Error?</v>
      </c>
    </row>
    <row r="734" spans="1:4" x14ac:dyDescent="0.2">
      <c r="A734" s="5">
        <v>673</v>
      </c>
      <c r="B734" s="138">
        <f>'Expenditures 15-22'!C53</f>
        <v>151721</v>
      </c>
      <c r="C734" s="2" t="s">
        <v>594</v>
      </c>
      <c r="D734" s="2" t="str">
        <f t="shared" si="10"/>
        <v>Error?</v>
      </c>
    </row>
    <row r="735" spans="1:4" x14ac:dyDescent="0.2">
      <c r="A735" s="5">
        <v>674</v>
      </c>
      <c r="B735" s="138">
        <f>'Expenditures 15-22'!C55</f>
        <v>233159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233159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36799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13125</v>
      </c>
      <c r="D741" s="2" t="str">
        <f t="shared" si="10"/>
        <v>Error?</v>
      </c>
    </row>
    <row r="742" spans="1:4" x14ac:dyDescent="0.2">
      <c r="A742" s="5">
        <v>681</v>
      </c>
      <c r="B742" s="138">
        <f>'Expenditures 15-22'!C63</f>
        <v>104463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154387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680955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2858033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279633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8722</v>
      </c>
      <c r="D775" s="2" t="str">
        <f t="shared" si="11"/>
        <v>Error?</v>
      </c>
    </row>
    <row r="776" spans="1:4" x14ac:dyDescent="0.2">
      <c r="A776" s="5">
        <v>715</v>
      </c>
      <c r="B776" s="138">
        <f>'Expenditures 15-22'!D14</f>
        <v>1980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419958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8410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8410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15251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15251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29607</v>
      </c>
      <c r="D791" s="2" t="str">
        <f t="shared" si="11"/>
        <v>Error?</v>
      </c>
    </row>
    <row r="792" spans="1:4" x14ac:dyDescent="0.2">
      <c r="A792" s="5">
        <v>731</v>
      </c>
      <c r="B792" s="138">
        <f>'Expenditures 15-22'!D53</f>
        <v>29607</v>
      </c>
      <c r="C792" s="2" t="s">
        <v>594</v>
      </c>
      <c r="D792" s="2" t="str">
        <f t="shared" si="11"/>
        <v>Error?</v>
      </c>
    </row>
    <row r="793" spans="1:4" x14ac:dyDescent="0.2">
      <c r="A793" s="5">
        <v>732</v>
      </c>
      <c r="B793" s="138">
        <f>'Expenditures 15-22'!D55</f>
        <v>36478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36478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7626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30502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38128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127874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547832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19539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31398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50978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41</v>
      </c>
      <c r="C843" s="2" t="s">
        <v>594</v>
      </c>
      <c r="D843" s="2" t="str">
        <f t="shared" si="12"/>
        <v>Error?</v>
      </c>
    </row>
    <row r="844" spans="1:4" x14ac:dyDescent="0.2">
      <c r="A844" s="5">
        <v>783</v>
      </c>
      <c r="B844" s="138">
        <f>'Expenditures 15-22'!E44</f>
        <v>6139</v>
      </c>
      <c r="D844" s="2" t="str">
        <f t="shared" si="12"/>
        <v>Error?</v>
      </c>
    </row>
    <row r="845" spans="1:4" x14ac:dyDescent="0.2">
      <c r="A845" s="5">
        <v>784</v>
      </c>
      <c r="B845" s="138">
        <f>'Expenditures 15-22'!E45</f>
        <v>18820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24959</v>
      </c>
      <c r="C847" s="2" t="s">
        <v>594</v>
      </c>
      <c r="D847" s="2" t="str">
        <f t="shared" si="12"/>
        <v>Error?</v>
      </c>
    </row>
    <row r="848" spans="1:4" x14ac:dyDescent="0.2">
      <c r="A848" s="5">
        <v>787</v>
      </c>
      <c r="B848" s="138">
        <f>'Expenditures 15-22'!E49</f>
        <v>7372</v>
      </c>
      <c r="D848" s="2" t="str">
        <f t="shared" si="12"/>
        <v>Error?</v>
      </c>
    </row>
    <row r="849" spans="1:4" x14ac:dyDescent="0.2">
      <c r="A849" s="5">
        <v>788</v>
      </c>
      <c r="B849" s="138">
        <f>'Expenditures 15-22'!E50</f>
        <v>4401</v>
      </c>
      <c r="D849" s="2" t="str">
        <f t="shared" si="12"/>
        <v>Error?</v>
      </c>
    </row>
    <row r="850" spans="1:4" x14ac:dyDescent="0.2">
      <c r="A850" s="5">
        <v>789</v>
      </c>
      <c r="B850" s="138">
        <f>'Expenditures 15-22'!E53</f>
        <v>11773</v>
      </c>
      <c r="C850" s="2" t="s">
        <v>594</v>
      </c>
      <c r="D850" s="2" t="str">
        <f t="shared" si="12"/>
        <v>Error?</v>
      </c>
    </row>
    <row r="851" spans="1:4" x14ac:dyDescent="0.2">
      <c r="A851" s="5">
        <v>790</v>
      </c>
      <c r="B851" s="138">
        <f>'Expenditures 15-22'!E55</f>
        <v>392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392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13019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14423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51588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102566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38432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5809</v>
      </c>
      <c r="D891" s="2" t="str">
        <f t="shared" si="12"/>
        <v>Error?</v>
      </c>
    </row>
    <row r="892" spans="1:4" x14ac:dyDescent="0.2">
      <c r="A892" s="5">
        <v>831</v>
      </c>
      <c r="B892" s="138">
        <f>'Expenditures 15-22'!F14</f>
        <v>33765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82152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899</v>
      </c>
      <c r="D896" s="2" t="str">
        <f t="shared" si="13"/>
        <v>Error?</v>
      </c>
    </row>
    <row r="897" spans="1:4" x14ac:dyDescent="0.2">
      <c r="A897" s="5">
        <v>836</v>
      </c>
      <c r="B897" s="138">
        <f>'Expenditures 15-22'!F38</f>
        <v>402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1301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20772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20772</v>
      </c>
      <c r="C905" s="2" t="s">
        <v>594</v>
      </c>
      <c r="D905" s="2" t="str">
        <f t="shared" si="13"/>
        <v>Error?</v>
      </c>
    </row>
    <row r="906" spans="1:4" x14ac:dyDescent="0.2">
      <c r="A906" s="5">
        <v>845</v>
      </c>
      <c r="B906" s="138">
        <f>'Expenditures 15-22'!F49</f>
        <v>126</v>
      </c>
      <c r="D906" s="2" t="str">
        <f t="shared" si="13"/>
        <v>Error?</v>
      </c>
    </row>
    <row r="907" spans="1:4" x14ac:dyDescent="0.2">
      <c r="A907" s="5">
        <v>846</v>
      </c>
      <c r="B907" s="138">
        <f>'Expenditures 15-22'!F50</f>
        <v>1982</v>
      </c>
      <c r="D907" s="2" t="str">
        <f t="shared" si="13"/>
        <v>Error?</v>
      </c>
    </row>
    <row r="908" spans="1:4" x14ac:dyDescent="0.2">
      <c r="A908" s="5">
        <v>847</v>
      </c>
      <c r="B908" s="138">
        <f>'Expenditures 15-22'!F53</f>
        <v>2108</v>
      </c>
      <c r="C908" s="2" t="s">
        <v>594</v>
      </c>
      <c r="D908" s="2" t="str">
        <f t="shared" si="13"/>
        <v>Error?</v>
      </c>
    </row>
    <row r="909" spans="1:4" x14ac:dyDescent="0.2">
      <c r="A909" s="5">
        <v>848</v>
      </c>
      <c r="B909" s="138">
        <f>'Expenditures 15-22'!F55</f>
        <v>5966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5966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1926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108708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110634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140781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222933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27157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27157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27157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27157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2092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2092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8618</v>
      </c>
      <c r="D1022" s="2" t="str">
        <f t="shared" si="14"/>
        <v>Error?</v>
      </c>
    </row>
    <row r="1023" spans="1:4" x14ac:dyDescent="0.2">
      <c r="A1023" s="5">
        <v>962</v>
      </c>
      <c r="B1023" s="138">
        <f>'Expenditures 15-22'!H50</f>
        <v>1495</v>
      </c>
      <c r="D1023" s="2" t="str">
        <f t="shared" ref="D1023:D1086" si="15">IF(ISBLANK(B1023),"OK",IF(A1023-B1023=0,"OK","Error?"))</f>
        <v>Error?</v>
      </c>
    </row>
    <row r="1024" spans="1:4" x14ac:dyDescent="0.2">
      <c r="A1024" s="5">
        <v>963</v>
      </c>
      <c r="B1024" s="138">
        <f>'Expenditures 15-22'!H53</f>
        <v>10113</v>
      </c>
      <c r="C1024" s="2" t="s">
        <v>594</v>
      </c>
      <c r="D1024" s="2" t="str">
        <f t="shared" si="15"/>
        <v>Error?</v>
      </c>
    </row>
    <row r="1025" spans="1:4" x14ac:dyDescent="0.2">
      <c r="A1025" s="5">
        <v>964</v>
      </c>
      <c r="B1025" s="138">
        <f>'Expenditures 15-22'!H55</f>
        <v>1450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1450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11563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466139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479794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1768143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75973</v>
      </c>
      <c r="C1105" s="2" t="s">
        <v>594</v>
      </c>
      <c r="D1105" s="2" t="str">
        <f t="shared" si="16"/>
        <v>Error?</v>
      </c>
    </row>
    <row r="1106" spans="1:4" x14ac:dyDescent="0.2">
      <c r="A1106" s="5">
        <v>1045</v>
      </c>
      <c r="B1106" s="138">
        <f>'Expenditures 15-22'!K14</f>
        <v>189286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2732258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49163</v>
      </c>
      <c r="C1110" s="2" t="s">
        <v>594</v>
      </c>
      <c r="D1110" s="2" t="str">
        <f t="shared" si="16"/>
        <v>Error?</v>
      </c>
    </row>
    <row r="1111" spans="1:4" x14ac:dyDescent="0.2">
      <c r="A1111" s="5">
        <v>1050</v>
      </c>
      <c r="B1111" s="138">
        <f>'Expenditures 15-22'!K38</f>
        <v>18056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67219</v>
      </c>
      <c r="C1115" s="2" t="s">
        <v>594</v>
      </c>
      <c r="D1115" s="2" t="str">
        <f t="shared" si="16"/>
        <v>Error?</v>
      </c>
    </row>
    <row r="1116" spans="1:4" x14ac:dyDescent="0.2">
      <c r="A1116" s="5">
        <v>1055</v>
      </c>
      <c r="B1116" s="138">
        <f>'Expenditures 15-22'!K44</f>
        <v>6139</v>
      </c>
      <c r="C1116" s="2" t="s">
        <v>594</v>
      </c>
      <c r="D1116" s="2" t="str">
        <f t="shared" si="16"/>
        <v>Error?</v>
      </c>
    </row>
    <row r="1117" spans="1:4" x14ac:dyDescent="0.2">
      <c r="A1117" s="5">
        <v>1056</v>
      </c>
      <c r="B1117" s="138">
        <f>'Expenditures 15-22'!K45</f>
        <v>166221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172360</v>
      </c>
      <c r="C1119" s="2" t="s">
        <v>594</v>
      </c>
      <c r="D1119" s="2" t="str">
        <f t="shared" si="16"/>
        <v>Error?</v>
      </c>
    </row>
    <row r="1120" spans="1:4" x14ac:dyDescent="0.2">
      <c r="A1120" s="5">
        <v>1059</v>
      </c>
      <c r="B1120" s="138">
        <f>'Expenditures 15-22'!K49</f>
        <v>16116</v>
      </c>
      <c r="C1120" s="2" t="s">
        <v>594</v>
      </c>
      <c r="D1120" s="2" t="str">
        <f t="shared" si="16"/>
        <v>Error?</v>
      </c>
    </row>
    <row r="1121" spans="1:4" x14ac:dyDescent="0.2">
      <c r="A1121" s="5">
        <v>1060</v>
      </c>
      <c r="B1121" s="138">
        <f>'Expenditures 15-22'!K50</f>
        <v>189206</v>
      </c>
      <c r="C1121" s="2" t="s">
        <v>594</v>
      </c>
      <c r="D1121" s="2" t="str">
        <f t="shared" si="16"/>
        <v>Error?</v>
      </c>
    </row>
    <row r="1122" spans="1:4" x14ac:dyDescent="0.2">
      <c r="A1122" s="5">
        <v>1061</v>
      </c>
      <c r="B1122" s="138">
        <f>'Expenditures 15-22'!K53</f>
        <v>205322</v>
      </c>
      <c r="C1122" s="2" t="s">
        <v>594</v>
      </c>
      <c r="D1122" s="2" t="str">
        <f t="shared" si="16"/>
        <v>Error?</v>
      </c>
    </row>
    <row r="1123" spans="1:4" x14ac:dyDescent="0.2">
      <c r="A1123" s="5">
        <v>1062</v>
      </c>
      <c r="B1123" s="138">
        <f>'Expenditures 15-22'!K55</f>
        <v>277445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277445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59370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13125</v>
      </c>
      <c r="C1129" s="2" t="s">
        <v>594</v>
      </c>
      <c r="D1129" s="2" t="str">
        <f t="shared" si="16"/>
        <v>Error?</v>
      </c>
    </row>
    <row r="1130" spans="1:4" x14ac:dyDescent="0.2">
      <c r="A1130" s="5">
        <v>1069</v>
      </c>
      <c r="B1130" s="138">
        <f>'Expenditures 15-22'!K63</f>
        <v>245077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317572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1039918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466139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4238315</v>
      </c>
      <c r="C1152" s="2" t="s">
        <v>594</v>
      </c>
      <c r="D1152" s="2" t="str">
        <f t="shared" si="17"/>
        <v>Error?</v>
      </c>
    </row>
    <row r="1153" spans="1:4" x14ac:dyDescent="0.2">
      <c r="A1153" s="5">
        <v>1092</v>
      </c>
      <c r="B1153" s="138">
        <f>'Expenditures 15-22'!K115</f>
        <v>338770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148062</v>
      </c>
      <c r="D1221" s="2" t="str">
        <f t="shared" si="18"/>
        <v>Error?</v>
      </c>
    </row>
    <row r="1222" spans="1:4" x14ac:dyDescent="0.2">
      <c r="A1222" s="10">
        <v>1161</v>
      </c>
      <c r="D1222" s="2" t="str">
        <f t="shared" si="18"/>
        <v>OK</v>
      </c>
    </row>
    <row r="1223" spans="1:4" x14ac:dyDescent="0.2">
      <c r="A1223" s="5">
        <v>1162</v>
      </c>
      <c r="B1223" s="138">
        <f>'Expenditures 15-22'!C127</f>
        <v>148062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148062</v>
      </c>
      <c r="C1225" s="2" t="s">
        <v>594</v>
      </c>
      <c r="D1225" s="2" t="str">
        <f t="shared" si="18"/>
        <v>Error?</v>
      </c>
    </row>
    <row r="1226" spans="1:4" x14ac:dyDescent="0.2">
      <c r="A1226" s="5">
        <v>1165</v>
      </c>
      <c r="B1226" s="138">
        <f>'Expenditures 15-22'!C151</f>
        <v>148062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28450</v>
      </c>
      <c r="D1229" s="2" t="str">
        <f t="shared" si="18"/>
        <v>Error?</v>
      </c>
    </row>
    <row r="1230" spans="1:4" x14ac:dyDescent="0.2">
      <c r="A1230" s="10">
        <v>1169</v>
      </c>
      <c r="D1230" s="2" t="str">
        <f t="shared" si="18"/>
        <v>OK</v>
      </c>
    </row>
    <row r="1231" spans="1:4" x14ac:dyDescent="0.2">
      <c r="A1231" s="5">
        <v>1170</v>
      </c>
      <c r="B1231" s="138">
        <f>'Expenditures 15-22'!D127</f>
        <v>28450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28450</v>
      </c>
      <c r="C1233" s="2" t="s">
        <v>594</v>
      </c>
      <c r="D1233" s="2" t="str">
        <f t="shared" si="18"/>
        <v>Error?</v>
      </c>
    </row>
    <row r="1234" spans="1:4" x14ac:dyDescent="0.2">
      <c r="A1234" s="5">
        <v>1173</v>
      </c>
      <c r="B1234" s="138">
        <f>'Expenditures 15-22'!D151</f>
        <v>28450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72085</v>
      </c>
      <c r="D1237" s="2" t="str">
        <f t="shared" si="18"/>
        <v>Error?</v>
      </c>
    </row>
    <row r="1238" spans="1:4" x14ac:dyDescent="0.2">
      <c r="A1238" s="10">
        <v>1177</v>
      </c>
      <c r="D1238" s="2" t="str">
        <f t="shared" si="18"/>
        <v>OK</v>
      </c>
    </row>
    <row r="1239" spans="1:4" x14ac:dyDescent="0.2">
      <c r="A1239" s="5">
        <v>1178</v>
      </c>
      <c r="B1239" s="138">
        <f>'Expenditures 15-22'!E127</f>
        <v>72085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72085</v>
      </c>
      <c r="C1241" s="2" t="s">
        <v>594</v>
      </c>
      <c r="D1241" s="2" t="str">
        <f t="shared" si="18"/>
        <v>Error?</v>
      </c>
    </row>
    <row r="1242" spans="1:4" x14ac:dyDescent="0.2">
      <c r="A1242" s="5">
        <v>1181</v>
      </c>
      <c r="B1242" s="138">
        <f>'Expenditures 15-22'!E151</f>
        <v>72085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131704</v>
      </c>
      <c r="D1245" s="2" t="str">
        <f t="shared" si="18"/>
        <v>Error?</v>
      </c>
    </row>
    <row r="1246" spans="1:4" x14ac:dyDescent="0.2">
      <c r="A1246" s="10">
        <v>1185</v>
      </c>
      <c r="D1246" s="2" t="str">
        <f t="shared" si="18"/>
        <v>OK</v>
      </c>
    </row>
    <row r="1247" spans="1:4" x14ac:dyDescent="0.2">
      <c r="A1247" s="5">
        <v>1186</v>
      </c>
      <c r="B1247" s="138">
        <f>'Expenditures 15-22'!F127</f>
        <v>131704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131704</v>
      </c>
      <c r="C1249" s="2" t="s">
        <v>594</v>
      </c>
      <c r="D1249" s="2" t="str">
        <f t="shared" si="18"/>
        <v>Error?</v>
      </c>
    </row>
    <row r="1250" spans="1:4" x14ac:dyDescent="0.2">
      <c r="A1250" s="5">
        <v>1189</v>
      </c>
      <c r="B1250" s="138">
        <f>'Expenditures 15-22'!F151</f>
        <v>131704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47976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47976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47976</v>
      </c>
      <c r="C1258" s="2" t="s">
        <v>594</v>
      </c>
      <c r="D1258" s="2" t="str">
        <f t="shared" si="18"/>
        <v>Error?</v>
      </c>
    </row>
    <row r="1259" spans="1:4" x14ac:dyDescent="0.2">
      <c r="A1259" s="5">
        <v>1198</v>
      </c>
      <c r="B1259" s="138">
        <f>'Expenditures 15-22'!G151</f>
        <v>47976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1239</v>
      </c>
      <c r="D1262" s="2" t="str">
        <f t="shared" si="18"/>
        <v>Error?</v>
      </c>
    </row>
    <row r="1263" spans="1:4" x14ac:dyDescent="0.2">
      <c r="A1263" s="10">
        <v>1202</v>
      </c>
      <c r="D1263" s="2" t="str">
        <f t="shared" si="18"/>
        <v>OK</v>
      </c>
    </row>
    <row r="1264" spans="1:4" x14ac:dyDescent="0.2">
      <c r="A1264" s="5">
        <v>1203</v>
      </c>
      <c r="B1264" s="138">
        <f>'Expenditures 15-22'!H127</f>
        <v>1239</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1239</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1239</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429516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429516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429516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429516</v>
      </c>
      <c r="C1288" s="2" t="s">
        <v>594</v>
      </c>
      <c r="D1288" s="2" t="str">
        <f t="shared" si="19"/>
        <v>Error?</v>
      </c>
    </row>
    <row r="1289" spans="1:4" x14ac:dyDescent="0.2">
      <c r="A1289" s="5">
        <v>1228</v>
      </c>
      <c r="B1289" s="138">
        <f>'Expenditures 15-22'!K152</f>
        <v>5429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6663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76663</v>
      </c>
      <c r="C1317" s="2" t="s">
        <v>594</v>
      </c>
      <c r="D1317" s="2" t="str">
        <f t="shared" si="19"/>
        <v>Error?</v>
      </c>
    </row>
    <row r="1318" spans="1:4" x14ac:dyDescent="0.2">
      <c r="A1318" s="5">
        <v>1257</v>
      </c>
      <c r="B1318" s="138">
        <f>'Expenditures 15-22'!H174</f>
        <v>76663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6663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76663</v>
      </c>
      <c r="C1331" s="2" t="s">
        <v>594</v>
      </c>
      <c r="D1331" s="2" t="str">
        <f t="shared" si="19"/>
        <v>Error?</v>
      </c>
    </row>
    <row r="1332" spans="1:4" x14ac:dyDescent="0.2">
      <c r="A1332" s="5">
        <v>1271</v>
      </c>
      <c r="B1332" s="138">
        <f>'Expenditures 15-22'!K174</f>
        <v>76663</v>
      </c>
      <c r="C1332" s="2" t="s">
        <v>594</v>
      </c>
      <c r="D1332" s="2" t="str">
        <f t="shared" si="19"/>
        <v>Error?</v>
      </c>
    </row>
    <row r="1333" spans="1:4" x14ac:dyDescent="0.2">
      <c r="A1333" s="5">
        <v>1272</v>
      </c>
      <c r="B1333" s="138">
        <f>'Expenditures 15-22'!K175</f>
        <v>3809</v>
      </c>
      <c r="C1333" s="2" t="s">
        <v>594</v>
      </c>
      <c r="D1333" s="2" t="str">
        <f t="shared" si="19"/>
        <v>Error?</v>
      </c>
    </row>
    <row r="1334" spans="1:4" x14ac:dyDescent="0.2">
      <c r="A1334" s="10">
        <v>1273</v>
      </c>
      <c r="D1334" s="2" t="str">
        <f t="shared" si="19"/>
        <v>OK</v>
      </c>
    </row>
    <row r="1335" spans="1:4" x14ac:dyDescent="0.2">
      <c r="A1335" s="5">
        <v>1274</v>
      </c>
      <c r="B1335" s="138">
        <f>'Expenditures 15-22'!C182</f>
        <v>87685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87685</v>
      </c>
      <c r="C1339" s="2" t="s">
        <v>594</v>
      </c>
      <c r="D1339" s="2" t="str">
        <f t="shared" si="19"/>
        <v>Error?</v>
      </c>
    </row>
    <row r="1340" spans="1:4" x14ac:dyDescent="0.2">
      <c r="A1340" s="5">
        <v>1279</v>
      </c>
      <c r="B1340" s="138">
        <f>'Expenditures 15-22'!C210</f>
        <v>87685</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137361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137361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137361</v>
      </c>
      <c r="C1353" s="2" t="s">
        <v>594</v>
      </c>
      <c r="D1353" s="2" t="str">
        <f t="shared" si="20"/>
        <v>Error?</v>
      </c>
    </row>
    <row r="1354" spans="1:4" x14ac:dyDescent="0.2">
      <c r="A1354" s="5">
        <v>1293</v>
      </c>
      <c r="B1354" s="138">
        <f>'Expenditures 15-22'!F182</f>
        <v>29217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29217</v>
      </c>
      <c r="C1358" s="2" t="s">
        <v>594</v>
      </c>
      <c r="D1358" s="2" t="str">
        <f t="shared" si="20"/>
        <v>Error?</v>
      </c>
    </row>
    <row r="1359" spans="1:4" x14ac:dyDescent="0.2">
      <c r="A1359" s="5">
        <v>1298</v>
      </c>
      <c r="B1359" s="138">
        <f>'Expenditures 15-22'!F210</f>
        <v>29217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254263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254263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254263</v>
      </c>
      <c r="C1388" s="2" t="s">
        <v>594</v>
      </c>
      <c r="D1388" s="2" t="str">
        <f t="shared" si="20"/>
        <v>Error?</v>
      </c>
    </row>
    <row r="1389" spans="1:4" x14ac:dyDescent="0.2">
      <c r="A1389" s="5">
        <v>1328</v>
      </c>
      <c r="B1389" s="138">
        <f>'Expenditures 15-22'!K211</f>
        <v>11199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1759</v>
      </c>
      <c r="D1407" s="2" t="str">
        <f t="shared" ref="D1407:D1470" si="21">IF(ISBLANK(B1407),"OK",IF(A1407-B1407=0,"OK","Error?"))</f>
        <v>Error?</v>
      </c>
    </row>
    <row r="1408" spans="1:4" x14ac:dyDescent="0.2">
      <c r="A1408" s="5">
        <v>1347</v>
      </c>
      <c r="B1408" s="138">
        <f>'Expenditures 15-22'!D223</f>
        <v>3542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47497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572</v>
      </c>
      <c r="D1412" s="2" t="str">
        <f t="shared" si="21"/>
        <v>Error?</v>
      </c>
    </row>
    <row r="1413" spans="1:4" x14ac:dyDescent="0.2">
      <c r="A1413" s="5">
        <v>1352</v>
      </c>
      <c r="B1413" s="138">
        <f>'Expenditures 15-22'!D234</f>
        <v>2829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3401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13447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13447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7918</v>
      </c>
      <c r="D1423" s="2" t="str">
        <f t="shared" si="21"/>
        <v>Error?</v>
      </c>
    </row>
    <row r="1424" spans="1:4" x14ac:dyDescent="0.2">
      <c r="A1424" s="5">
        <v>1363</v>
      </c>
      <c r="B1424" s="138">
        <f>'Expenditures 15-22'!D257</f>
        <v>7918</v>
      </c>
      <c r="C1424" s="2" t="s">
        <v>594</v>
      </c>
      <c r="D1424" s="2" t="str">
        <f t="shared" si="21"/>
        <v>Error?</v>
      </c>
    </row>
    <row r="1425" spans="1:4" x14ac:dyDescent="0.2">
      <c r="A1425" s="5">
        <v>1364</v>
      </c>
      <c r="B1425" s="138">
        <f>'Expenditures 15-22'!D259</f>
        <v>11702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11702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5838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21938</v>
      </c>
      <c r="D1431" s="2" t="str">
        <f t="shared" si="21"/>
        <v>Error?</v>
      </c>
    </row>
    <row r="1432" spans="1:4" x14ac:dyDescent="0.2">
      <c r="A1432" s="5">
        <v>1371</v>
      </c>
      <c r="B1432" s="138">
        <f>'Expenditures 15-22'!D267</f>
        <v>14656</v>
      </c>
      <c r="D1432" s="2" t="str">
        <f t="shared" si="21"/>
        <v>Error?</v>
      </c>
    </row>
    <row r="1433" spans="1:4" x14ac:dyDescent="0.2">
      <c r="A1433" s="5">
        <v>1372</v>
      </c>
      <c r="B1433" s="138">
        <f>'Expenditures 15-22'!D268</f>
        <v>16161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58593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95061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142558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1759</v>
      </c>
      <c r="C1471" s="2" t="s">
        <v>594</v>
      </c>
      <c r="D1471" s="2" t="str">
        <f t="shared" ref="D1471:D1534" si="22">IF(ISBLANK(B1471),"OK",IF(A1471-B1471=0,"OK","Error?"))</f>
        <v>Error?</v>
      </c>
    </row>
    <row r="1472" spans="1:4" x14ac:dyDescent="0.2">
      <c r="A1472" s="5">
        <v>1411</v>
      </c>
      <c r="B1472" s="138">
        <f>'Expenditures 15-22'!K223</f>
        <v>3542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47497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572</v>
      </c>
      <c r="C1476" s="2" t="s">
        <v>594</v>
      </c>
      <c r="D1476" s="2" t="str">
        <f t="shared" si="22"/>
        <v>Error?</v>
      </c>
    </row>
    <row r="1477" spans="1:4" x14ac:dyDescent="0.2">
      <c r="A1477" s="5">
        <v>1416</v>
      </c>
      <c r="B1477" s="138">
        <f>'Expenditures 15-22'!K234</f>
        <v>2829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3401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13447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13447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7918</v>
      </c>
      <c r="C1487" s="2" t="s">
        <v>594</v>
      </c>
      <c r="D1487" s="2" t="str">
        <f t="shared" si="22"/>
        <v>Error?</v>
      </c>
    </row>
    <row r="1488" spans="1:4" x14ac:dyDescent="0.2">
      <c r="A1488" s="5">
        <v>1427</v>
      </c>
      <c r="B1488" s="138">
        <f>'Expenditures 15-22'!K257</f>
        <v>7918</v>
      </c>
      <c r="C1488" s="2" t="s">
        <v>594</v>
      </c>
      <c r="D1488" s="2" t="str">
        <f t="shared" si="22"/>
        <v>Error?</v>
      </c>
    </row>
    <row r="1489" spans="1:4" x14ac:dyDescent="0.2">
      <c r="A1489" s="5">
        <v>1428</v>
      </c>
      <c r="B1489" s="138">
        <f>'Expenditures 15-22'!K259</f>
        <v>11702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11702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5838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21938</v>
      </c>
      <c r="C1495" s="2" t="s">
        <v>594</v>
      </c>
      <c r="D1495" s="2" t="str">
        <f t="shared" si="22"/>
        <v>Error?</v>
      </c>
    </row>
    <row r="1496" spans="1:4" x14ac:dyDescent="0.2">
      <c r="A1496" s="5">
        <v>1435</v>
      </c>
      <c r="B1496" s="138">
        <f>'Expenditures 15-22'!K267</f>
        <v>14656</v>
      </c>
      <c r="C1496" s="2" t="s">
        <v>594</v>
      </c>
      <c r="D1496" s="2" t="str">
        <f t="shared" si="22"/>
        <v>Error?</v>
      </c>
    </row>
    <row r="1497" spans="1:4" x14ac:dyDescent="0.2">
      <c r="A1497" s="5">
        <v>1436</v>
      </c>
      <c r="B1497" s="138">
        <f>'Expenditures 15-22'!K268</f>
        <v>16161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58593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95061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142558</v>
      </c>
      <c r="C1517" s="2" t="s">
        <v>594</v>
      </c>
      <c r="D1517" s="2" t="str">
        <f t="shared" si="22"/>
        <v>Error?</v>
      </c>
    </row>
    <row r="1518" spans="1:4" x14ac:dyDescent="0.2">
      <c r="A1518" s="5">
        <v>1457</v>
      </c>
      <c r="B1518" s="138">
        <f>'Expenditures 15-22'!K296</f>
        <v>17384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-289994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48776</v>
      </c>
      <c r="C1630" s="2" t="s">
        <v>594</v>
      </c>
      <c r="D1630" s="2" t="str">
        <f t="shared" si="24"/>
        <v>Error?</v>
      </c>
    </row>
    <row r="1631" spans="1:4" x14ac:dyDescent="0.2">
      <c r="A1631" s="5">
        <v>1570</v>
      </c>
      <c r="B1631" s="138">
        <f>'Acct Summary 7-8'!D79</f>
        <v>221278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226707</v>
      </c>
      <c r="C1644" s="2" t="s">
        <v>594</v>
      </c>
      <c r="D1644" s="2" t="str">
        <f t="shared" si="24"/>
        <v>Error?</v>
      </c>
    </row>
    <row r="1645" spans="1:4" x14ac:dyDescent="0.2">
      <c r="A1645" s="5">
        <v>1584</v>
      </c>
      <c r="B1645" s="138">
        <f>'Acct Summary 7-8'!E79</f>
        <v>-73891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-70082</v>
      </c>
      <c r="C1658" s="2" t="s">
        <v>594</v>
      </c>
      <c r="D1658" s="2" t="str">
        <f t="shared" si="24"/>
        <v>Error?</v>
      </c>
    </row>
    <row r="1659" spans="1:4" x14ac:dyDescent="0.2">
      <c r="A1659" s="5">
        <v>1598</v>
      </c>
      <c r="B1659" s="138">
        <f>'Acct Summary 7-8'!F79</f>
        <v>53341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64540</v>
      </c>
      <c r="C1672" s="2" t="s">
        <v>594</v>
      </c>
      <c r="D1672" s="2" t="str">
        <f t="shared" si="25"/>
        <v>Error?</v>
      </c>
    </row>
    <row r="1673" spans="1:4" x14ac:dyDescent="0.2">
      <c r="A1673" s="5">
        <v>1612</v>
      </c>
      <c r="B1673" s="138">
        <f>'Acct Summary 7-8'!G79</f>
        <v>165180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182564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2115254</v>
      </c>
      <c r="C1744" s="2" t="s">
        <v>594</v>
      </c>
      <c r="D1744" s="2" t="str">
        <f t="shared" si="26"/>
        <v>Error?</v>
      </c>
    </row>
    <row r="1745" spans="1:5" x14ac:dyDescent="0.2">
      <c r="A1745" s="5">
        <v>1684</v>
      </c>
      <c r="B1745" s="138">
        <f>'Tax Sched 23'!B5</f>
        <v>358518</v>
      </c>
      <c r="C1745" s="2" t="s">
        <v>594</v>
      </c>
      <c r="D1745" s="2" t="str">
        <f t="shared" si="26"/>
        <v>Error?</v>
      </c>
    </row>
    <row r="1746" spans="1:5" x14ac:dyDescent="0.2">
      <c r="A1746" s="5">
        <v>1685</v>
      </c>
      <c r="B1746" s="138">
        <f>'Tax Sched 23'!B6</f>
        <v>80358</v>
      </c>
      <c r="C1746" s="2" t="s">
        <v>594</v>
      </c>
      <c r="D1746" s="2" t="str">
        <f t="shared" si="26"/>
        <v>Error?</v>
      </c>
    </row>
    <row r="1747" spans="1:5" x14ac:dyDescent="0.2">
      <c r="A1747" s="5">
        <v>1686</v>
      </c>
      <c r="B1747" s="138">
        <f>'Tax Sched 23'!B7</f>
        <v>143409</v>
      </c>
      <c r="C1747" s="2" t="s">
        <v>594</v>
      </c>
      <c r="D1747" s="2" t="str">
        <f t="shared" si="26"/>
        <v>Error?</v>
      </c>
    </row>
    <row r="1748" spans="1:5" x14ac:dyDescent="0.2">
      <c r="A1748" s="5">
        <v>1687</v>
      </c>
      <c r="B1748" s="138">
        <f>'Tax Sched 23'!B8</f>
        <v>74828</v>
      </c>
      <c r="C1748" s="2" t="s">
        <v>594</v>
      </c>
      <c r="D1748" s="2" t="str">
        <f t="shared" si="26"/>
        <v>Error?</v>
      </c>
    </row>
    <row r="1749" spans="1:5" x14ac:dyDescent="0.2">
      <c r="A1749" s="5">
        <v>1688</v>
      </c>
      <c r="B1749" s="138">
        <f>'Tax Sched 23'!B10</f>
        <v>35853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189562</v>
      </c>
      <c r="C1752" s="2" t="s">
        <v>594</v>
      </c>
      <c r="D1752" s="2" t="str">
        <f t="shared" si="26"/>
        <v>Error?</v>
      </c>
    </row>
    <row r="1753" spans="1:5" x14ac:dyDescent="0.2">
      <c r="A1753" s="5">
        <v>1692</v>
      </c>
      <c r="B1753" s="138">
        <f>'Tax Sched 23'!B12</f>
        <v>35853</v>
      </c>
      <c r="C1753" s="2" t="s">
        <v>594</v>
      </c>
      <c r="D1753" s="2" t="str">
        <f t="shared" si="26"/>
        <v>Error?</v>
      </c>
    </row>
    <row r="1754" spans="1:5" x14ac:dyDescent="0.2">
      <c r="A1754" s="5">
        <v>1693</v>
      </c>
      <c r="B1754" s="138">
        <f>'Tax Sched 23'!B14</f>
        <v>28682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3182974</v>
      </c>
      <c r="C1759" s="2" t="s">
        <v>594</v>
      </c>
      <c r="D1759" s="2" t="str">
        <f t="shared" si="26"/>
        <v>Error?</v>
      </c>
    </row>
    <row r="1760" spans="1:5" x14ac:dyDescent="0.2">
      <c r="A1760" s="5">
        <v>1699</v>
      </c>
      <c r="B1760" s="138">
        <f>'Tax Sched 23'!D4</f>
        <v>2115254</v>
      </c>
      <c r="C1760" s="2" t="s">
        <v>594</v>
      </c>
      <c r="D1760" s="2" t="str">
        <f t="shared" si="26"/>
        <v>Error?</v>
      </c>
    </row>
    <row r="1761" spans="1:5" x14ac:dyDescent="0.2">
      <c r="A1761" s="5">
        <v>1700</v>
      </c>
      <c r="B1761" s="138">
        <f>'Tax Sched 23'!D5</f>
        <v>358518</v>
      </c>
      <c r="C1761" s="2" t="s">
        <v>594</v>
      </c>
      <c r="D1761" s="2" t="str">
        <f t="shared" si="26"/>
        <v>Error?</v>
      </c>
    </row>
    <row r="1762" spans="1:5" s="8" customFormat="1" x14ac:dyDescent="0.2">
      <c r="A1762" s="5">
        <v>1701</v>
      </c>
      <c r="B1762" s="138">
        <f>'Tax Sched 23'!D6</f>
        <v>80358</v>
      </c>
      <c r="C1762" s="2" t="s">
        <v>594</v>
      </c>
      <c r="D1762" s="2" t="str">
        <f t="shared" si="26"/>
        <v>Error?</v>
      </c>
      <c r="E1762" s="9"/>
    </row>
    <row r="1763" spans="1:5" x14ac:dyDescent="0.2">
      <c r="A1763" s="5">
        <v>1702</v>
      </c>
      <c r="B1763" s="138">
        <f>'Tax Sched 23'!D7</f>
        <v>143409</v>
      </c>
      <c r="C1763" s="2" t="s">
        <v>594</v>
      </c>
      <c r="D1763" s="2" t="str">
        <f t="shared" si="26"/>
        <v>Error?</v>
      </c>
    </row>
    <row r="1764" spans="1:5" x14ac:dyDescent="0.2">
      <c r="A1764" s="5">
        <v>1703</v>
      </c>
      <c r="B1764" s="138">
        <f>'Tax Sched 23'!D8</f>
        <v>74828</v>
      </c>
      <c r="C1764" s="2" t="s">
        <v>594</v>
      </c>
      <c r="D1764" s="2" t="str">
        <f t="shared" si="26"/>
        <v>Error?</v>
      </c>
    </row>
    <row r="1765" spans="1:5" x14ac:dyDescent="0.2">
      <c r="A1765" s="5">
        <v>1704</v>
      </c>
      <c r="B1765" s="138">
        <f>'Tax Sched 23'!D10</f>
        <v>35853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189562</v>
      </c>
      <c r="C1768" s="2" t="s">
        <v>594</v>
      </c>
      <c r="D1768" s="2" t="str">
        <f t="shared" si="26"/>
        <v>Error?</v>
      </c>
    </row>
    <row r="1769" spans="1:5" x14ac:dyDescent="0.2">
      <c r="A1769" s="5">
        <v>1708</v>
      </c>
      <c r="B1769" s="138">
        <f>'Tax Sched 23'!D12</f>
        <v>35853</v>
      </c>
      <c r="C1769" s="2" t="s">
        <v>594</v>
      </c>
      <c r="D1769" s="2" t="str">
        <f t="shared" si="26"/>
        <v>Error?</v>
      </c>
    </row>
    <row r="1770" spans="1:5" x14ac:dyDescent="0.2">
      <c r="A1770" s="5">
        <v>1709</v>
      </c>
      <c r="B1770" s="138">
        <f>'Tax Sched 23'!D14</f>
        <v>28682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3182974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2126364</v>
      </c>
      <c r="C1792" s="2" t="s">
        <v>594</v>
      </c>
      <c r="D1792" s="2" t="str">
        <f t="shared" si="27"/>
        <v>Error?</v>
      </c>
    </row>
    <row r="1793" spans="1:4" x14ac:dyDescent="0.2">
      <c r="A1793" s="5">
        <v>1732</v>
      </c>
      <c r="B1793" s="138">
        <f>'Tax Sched 23'!F5</f>
        <v>360401</v>
      </c>
      <c r="C1793" s="2" t="s">
        <v>594</v>
      </c>
      <c r="D1793" s="2" t="str">
        <f t="shared" si="27"/>
        <v>Error?</v>
      </c>
    </row>
    <row r="1794" spans="1:4" x14ac:dyDescent="0.2">
      <c r="A1794" s="5">
        <v>1733</v>
      </c>
      <c r="B1794" s="138">
        <f>'Tax Sched 23'!F6</f>
        <v>77695</v>
      </c>
      <c r="C1794" s="2" t="s">
        <v>594</v>
      </c>
      <c r="D1794" s="2" t="str">
        <f t="shared" si="27"/>
        <v>Error?</v>
      </c>
    </row>
    <row r="1795" spans="1:4" x14ac:dyDescent="0.2">
      <c r="A1795" s="5">
        <v>1734</v>
      </c>
      <c r="B1795" s="138">
        <f>'Tax Sched 23'!F7</f>
        <v>144160</v>
      </c>
      <c r="C1795" s="2" t="s">
        <v>594</v>
      </c>
      <c r="D1795" s="2" t="str">
        <f t="shared" si="27"/>
        <v>Error?</v>
      </c>
    </row>
    <row r="1796" spans="1:4" x14ac:dyDescent="0.2">
      <c r="A1796" s="5">
        <v>1735</v>
      </c>
      <c r="B1796" s="138">
        <f>'Tax Sched 23'!F8</f>
        <v>76001</v>
      </c>
      <c r="C1796" s="2" t="s">
        <v>594</v>
      </c>
      <c r="D1796" s="2" t="str">
        <f t="shared" si="27"/>
        <v>Error?</v>
      </c>
    </row>
    <row r="1797" spans="1:4" x14ac:dyDescent="0.2">
      <c r="A1797" s="5">
        <v>1736</v>
      </c>
      <c r="B1797" s="138">
        <f>'Tax Sched 23'!F10</f>
        <v>36040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201305</v>
      </c>
      <c r="C1800" s="2" t="s">
        <v>594</v>
      </c>
      <c r="D1800" s="2" t="str">
        <f t="shared" si="27"/>
        <v>Error?</v>
      </c>
    </row>
    <row r="1801" spans="1:4" x14ac:dyDescent="0.2">
      <c r="A1801" s="5">
        <v>1740</v>
      </c>
      <c r="B1801" s="138">
        <f>'Tax Sched 23'!F12</f>
        <v>36040</v>
      </c>
      <c r="C1801" s="2" t="s">
        <v>594</v>
      </c>
      <c r="D1801" s="2" t="str">
        <f t="shared" si="27"/>
        <v>Error?</v>
      </c>
    </row>
    <row r="1802" spans="1:4" x14ac:dyDescent="0.2">
      <c r="A1802" s="5">
        <v>1741</v>
      </c>
      <c r="B1802" s="138">
        <f>'Tax Sched 23'!F14</f>
        <v>28832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3209879</v>
      </c>
      <c r="C1807" s="2" t="s">
        <v>594</v>
      </c>
      <c r="D1807" s="2" t="str">
        <f t="shared" si="27"/>
        <v>Error?</v>
      </c>
    </row>
    <row r="1808" spans="1:4" x14ac:dyDescent="0.2">
      <c r="A1808" s="5">
        <v>1747</v>
      </c>
      <c r="B1808" s="138">
        <f>'Tax Sched 23'!E4</f>
        <v>2126364</v>
      </c>
      <c r="D1808" s="2" t="str">
        <f t="shared" si="27"/>
        <v>Error?</v>
      </c>
    </row>
    <row r="1809" spans="1:4" x14ac:dyDescent="0.2">
      <c r="A1809" s="5">
        <v>1748</v>
      </c>
      <c r="B1809" s="138">
        <f>'Tax Sched 23'!E5</f>
        <v>360401</v>
      </c>
      <c r="D1809" s="2" t="str">
        <f t="shared" si="27"/>
        <v>Error?</v>
      </c>
    </row>
    <row r="1810" spans="1:4" x14ac:dyDescent="0.2">
      <c r="A1810" s="5">
        <v>1749</v>
      </c>
      <c r="B1810" s="138">
        <f>'Tax Sched 23'!E6</f>
        <v>77695</v>
      </c>
      <c r="D1810" s="2" t="str">
        <f t="shared" si="27"/>
        <v>Error?</v>
      </c>
    </row>
    <row r="1811" spans="1:4" x14ac:dyDescent="0.2">
      <c r="A1811" s="5">
        <v>1750</v>
      </c>
      <c r="B1811" s="138">
        <f>'Tax Sched 23'!E7</f>
        <v>144160</v>
      </c>
      <c r="D1811" s="2" t="str">
        <f t="shared" si="27"/>
        <v>Error?</v>
      </c>
    </row>
    <row r="1812" spans="1:4" x14ac:dyDescent="0.2">
      <c r="A1812" s="5">
        <v>1751</v>
      </c>
      <c r="B1812" s="138">
        <f>'Tax Sched 23'!E8</f>
        <v>76001</v>
      </c>
      <c r="D1812" s="2" t="str">
        <f t="shared" si="27"/>
        <v>Error?</v>
      </c>
    </row>
    <row r="1813" spans="1:4" x14ac:dyDescent="0.2">
      <c r="A1813" s="5">
        <v>1752</v>
      </c>
      <c r="B1813" s="138">
        <f>'Tax Sched 23'!E10</f>
        <v>36040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201305</v>
      </c>
      <c r="D1816" s="2" t="str">
        <f t="shared" si="27"/>
        <v>Error?</v>
      </c>
    </row>
    <row r="1817" spans="1:4" x14ac:dyDescent="0.2">
      <c r="A1817" s="5">
        <v>1756</v>
      </c>
      <c r="B1817" s="138">
        <f>'Tax Sched 23'!E12</f>
        <v>36040</v>
      </c>
      <c r="D1817" s="2" t="str">
        <f t="shared" si="27"/>
        <v>Error?</v>
      </c>
    </row>
    <row r="1818" spans="1:4" x14ac:dyDescent="0.2">
      <c r="A1818" s="5">
        <v>1757</v>
      </c>
      <c r="B1818" s="138">
        <f>'Tax Sched 23'!E14</f>
        <v>28832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3209879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28682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28682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28682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306843</v>
      </c>
      <c r="D2008" s="2" t="str">
        <f t="shared" si="30"/>
        <v>Error?</v>
      </c>
    </row>
    <row r="2009" spans="1:4" x14ac:dyDescent="0.2">
      <c r="A2009" s="5">
        <v>1948</v>
      </c>
      <c r="B2009" s="138">
        <f>'Cap Outlay Deprec 26'!C8</f>
        <v>7349731</v>
      </c>
      <c r="D2009" s="2" t="str">
        <f t="shared" si="30"/>
        <v>Error?</v>
      </c>
    </row>
    <row r="2010" spans="1:4" x14ac:dyDescent="0.2">
      <c r="A2010" s="5">
        <v>1949</v>
      </c>
      <c r="B2010" s="138">
        <f>'Cap Outlay Deprec 26'!C10</f>
        <v>79283</v>
      </c>
      <c r="D2010" s="2" t="str">
        <f t="shared" si="30"/>
        <v>Error?</v>
      </c>
    </row>
    <row r="2011" spans="1:4" x14ac:dyDescent="0.2">
      <c r="A2011" s="5">
        <v>1950</v>
      </c>
      <c r="B2011" s="138">
        <f>'Cap Outlay Deprec 26'!C12</f>
        <v>792981</v>
      </c>
      <c r="D2011" s="2" t="str">
        <f t="shared" si="30"/>
        <v>Error?</v>
      </c>
    </row>
    <row r="2012" spans="1:4" x14ac:dyDescent="0.2">
      <c r="A2012" s="5">
        <v>1951</v>
      </c>
      <c r="B2012" s="138">
        <f>'Cap Outlay Deprec 26'!C13</f>
        <v>823707</v>
      </c>
      <c r="D2012" s="2" t="str">
        <f t="shared" si="30"/>
        <v>Error?</v>
      </c>
    </row>
    <row r="2013" spans="1:4" x14ac:dyDescent="0.2">
      <c r="A2013" s="5">
        <v>1952</v>
      </c>
      <c r="B2013" s="138">
        <f>'Cap Outlay Deprec 26'!C16</f>
        <v>9352545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42811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27157</v>
      </c>
      <c r="D2017" s="2" t="str">
        <f t="shared" si="30"/>
        <v>Error?</v>
      </c>
    </row>
    <row r="2018" spans="1:4" x14ac:dyDescent="0.2">
      <c r="A2018" s="5">
        <v>1957</v>
      </c>
      <c r="B2018" s="138">
        <f>'Cap Outlay Deprec 26'!D13</f>
        <v>5165</v>
      </c>
      <c r="D2018" s="2" t="str">
        <f t="shared" si="30"/>
        <v>Error?</v>
      </c>
    </row>
    <row r="2019" spans="1:4" x14ac:dyDescent="0.2">
      <c r="A2019" s="5">
        <v>1958</v>
      </c>
      <c r="B2019" s="138">
        <f>'Cap Outlay Deprec 26'!D16</f>
        <v>75133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260533</v>
      </c>
      <c r="D2023" s="2" t="str">
        <f t="shared" si="30"/>
        <v>Error?</v>
      </c>
    </row>
    <row r="2024" spans="1:4" x14ac:dyDescent="0.2">
      <c r="A2024" s="5">
        <v>1963</v>
      </c>
      <c r="B2024" s="138">
        <f>'Cap Outlay Deprec 26'!E13</f>
        <v>88150</v>
      </c>
      <c r="D2024" s="2" t="str">
        <f t="shared" si="30"/>
        <v>Error?</v>
      </c>
    </row>
    <row r="2025" spans="1:4" x14ac:dyDescent="0.2">
      <c r="A2025" s="5">
        <v>1964</v>
      </c>
      <c r="B2025" s="138">
        <f>'Cap Outlay Deprec 26'!E16</f>
        <v>348683</v>
      </c>
      <c r="C2025" s="2" t="s">
        <v>594</v>
      </c>
      <c r="D2025" s="2" t="str">
        <f t="shared" si="30"/>
        <v>Error?</v>
      </c>
    </row>
    <row r="2026" spans="1:4" x14ac:dyDescent="0.2">
      <c r="A2026" s="5">
        <v>1965</v>
      </c>
      <c r="B2026" s="138">
        <f>'Cap Outlay Deprec 26'!F5</f>
        <v>306843</v>
      </c>
      <c r="C2026" s="2" t="s">
        <v>594</v>
      </c>
      <c r="D2026" s="2" t="str">
        <f t="shared" si="30"/>
        <v>Error?</v>
      </c>
    </row>
    <row r="2027" spans="1:4" x14ac:dyDescent="0.2">
      <c r="A2027" s="5">
        <v>1966</v>
      </c>
      <c r="B2027" s="138">
        <f>'Cap Outlay Deprec 26'!F8</f>
        <v>7392542</v>
      </c>
      <c r="C2027" s="2" t="s">
        <v>594</v>
      </c>
      <c r="D2027" s="2" t="str">
        <f t="shared" si="30"/>
        <v>Error?</v>
      </c>
    </row>
    <row r="2028" spans="1:4" x14ac:dyDescent="0.2">
      <c r="A2028" s="5">
        <v>1967</v>
      </c>
      <c r="B2028" s="138">
        <f>'Cap Outlay Deprec 26'!F10</f>
        <v>79283</v>
      </c>
      <c r="C2028" s="2" t="s">
        <v>594</v>
      </c>
      <c r="D2028" s="2" t="str">
        <f t="shared" si="30"/>
        <v>Error?</v>
      </c>
    </row>
    <row r="2029" spans="1:4" x14ac:dyDescent="0.2">
      <c r="A2029" s="5">
        <v>1968</v>
      </c>
      <c r="B2029" s="138">
        <f>'Cap Outlay Deprec 26'!F12</f>
        <v>559605</v>
      </c>
      <c r="C2029" s="2" t="s">
        <v>594</v>
      </c>
      <c r="D2029" s="2" t="str">
        <f t="shared" si="30"/>
        <v>Error?</v>
      </c>
    </row>
    <row r="2030" spans="1:4" x14ac:dyDescent="0.2">
      <c r="A2030" s="5">
        <v>1969</v>
      </c>
      <c r="B2030" s="138">
        <f>'Cap Outlay Deprec 26'!F13</f>
        <v>740722</v>
      </c>
      <c r="C2030" s="2" t="s">
        <v>594</v>
      </c>
      <c r="D2030" s="2" t="str">
        <f t="shared" si="30"/>
        <v>Error?</v>
      </c>
    </row>
    <row r="2031" spans="1:4" x14ac:dyDescent="0.2">
      <c r="A2031" s="5">
        <v>1970</v>
      </c>
      <c r="B2031" s="138">
        <f>'Cap Outlay Deprec 26'!F16</f>
        <v>9078995</v>
      </c>
      <c r="C2031" s="2" t="s">
        <v>594</v>
      </c>
      <c r="D2031" s="2" t="str">
        <f t="shared" si="30"/>
        <v>Error?</v>
      </c>
    </row>
    <row r="2032" spans="1:4" x14ac:dyDescent="0.2">
      <c r="A2032" s="10">
        <v>1971</v>
      </c>
      <c r="D2032" s="2" t="str">
        <f t="shared" si="30"/>
        <v>OK</v>
      </c>
    </row>
    <row r="2033" spans="1:4" x14ac:dyDescent="0.2">
      <c r="A2033" s="5">
        <v>1972</v>
      </c>
      <c r="B2033" s="138">
        <f>'Cap Outlay Deprec 26'!H8</f>
        <v>4567861</v>
      </c>
      <c r="D2033" s="2" t="str">
        <f t="shared" si="30"/>
        <v>Error?</v>
      </c>
    </row>
    <row r="2034" spans="1:4" x14ac:dyDescent="0.2">
      <c r="A2034" s="5">
        <v>1973</v>
      </c>
      <c r="B2034" s="138">
        <f>'Cap Outlay Deprec 26'!H10</f>
        <v>53747</v>
      </c>
      <c r="D2034" s="2" t="str">
        <f t="shared" si="30"/>
        <v>Error?</v>
      </c>
    </row>
    <row r="2035" spans="1:4" x14ac:dyDescent="0.2">
      <c r="A2035" s="5">
        <v>1974</v>
      </c>
      <c r="B2035" s="138">
        <f>'Cap Outlay Deprec 26'!H12</f>
        <v>389300</v>
      </c>
      <c r="D2035" s="2" t="str">
        <f t="shared" si="30"/>
        <v>Error?</v>
      </c>
    </row>
    <row r="2036" spans="1:4" x14ac:dyDescent="0.2">
      <c r="A2036" s="5">
        <v>1975</v>
      </c>
      <c r="B2036" s="138">
        <f>'Cap Outlay Deprec 26'!H13</f>
        <v>661028</v>
      </c>
      <c r="D2036" s="2" t="str">
        <f t="shared" si="30"/>
        <v>Error?</v>
      </c>
    </row>
    <row r="2037" spans="1:4" x14ac:dyDescent="0.2">
      <c r="A2037" s="5">
        <v>1976</v>
      </c>
      <c r="B2037" s="138">
        <f>'Cap Outlay Deprec 26'!H16</f>
        <v>5671936</v>
      </c>
      <c r="C2037" s="2" t="s">
        <v>594</v>
      </c>
      <c r="D2037" s="2" t="str">
        <f t="shared" si="30"/>
        <v>Error?</v>
      </c>
    </row>
    <row r="2038" spans="1:4" x14ac:dyDescent="0.2">
      <c r="A2038" s="10">
        <v>1977</v>
      </c>
      <c r="D2038" s="2" t="str">
        <f t="shared" si="30"/>
        <v>OK</v>
      </c>
    </row>
    <row r="2039" spans="1:4" x14ac:dyDescent="0.2">
      <c r="A2039" s="5">
        <v>1978</v>
      </c>
      <c r="B2039" s="138">
        <f>'Cap Outlay Deprec 26'!I8</f>
        <v>127810</v>
      </c>
      <c r="D2039" s="2" t="str">
        <f t="shared" si="30"/>
        <v>Error?</v>
      </c>
    </row>
    <row r="2040" spans="1:4" x14ac:dyDescent="0.2">
      <c r="A2040" s="5">
        <v>1979</v>
      </c>
      <c r="B2040" s="138">
        <f>'Cap Outlay Deprec 26'!I10</f>
        <v>4522</v>
      </c>
      <c r="D2040" s="2" t="str">
        <f t="shared" si="30"/>
        <v>Error?</v>
      </c>
    </row>
    <row r="2041" spans="1:4" x14ac:dyDescent="0.2">
      <c r="A2041" s="5">
        <v>1980</v>
      </c>
      <c r="B2041" s="138">
        <f>'Cap Outlay Deprec 26'!I12</f>
        <v>42777</v>
      </c>
      <c r="D2041" s="2" t="str">
        <f t="shared" si="30"/>
        <v>Error?</v>
      </c>
    </row>
    <row r="2042" spans="1:4" x14ac:dyDescent="0.2">
      <c r="A2042" s="5">
        <v>1981</v>
      </c>
      <c r="B2042" s="138">
        <f>'Cap Outlay Deprec 26'!I13</f>
        <v>124371</v>
      </c>
      <c r="D2042" s="2" t="str">
        <f t="shared" si="30"/>
        <v>Error?</v>
      </c>
    </row>
    <row r="2043" spans="1:4" x14ac:dyDescent="0.2">
      <c r="A2043" s="5">
        <v>1982</v>
      </c>
      <c r="B2043" s="138">
        <f>'Cap Outlay Deprec 26'!I16</f>
        <v>299480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260533</v>
      </c>
      <c r="D2047" s="2" t="str">
        <f t="shared" ref="D2047:D2110" si="31">IF(ISBLANK(B2047),"OK",IF(A2047-B2047=0,"OK","Error?"))</f>
        <v>Error?</v>
      </c>
    </row>
    <row r="2048" spans="1:4" x14ac:dyDescent="0.2">
      <c r="A2048" s="5">
        <v>1987</v>
      </c>
      <c r="B2048" s="138">
        <f>'Cap Outlay Deprec 26'!J13</f>
        <v>88150</v>
      </c>
      <c r="D2048" s="2" t="str">
        <f t="shared" si="31"/>
        <v>Error?</v>
      </c>
    </row>
    <row r="2049" spans="1:4" x14ac:dyDescent="0.2">
      <c r="A2049" s="5">
        <v>1988</v>
      </c>
      <c r="B2049" s="138">
        <f>'Cap Outlay Deprec 26'!J16</f>
        <v>348683</v>
      </c>
      <c r="C2049" s="2" t="s">
        <v>594</v>
      </c>
      <c r="D2049" s="2" t="str">
        <f t="shared" si="31"/>
        <v>Error?</v>
      </c>
    </row>
    <row r="2050" spans="1:4" x14ac:dyDescent="0.2">
      <c r="A2050" s="10">
        <v>1989</v>
      </c>
      <c r="D2050" s="2" t="str">
        <f t="shared" si="31"/>
        <v>OK</v>
      </c>
    </row>
    <row r="2051" spans="1:4" x14ac:dyDescent="0.2">
      <c r="A2051" s="5">
        <v>1990</v>
      </c>
      <c r="B2051" s="138">
        <f>'Cap Outlay Deprec 26'!K8</f>
        <v>4695671</v>
      </c>
      <c r="C2051" s="2" t="s">
        <v>594</v>
      </c>
      <c r="D2051" s="2" t="str">
        <f t="shared" si="31"/>
        <v>Error?</v>
      </c>
    </row>
    <row r="2052" spans="1:4" x14ac:dyDescent="0.2">
      <c r="A2052" s="5">
        <v>1991</v>
      </c>
      <c r="B2052" s="138">
        <f>'Cap Outlay Deprec 26'!K10</f>
        <v>58269</v>
      </c>
      <c r="C2052" s="2" t="s">
        <v>594</v>
      </c>
      <c r="D2052" s="2" t="str">
        <f t="shared" si="31"/>
        <v>Error?</v>
      </c>
    </row>
    <row r="2053" spans="1:4" x14ac:dyDescent="0.2">
      <c r="A2053" s="5">
        <v>1992</v>
      </c>
      <c r="B2053" s="138">
        <f>'Cap Outlay Deprec 26'!K12</f>
        <v>171544</v>
      </c>
      <c r="C2053" s="2" t="s">
        <v>594</v>
      </c>
      <c r="D2053" s="2" t="str">
        <f t="shared" si="31"/>
        <v>Error?</v>
      </c>
    </row>
    <row r="2054" spans="1:4" x14ac:dyDescent="0.2">
      <c r="A2054" s="5">
        <v>1993</v>
      </c>
      <c r="B2054" s="138">
        <f>'Cap Outlay Deprec 26'!K13</f>
        <v>697249</v>
      </c>
      <c r="C2054" s="2" t="s">
        <v>594</v>
      </c>
      <c r="D2054" s="2" t="str">
        <f t="shared" si="31"/>
        <v>Error?</v>
      </c>
    </row>
    <row r="2055" spans="1:4" x14ac:dyDescent="0.2">
      <c r="A2055" s="5">
        <v>1994</v>
      </c>
      <c r="B2055" s="138">
        <f>'Cap Outlay Deprec 26'!K16</f>
        <v>5622733</v>
      </c>
      <c r="C2055" s="2" t="s">
        <v>594</v>
      </c>
      <c r="D2055" s="2" t="str">
        <f t="shared" si="31"/>
        <v>Error?</v>
      </c>
    </row>
    <row r="2056" spans="1:4" x14ac:dyDescent="0.2">
      <c r="A2056" s="5">
        <v>1995</v>
      </c>
      <c r="B2056" s="138">
        <f>'Cap Outlay Deprec 26'!L5</f>
        <v>306843</v>
      </c>
      <c r="C2056" s="2" t="s">
        <v>594</v>
      </c>
      <c r="D2056" s="2" t="str">
        <f t="shared" si="31"/>
        <v>Error?</v>
      </c>
    </row>
    <row r="2057" spans="1:4" x14ac:dyDescent="0.2">
      <c r="A2057" s="5">
        <v>1996</v>
      </c>
      <c r="B2057" s="138">
        <f>'Cap Outlay Deprec 26'!L8</f>
        <v>2696871</v>
      </c>
      <c r="C2057" s="2" t="s">
        <v>594</v>
      </c>
      <c r="D2057" s="2" t="str">
        <f t="shared" si="31"/>
        <v>Error?</v>
      </c>
    </row>
    <row r="2058" spans="1:4" x14ac:dyDescent="0.2">
      <c r="A2058" s="5">
        <v>1997</v>
      </c>
      <c r="B2058" s="138">
        <f>'Cap Outlay Deprec 26'!L10</f>
        <v>21014</v>
      </c>
      <c r="C2058" s="2" t="s">
        <v>594</v>
      </c>
      <c r="D2058" s="2" t="str">
        <f t="shared" si="31"/>
        <v>Error?</v>
      </c>
    </row>
    <row r="2059" spans="1:4" x14ac:dyDescent="0.2">
      <c r="A2059" s="5">
        <v>1998</v>
      </c>
      <c r="B2059" s="138">
        <f>'Cap Outlay Deprec 26'!L12</f>
        <v>388061</v>
      </c>
      <c r="C2059" s="2" t="s">
        <v>594</v>
      </c>
      <c r="D2059" s="2" t="str">
        <f t="shared" si="31"/>
        <v>Error?</v>
      </c>
    </row>
    <row r="2060" spans="1:4" x14ac:dyDescent="0.2">
      <c r="A2060" s="5">
        <v>1999</v>
      </c>
      <c r="B2060" s="138">
        <f>'Cap Outlay Deprec 26'!L13</f>
        <v>43473</v>
      </c>
      <c r="C2060" s="2" t="s">
        <v>594</v>
      </c>
      <c r="D2060" s="2" t="str">
        <f t="shared" si="31"/>
        <v>Error?</v>
      </c>
    </row>
    <row r="2061" spans="1:4" x14ac:dyDescent="0.2">
      <c r="A2061" s="5">
        <v>2000</v>
      </c>
      <c r="B2061" s="138">
        <f>'Cap Outlay Deprec 26'!L16</f>
        <v>3456262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308350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308350</v>
      </c>
      <c r="C2088" s="2" t="s">
        <v>594</v>
      </c>
      <c r="D2088" s="2" t="str">
        <f t="shared" si="31"/>
        <v>Error?</v>
      </c>
    </row>
    <row r="2089" spans="1:4" x14ac:dyDescent="0.2">
      <c r="A2089" s="5">
        <v>2028</v>
      </c>
      <c r="B2089" s="138">
        <f>'Expenditures 15-22'!K92</f>
        <v>157789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2391827</v>
      </c>
      <c r="C2551" s="2" t="s">
        <v>594</v>
      </c>
      <c r="D2551" s="2" t="str">
        <f t="shared" si="38"/>
        <v>Error?</v>
      </c>
    </row>
    <row r="2552" spans="1:4" x14ac:dyDescent="0.2">
      <c r="A2552" s="10">
        <v>2491</v>
      </c>
      <c r="D2552" s="2" t="str">
        <f t="shared" si="38"/>
        <v>OK</v>
      </c>
    </row>
    <row r="2553" spans="1:4" x14ac:dyDescent="0.2">
      <c r="A2553" s="5">
        <v>2492</v>
      </c>
      <c r="B2553" s="138">
        <f>'Acct Summary 7-8'!C6</f>
        <v>1839813</v>
      </c>
      <c r="C2553" s="2" t="s">
        <v>594</v>
      </c>
      <c r="D2553" s="2" t="str">
        <f t="shared" si="38"/>
        <v>Error?</v>
      </c>
    </row>
    <row r="2554" spans="1:4" x14ac:dyDescent="0.2">
      <c r="A2554" s="5">
        <v>2493</v>
      </c>
      <c r="B2554" s="138">
        <f>'Acct Summary 7-8'!C7</f>
        <v>345445</v>
      </c>
      <c r="C2554" s="2" t="s">
        <v>594</v>
      </c>
      <c r="D2554" s="2" t="str">
        <f t="shared" si="38"/>
        <v>Error?</v>
      </c>
    </row>
    <row r="2555" spans="1:4" x14ac:dyDescent="0.2">
      <c r="A2555" s="5">
        <v>2494</v>
      </c>
      <c r="B2555" s="138">
        <f>'Acct Summary 7-8'!C8</f>
        <v>4577085</v>
      </c>
      <c r="C2555" s="2" t="s">
        <v>594</v>
      </c>
      <c r="D2555" s="2" t="str">
        <f t="shared" si="38"/>
        <v>Error?</v>
      </c>
    </row>
    <row r="2556" spans="1:4" x14ac:dyDescent="0.2">
      <c r="A2556" s="5">
        <v>2495</v>
      </c>
      <c r="B2556" s="138">
        <f>'Acct Summary 7-8'!C12</f>
        <v>2732258</v>
      </c>
      <c r="C2556" s="2" t="s">
        <v>594</v>
      </c>
      <c r="D2556" s="2" t="str">
        <f t="shared" si="38"/>
        <v>Error?</v>
      </c>
    </row>
    <row r="2557" spans="1:4" x14ac:dyDescent="0.2">
      <c r="A2557" s="5">
        <v>2496</v>
      </c>
      <c r="B2557" s="138">
        <f>'Acct Summary 7-8'!C13</f>
        <v>1039918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466139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4238315</v>
      </c>
      <c r="C2561" s="2" t="s">
        <v>594</v>
      </c>
      <c r="D2561" s="2" t="str">
        <f t="shared" si="39"/>
        <v>Error?</v>
      </c>
    </row>
    <row r="2562" spans="1:4" x14ac:dyDescent="0.2">
      <c r="A2562" s="5">
        <v>2501</v>
      </c>
      <c r="B2562" s="138">
        <f>'Acct Summary 7-8'!C20</f>
        <v>338770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434945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434945</v>
      </c>
      <c r="C2568" s="2" t="s">
        <v>594</v>
      </c>
      <c r="D2568" s="2" t="str">
        <f t="shared" si="39"/>
        <v>Error?</v>
      </c>
    </row>
    <row r="2569" spans="1:4" x14ac:dyDescent="0.2">
      <c r="A2569" s="5">
        <v>2508</v>
      </c>
      <c r="B2569" s="138">
        <f>'Acct Summary 7-8'!D13</f>
        <v>429516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429516</v>
      </c>
      <c r="C2573" s="2" t="s">
        <v>594</v>
      </c>
      <c r="D2573" s="2" t="str">
        <f t="shared" si="39"/>
        <v>Error?</v>
      </c>
    </row>
    <row r="2574" spans="1:4" x14ac:dyDescent="0.2">
      <c r="A2574" s="5">
        <v>2513</v>
      </c>
      <c r="B2574" s="138">
        <f>'Acct Summary 7-8'!D20</f>
        <v>5429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150507</v>
      </c>
      <c r="C2591" s="2" t="s">
        <v>594</v>
      </c>
      <c r="D2591" s="2" t="str">
        <f t="shared" si="39"/>
        <v>Error?</v>
      </c>
    </row>
    <row r="2592" spans="1:4" x14ac:dyDescent="0.2">
      <c r="A2592" s="10">
        <v>2531</v>
      </c>
      <c r="D2592" s="2" t="str">
        <f t="shared" si="39"/>
        <v>OK</v>
      </c>
    </row>
    <row r="2593" spans="1:4" x14ac:dyDescent="0.2">
      <c r="A2593" s="5">
        <v>2532</v>
      </c>
      <c r="B2593" s="138">
        <f>'Acct Summary 7-8'!F6</f>
        <v>114955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265462</v>
      </c>
      <c r="C2595" s="2" t="s">
        <v>594</v>
      </c>
      <c r="D2595" s="2" t="str">
        <f t="shared" si="39"/>
        <v>Error?</v>
      </c>
    </row>
    <row r="2596" spans="1:4" x14ac:dyDescent="0.2">
      <c r="A2596" s="5">
        <v>2535</v>
      </c>
      <c r="B2596" s="138">
        <f>'Acct Summary 7-8'!F13</f>
        <v>254263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254263</v>
      </c>
      <c r="C2600" s="2" t="s">
        <v>594</v>
      </c>
      <c r="D2600" s="2" t="str">
        <f t="shared" si="39"/>
        <v>Error?</v>
      </c>
    </row>
    <row r="2601" spans="1:4" x14ac:dyDescent="0.2">
      <c r="A2601" s="5">
        <v>2540</v>
      </c>
      <c r="B2601" s="138">
        <f>'Acct Summary 7-8'!F20</f>
        <v>11199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159942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159942</v>
      </c>
      <c r="C2606" s="2" t="s">
        <v>594</v>
      </c>
      <c r="D2606" s="2" t="str">
        <f t="shared" si="39"/>
        <v>Error?</v>
      </c>
    </row>
    <row r="2607" spans="1:4" x14ac:dyDescent="0.2">
      <c r="A2607" s="5">
        <v>2546</v>
      </c>
      <c r="B2607" s="138">
        <f>'Acct Summary 7-8'!G12</f>
        <v>47497</v>
      </c>
      <c r="C2607" s="2" t="s">
        <v>594</v>
      </c>
      <c r="D2607" s="2" t="str">
        <f t="shared" si="39"/>
        <v>Error?</v>
      </c>
    </row>
    <row r="2608" spans="1:4" x14ac:dyDescent="0.2">
      <c r="A2608" s="5">
        <v>2547</v>
      </c>
      <c r="B2608" s="138">
        <f>'Acct Summary 7-8'!G13</f>
        <v>95061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142558</v>
      </c>
      <c r="C2612" s="2" t="s">
        <v>594</v>
      </c>
      <c r="D2612" s="2" t="str">
        <f t="shared" si="39"/>
        <v>Error?</v>
      </c>
    </row>
    <row r="2613" spans="1:4" x14ac:dyDescent="0.2">
      <c r="A2613" s="5">
        <v>2552</v>
      </c>
      <c r="B2613" s="138">
        <f>'Acct Summary 7-8'!G20</f>
        <v>17384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80472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80472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76663</v>
      </c>
      <c r="C2634" s="2" t="s">
        <v>594</v>
      </c>
      <c r="D2634" s="2" t="str">
        <f t="shared" si="40"/>
        <v>Error?</v>
      </c>
    </row>
    <row r="2635" spans="1:4" x14ac:dyDescent="0.2">
      <c r="A2635" s="5">
        <v>2574</v>
      </c>
      <c r="B2635" s="138">
        <f>'Acct Summary 7-8'!E17</f>
        <v>76663</v>
      </c>
      <c r="C2635" s="2" t="s">
        <v>594</v>
      </c>
      <c r="D2635" s="2" t="str">
        <f t="shared" si="40"/>
        <v>Error?</v>
      </c>
    </row>
    <row r="2636" spans="1:4" x14ac:dyDescent="0.2">
      <c r="A2636" s="5">
        <v>2575</v>
      </c>
      <c r="B2636" s="138">
        <f>'Acct Summary 7-8'!E20</f>
        <v>3809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774866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140373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774866</v>
      </c>
      <c r="D2912" s="2" t="str">
        <f t="shared" si="44"/>
        <v>Error?</v>
      </c>
    </row>
    <row r="2913" spans="1:4" x14ac:dyDescent="0.2">
      <c r="A2913" s="5">
        <v>2852</v>
      </c>
      <c r="B2913" s="138">
        <f>'Assets-Liab 5-6'!I41</f>
        <v>774866</v>
      </c>
      <c r="C2913" s="2" t="s">
        <v>594</v>
      </c>
      <c r="D2913" s="2" t="str">
        <f t="shared" si="44"/>
        <v>Error?</v>
      </c>
    </row>
    <row r="2914" spans="1:4" x14ac:dyDescent="0.2">
      <c r="A2914" s="5">
        <v>2853</v>
      </c>
      <c r="B2914" s="138">
        <f>'Assets-Liab 5-6'!L33</f>
        <v>140373</v>
      </c>
      <c r="D2914" s="2" t="str">
        <f t="shared" si="44"/>
        <v>Error?</v>
      </c>
    </row>
    <row r="2915" spans="1:4" x14ac:dyDescent="0.2">
      <c r="A2915" s="10">
        <v>2854</v>
      </c>
      <c r="D2915" s="2" t="str">
        <f t="shared" si="44"/>
        <v>OK</v>
      </c>
    </row>
    <row r="2916" spans="1:4" x14ac:dyDescent="0.2">
      <c r="A2916" s="5">
        <v>2855</v>
      </c>
      <c r="B2916" s="138">
        <f>'Assets-Liab 5-6'!L34</f>
        <v>140373</v>
      </c>
      <c r="C2916" s="2" t="s">
        <v>594</v>
      </c>
      <c r="D2916" s="2" t="str">
        <f t="shared" si="44"/>
        <v>Error?</v>
      </c>
    </row>
    <row r="2917" spans="1:4" x14ac:dyDescent="0.2">
      <c r="A2917" s="5">
        <v>2856</v>
      </c>
      <c r="B2917" s="138">
        <f>'Assets-Liab 5-6'!L41</f>
        <v>140373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31750</v>
      </c>
      <c r="D2955" s="2" t="str">
        <f t="shared" si="45"/>
        <v>Error?</v>
      </c>
    </row>
    <row r="2956" spans="1:4" x14ac:dyDescent="0.2">
      <c r="A2956" s="5">
        <v>2895</v>
      </c>
      <c r="B2956" s="138">
        <f>'Expenditures 15-22'!H79</f>
        <v>231940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44660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31750</v>
      </c>
      <c r="C2973" s="2" t="s">
        <v>594</v>
      </c>
      <c r="D2973" s="2" t="str">
        <f t="shared" si="45"/>
        <v>Error?</v>
      </c>
    </row>
    <row r="2974" spans="1:4" x14ac:dyDescent="0.2">
      <c r="A2974" s="5">
        <v>2913</v>
      </c>
      <c r="B2974" s="138">
        <f>'Expenditures 15-22'!K79</f>
        <v>231940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44660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90682</v>
      </c>
      <c r="D3055" s="2" t="str">
        <f t="shared" si="46"/>
        <v>Error?</v>
      </c>
    </row>
    <row r="3056" spans="1:4" x14ac:dyDescent="0.2">
      <c r="A3056" s="5">
        <v>2995</v>
      </c>
      <c r="B3056" s="138">
        <f>'Expenditures 15-22'!D10</f>
        <v>19584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372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110638</v>
      </c>
      <c r="C3062" s="2" t="s">
        <v>594</v>
      </c>
      <c r="D3062" s="2" t="str">
        <f t="shared" si="46"/>
        <v>Error?</v>
      </c>
    </row>
    <row r="3063" spans="1:4" x14ac:dyDescent="0.2">
      <c r="A3063" s="10">
        <v>3002</v>
      </c>
      <c r="D3063" s="2" t="str">
        <f t="shared" si="46"/>
        <v>OK</v>
      </c>
    </row>
    <row r="3064" spans="1:4" x14ac:dyDescent="0.2">
      <c r="A3064" s="5">
        <v>3003</v>
      </c>
      <c r="B3064" s="138">
        <f>'Expenditures 15-22'!D219</f>
        <v>1297</v>
      </c>
      <c r="D3064" s="2" t="str">
        <f t="shared" si="46"/>
        <v>Error?</v>
      </c>
    </row>
    <row r="3065" spans="1:4" x14ac:dyDescent="0.2">
      <c r="A3065" s="5">
        <v>3004</v>
      </c>
      <c r="B3065" s="138">
        <f>'Expenditures 15-22'!K219</f>
        <v>1297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36107</v>
      </c>
      <c r="C3225" s="2" t="s">
        <v>594</v>
      </c>
      <c r="D3225" s="2" t="str">
        <f t="shared" si="49"/>
        <v>Error?</v>
      </c>
    </row>
    <row r="3226" spans="1:4" x14ac:dyDescent="0.2">
      <c r="A3226" s="5">
        <v>3165</v>
      </c>
      <c r="B3226" s="138">
        <f>'Acct Summary 7-8'!I8</f>
        <v>36107</v>
      </c>
      <c r="C3226" s="2" t="s">
        <v>594</v>
      </c>
      <c r="D3226" s="2" t="str">
        <f t="shared" si="49"/>
        <v>Error?</v>
      </c>
    </row>
    <row r="3227" spans="1:4" x14ac:dyDescent="0.2">
      <c r="A3227" s="5">
        <v>3166</v>
      </c>
      <c r="B3227" s="138">
        <f>'Acct Summary 7-8'!I20</f>
        <v>36107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338770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5429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11199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17384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3809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36107</v>
      </c>
      <c r="C3320" s="2" t="s">
        <v>594</v>
      </c>
      <c r="D3320" s="2" t="str">
        <f t="shared" si="50"/>
        <v>Error?</v>
      </c>
    </row>
    <row r="3321" spans="1:4" x14ac:dyDescent="0.2">
      <c r="A3321" s="5">
        <v>3260</v>
      </c>
      <c r="B3321" s="138">
        <f>'Acct Summary 7-8'!I79</f>
        <v>738759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774866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392964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83587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477781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20800</v>
      </c>
      <c r="D3387" s="2" t="str">
        <f t="shared" si="51"/>
        <v>Error?</v>
      </c>
    </row>
    <row r="3388" spans="1:4" x14ac:dyDescent="0.2">
      <c r="A3388" s="5">
        <v>3327</v>
      </c>
      <c r="B3388" s="138">
        <f>'Expenditures 15-22'!D217</f>
        <v>16778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20800</v>
      </c>
      <c r="C3390" s="2" t="s">
        <v>594</v>
      </c>
      <c r="D3390" s="2" t="str">
        <f t="shared" si="51"/>
        <v>Error?</v>
      </c>
    </row>
    <row r="3391" spans="1:4" x14ac:dyDescent="0.2">
      <c r="A3391" s="5">
        <v>3330</v>
      </c>
      <c r="B3391" s="138">
        <f>'Expenditures 15-22'!K217</f>
        <v>16778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299751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226707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3499</v>
      </c>
      <c r="D3417" s="2" t="str">
        <f t="shared" si="52"/>
        <v>Error?</v>
      </c>
    </row>
    <row r="3418" spans="1:4" x14ac:dyDescent="0.2">
      <c r="A3418" s="10">
        <v>3357</v>
      </c>
      <c r="D3418" s="2" t="str">
        <f t="shared" si="52"/>
        <v>OK</v>
      </c>
    </row>
    <row r="3419" spans="1:4" x14ac:dyDescent="0.2">
      <c r="A3419" s="5">
        <v>3358</v>
      </c>
      <c r="B3419" s="138">
        <f>'Assets-Liab 5-6'!F4</f>
        <v>64695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182564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451285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140373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84804</v>
      </c>
      <c r="C3446" s="2" t="s">
        <v>594</v>
      </c>
      <c r="D3446" s="2" t="str">
        <f t="shared" si="52"/>
        <v>Error?</v>
      </c>
    </row>
    <row r="3447" spans="1:4" x14ac:dyDescent="0.2">
      <c r="A3447" s="5">
        <v>3386</v>
      </c>
      <c r="B3447" s="138">
        <f>'Tax Sched 23'!D16</f>
        <v>84804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87001</v>
      </c>
      <c r="C3449" s="2" t="s">
        <v>594</v>
      </c>
      <c r="D3449" s="2" t="str">
        <f t="shared" si="52"/>
        <v>Error?</v>
      </c>
    </row>
    <row r="3450" spans="1:4" x14ac:dyDescent="0.2">
      <c r="A3450" s="5">
        <v>3389</v>
      </c>
      <c r="B3450" s="138">
        <f>'Tax Sched 23'!E16</f>
        <v>87001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128054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128054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128054</v>
      </c>
      <c r="D3567" s="2" t="str">
        <f t="shared" si="54"/>
        <v>Error?</v>
      </c>
    </row>
    <row r="3568" spans="1:4" x14ac:dyDescent="0.2">
      <c r="A3568" s="5">
        <v>3507</v>
      </c>
      <c r="B3568" s="138">
        <f>'Assets-Liab 5-6'!K41</f>
        <v>128054</v>
      </c>
      <c r="C3568" s="2" t="s">
        <v>594</v>
      </c>
      <c r="D3568" s="2" t="str">
        <f t="shared" si="54"/>
        <v>Error?</v>
      </c>
    </row>
    <row r="3569" spans="1:4" x14ac:dyDescent="0.2">
      <c r="A3569" s="5">
        <v>3508</v>
      </c>
      <c r="B3569" s="138">
        <f>'Acct Summary 7-8'!K4</f>
        <v>35980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35980</v>
      </c>
      <c r="C3571" s="2" t="s">
        <v>594</v>
      </c>
      <c r="D3571" s="2" t="str">
        <f t="shared" si="54"/>
        <v>Error?</v>
      </c>
    </row>
    <row r="3572" spans="1:4" x14ac:dyDescent="0.2">
      <c r="A3572" s="5">
        <v>3511</v>
      </c>
      <c r="B3572" s="138">
        <f>'Acct Summary 7-8'!K13</f>
        <v>10908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10908</v>
      </c>
      <c r="C3575" s="2" t="s">
        <v>594</v>
      </c>
      <c r="D3575" s="2" t="str">
        <f t="shared" si="54"/>
        <v>Error?</v>
      </c>
    </row>
    <row r="3576" spans="1:4" x14ac:dyDescent="0.2">
      <c r="A3576" s="5">
        <v>3515</v>
      </c>
      <c r="B3576" s="138">
        <f>'Acct Summary 7-8'!K20</f>
        <v>25072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25072</v>
      </c>
      <c r="C3588" s="2" t="s">
        <v>594</v>
      </c>
      <c r="D3588" s="2" t="str">
        <f t="shared" si="55"/>
        <v>Error?</v>
      </c>
    </row>
    <row r="3589" spans="1:4" x14ac:dyDescent="0.2">
      <c r="A3589" s="5">
        <v>3528</v>
      </c>
      <c r="B3589" s="138">
        <f>'Acct Summary 7-8'!K79</f>
        <v>102982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128054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10908</v>
      </c>
      <c r="D3632" s="2" t="str">
        <f t="shared" si="55"/>
        <v>Error?</v>
      </c>
    </row>
    <row r="3633" spans="1:4" x14ac:dyDescent="0.2">
      <c r="A3633" s="5">
        <v>3572</v>
      </c>
      <c r="B3633" s="138">
        <f>'Expenditures 15-22'!E350</f>
        <v>10908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10908</v>
      </c>
      <c r="C3635" s="2" t="s">
        <v>594</v>
      </c>
      <c r="D3635" s="2" t="str">
        <f t="shared" si="55"/>
        <v>Error?</v>
      </c>
    </row>
    <row r="3636" spans="1:4" x14ac:dyDescent="0.2">
      <c r="A3636" s="5">
        <v>3575</v>
      </c>
      <c r="B3636" s="138">
        <f>'Expenditures 15-22'!E367</f>
        <v>10908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10908</v>
      </c>
      <c r="C3669" s="2" t="s">
        <v>594</v>
      </c>
      <c r="D3669" s="2" t="str">
        <f t="shared" si="56"/>
        <v>Error?</v>
      </c>
    </row>
    <row r="3670" spans="1:4" x14ac:dyDescent="0.2">
      <c r="A3670" s="5">
        <v>3609</v>
      </c>
      <c r="B3670" s="138">
        <f>'Expenditures 15-22'!K350</f>
        <v>10908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10908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10908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25072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35853</v>
      </c>
      <c r="C3725" s="2" t="s">
        <v>594</v>
      </c>
      <c r="D3725" s="2" t="str">
        <f t="shared" si="57"/>
        <v>Error?</v>
      </c>
    </row>
    <row r="3726" spans="1:4" x14ac:dyDescent="0.2">
      <c r="A3726" s="5">
        <v>3665</v>
      </c>
      <c r="B3726" s="138">
        <f>'Tax Sched 23'!D13</f>
        <v>35853</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36040</v>
      </c>
      <c r="C3728" s="2" t="s">
        <v>594</v>
      </c>
      <c r="D3728" s="2" t="str">
        <f t="shared" si="57"/>
        <v>Error?</v>
      </c>
    </row>
    <row r="3729" spans="1:4" x14ac:dyDescent="0.2">
      <c r="A3729" s="5">
        <v>3668</v>
      </c>
      <c r="B3729" s="138">
        <f>'Tax Sched 23'!E13</f>
        <v>36040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1718434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6295519</v>
      </c>
      <c r="C4122" s="2" t="s">
        <v>594</v>
      </c>
      <c r="D4122" s="2" t="str">
        <f t="shared" si="63"/>
        <v>Error?</v>
      </c>
    </row>
    <row r="4123" spans="1:4" x14ac:dyDescent="0.2">
      <c r="A4123" s="5">
        <v>4062</v>
      </c>
      <c r="B4123" s="138">
        <f>'Acct Summary 7-8'!D10</f>
        <v>434945</v>
      </c>
      <c r="C4123" s="2" t="s">
        <v>594</v>
      </c>
      <c r="D4123" s="2" t="str">
        <f t="shared" si="63"/>
        <v>Error?</v>
      </c>
    </row>
    <row r="4124" spans="1:4" x14ac:dyDescent="0.2">
      <c r="A4124" s="5">
        <v>4063</v>
      </c>
      <c r="B4124" s="138">
        <f>'Acct Summary 7-8'!E10</f>
        <v>80472</v>
      </c>
      <c r="C4124" s="2" t="s">
        <v>594</v>
      </c>
      <c r="D4124" s="2" t="str">
        <f t="shared" si="63"/>
        <v>Error?</v>
      </c>
    </row>
    <row r="4125" spans="1:4" x14ac:dyDescent="0.2">
      <c r="A4125" s="5">
        <v>4064</v>
      </c>
      <c r="B4125" s="138">
        <f>'Acct Summary 7-8'!F10</f>
        <v>265462</v>
      </c>
      <c r="C4125" s="2" t="s">
        <v>594</v>
      </c>
      <c r="D4125" s="2" t="str">
        <f t="shared" si="63"/>
        <v>Error?</v>
      </c>
    </row>
    <row r="4126" spans="1:4" x14ac:dyDescent="0.2">
      <c r="A4126" s="5">
        <v>4065</v>
      </c>
      <c r="B4126" s="138">
        <f>'Acct Summary 7-8'!G10</f>
        <v>159942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36107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35980</v>
      </c>
      <c r="C4130" s="2" t="s">
        <v>594</v>
      </c>
      <c r="D4130" s="2" t="str">
        <f t="shared" si="63"/>
        <v>Error?</v>
      </c>
    </row>
    <row r="4131" spans="1:4" x14ac:dyDescent="0.2">
      <c r="A4131" s="5">
        <v>4070</v>
      </c>
      <c r="B4131" s="138">
        <f>'Acct Summary 7-8'!C18</f>
        <v>1718434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5956749</v>
      </c>
      <c r="C4136" s="2" t="s">
        <v>594</v>
      </c>
      <c r="D4136" s="2" t="str">
        <f t="shared" si="63"/>
        <v>Error?</v>
      </c>
    </row>
    <row r="4137" spans="1:4" x14ac:dyDescent="0.2">
      <c r="A4137" s="5">
        <v>4076</v>
      </c>
      <c r="B4137" s="138">
        <f>'Acct Summary 7-8'!D19</f>
        <v>429516</v>
      </c>
      <c r="C4137" s="2" t="s">
        <v>594</v>
      </c>
      <c r="D4137" s="2" t="str">
        <f t="shared" si="63"/>
        <v>Error?</v>
      </c>
    </row>
    <row r="4138" spans="1:4" x14ac:dyDescent="0.2">
      <c r="A4138" s="5">
        <v>4077</v>
      </c>
      <c r="B4138" s="138">
        <f>'Acct Summary 7-8'!E19</f>
        <v>76663</v>
      </c>
      <c r="C4138" s="2" t="s">
        <v>594</v>
      </c>
      <c r="D4138" s="2" t="str">
        <f t="shared" si="63"/>
        <v>Error?</v>
      </c>
    </row>
    <row r="4139" spans="1:4" x14ac:dyDescent="0.2">
      <c r="A4139" s="5">
        <v>4078</v>
      </c>
      <c r="B4139" s="138">
        <f>'Acct Summary 7-8'!F19</f>
        <v>254263</v>
      </c>
      <c r="C4139" s="2" t="s">
        <v>594</v>
      </c>
      <c r="D4139" s="2" t="str">
        <f t="shared" si="63"/>
        <v>Error?</v>
      </c>
    </row>
    <row r="4140" spans="1:4" x14ac:dyDescent="0.2">
      <c r="A4140" s="5">
        <v>4079</v>
      </c>
      <c r="B4140" s="138">
        <f>'Acct Summary 7-8'!G19</f>
        <v>142558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10908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75000</v>
      </c>
      <c r="C4171" s="2" t="s">
        <v>594</v>
      </c>
      <c r="D4171" s="2" t="str">
        <f t="shared" si="64"/>
        <v>Error?</v>
      </c>
    </row>
    <row r="4172" spans="1:4" x14ac:dyDescent="0.2">
      <c r="A4172" s="5">
        <v>4111</v>
      </c>
      <c r="B4172" s="138">
        <f>'Short-Term Long-Term Debt 24'!J49</f>
        <v>71501</v>
      </c>
      <c r="C4172" s="2" t="s">
        <v>594</v>
      </c>
      <c r="D4172" s="2" t="str">
        <f t="shared" si="64"/>
        <v>Error?</v>
      </c>
    </row>
    <row r="4173" spans="1:4" x14ac:dyDescent="0.2">
      <c r="A4173" s="5">
        <v>4112</v>
      </c>
      <c r="B4173" s="138">
        <f>'Short-Term Long-Term Debt 24'!H49</f>
        <v>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3649.9999999999995</v>
      </c>
      <c r="C4268" s="2" t="s">
        <v>594</v>
      </c>
      <c r="D4268" s="2" t="str">
        <f t="shared" si="65"/>
        <v>Error?</v>
      </c>
    </row>
    <row r="4269" spans="1:5" x14ac:dyDescent="0.2">
      <c r="A4269" s="12">
        <v>4208</v>
      </c>
      <c r="B4269" s="138">
        <f>'FP Info 3'!J16</f>
        <v>1114889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48112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5820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28114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17949538</v>
      </c>
      <c r="D4995" s="2" t="str">
        <f t="shared" si="77"/>
        <v>Error?</v>
      </c>
    </row>
    <row r="4996" spans="1:4" x14ac:dyDescent="0.2">
      <c r="A4996" s="12">
        <v>4935</v>
      </c>
      <c r="B4996" s="138">
        <f>'FP Info 3'!H31</f>
        <v>2477036.2440000004</v>
      </c>
      <c r="D4996" s="2" t="str">
        <f t="shared" si="77"/>
        <v>Error?</v>
      </c>
    </row>
    <row r="4997" spans="1:4" x14ac:dyDescent="0.2">
      <c r="A4997" s="12">
        <v>4936</v>
      </c>
      <c r="B4997" s="138">
        <f>'FP Info 3'!H37</f>
        <v>75000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35853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2115254</v>
      </c>
      <c r="D5061" s="2" t="str">
        <f t="shared" si="78"/>
        <v>Error?</v>
      </c>
    </row>
    <row r="5062" spans="1:4" x14ac:dyDescent="0.2">
      <c r="A5062" s="10">
        <v>5001</v>
      </c>
      <c r="D5062" s="2" t="str">
        <f t="shared" si="78"/>
        <v>OK</v>
      </c>
    </row>
    <row r="5063" spans="1:4" x14ac:dyDescent="0.2">
      <c r="A5063" s="5">
        <v>5002</v>
      </c>
      <c r="B5063" s="138">
        <f>'Revenues 9-14'!C7</f>
        <v>28682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2179789</v>
      </c>
      <c r="C5066" s="2" t="s">
        <v>594</v>
      </c>
      <c r="D5066" s="2" t="str">
        <f t="shared" si="78"/>
        <v>Error?</v>
      </c>
    </row>
    <row r="5067" spans="1:4" x14ac:dyDescent="0.2">
      <c r="A5067" s="5">
        <v>5006</v>
      </c>
      <c r="B5067" s="138">
        <f>'Revenues 9-14'!C14</f>
        <v>2973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2973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1198</v>
      </c>
      <c r="C5090" s="2" t="s">
        <v>594</v>
      </c>
      <c r="D5090" s="2" t="str">
        <f t="shared" si="78"/>
        <v>Error?</v>
      </c>
    </row>
    <row r="5091" spans="1:4" x14ac:dyDescent="0.2">
      <c r="A5091" s="5">
        <v>5030</v>
      </c>
      <c r="B5091" s="138">
        <f>'Revenues 9-14'!C70</f>
        <v>7872</v>
      </c>
      <c r="D5091" s="2" t="str">
        <f t="shared" si="78"/>
        <v>Error?</v>
      </c>
    </row>
    <row r="5092" spans="1:4" x14ac:dyDescent="0.2">
      <c r="A5092" s="5">
        <v>5031</v>
      </c>
      <c r="B5092" s="138">
        <f>'Revenues 9-14'!C71</f>
        <v>28005</v>
      </c>
      <c r="D5092" s="2" t="str">
        <f t="shared" si="78"/>
        <v>Error?</v>
      </c>
    </row>
    <row r="5093" spans="1:4" x14ac:dyDescent="0.2">
      <c r="A5093" s="5">
        <v>5032</v>
      </c>
      <c r="B5093" s="138">
        <f>'Revenues 9-14'!C72</f>
        <v>5971</v>
      </c>
      <c r="D5093" s="2" t="str">
        <f t="shared" si="78"/>
        <v>Error?</v>
      </c>
    </row>
    <row r="5094" spans="1:4" x14ac:dyDescent="0.2">
      <c r="A5094" s="5">
        <v>5033</v>
      </c>
      <c r="B5094" s="138">
        <f>'Revenues 9-14'!C73</f>
        <v>3524</v>
      </c>
      <c r="D5094" s="2" t="str">
        <f t="shared" si="78"/>
        <v>Error?</v>
      </c>
    </row>
    <row r="5095" spans="1:4" x14ac:dyDescent="0.2">
      <c r="A5095" s="5">
        <v>5034</v>
      </c>
      <c r="B5095" s="138">
        <f>'Revenues 9-14'!C74</f>
        <v>138</v>
      </c>
      <c r="D5095" s="2" t="str">
        <f t="shared" si="78"/>
        <v>Error?</v>
      </c>
    </row>
    <row r="5096" spans="1:4" x14ac:dyDescent="0.2">
      <c r="A5096" s="5">
        <v>5035</v>
      </c>
      <c r="B5096" s="138">
        <f>'Revenues 9-14'!C75</f>
        <v>111038</v>
      </c>
      <c r="C5096" s="2" t="s">
        <v>594</v>
      </c>
      <c r="D5096" s="2" t="str">
        <f t="shared" si="78"/>
        <v>Error?</v>
      </c>
    </row>
    <row r="5097" spans="1:4" x14ac:dyDescent="0.2">
      <c r="A5097" s="5">
        <v>5036</v>
      </c>
      <c r="B5097" s="138">
        <f>'Revenues 9-14'!C77</f>
        <v>31351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31351</v>
      </c>
      <c r="C5102" s="2" t="s">
        <v>594</v>
      </c>
      <c r="D5102" s="2" t="str">
        <f t="shared" si="78"/>
        <v>Error?</v>
      </c>
    </row>
    <row r="5103" spans="1:4" x14ac:dyDescent="0.2">
      <c r="A5103" s="5">
        <v>5042</v>
      </c>
      <c r="B5103" s="138">
        <f>'Revenues 9-14'!C84</f>
        <v>12435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12435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8688</v>
      </c>
      <c r="D5114" s="2" t="str">
        <f t="shared" si="78"/>
        <v>Error?</v>
      </c>
    </row>
    <row r="5115" spans="1:4" x14ac:dyDescent="0.2">
      <c r="A5115" s="5">
        <v>5054</v>
      </c>
      <c r="B5115" s="138">
        <f>'Revenues 9-14'!C98</f>
        <v>25783</v>
      </c>
      <c r="D5115" s="2" t="str">
        <f t="shared" si="78"/>
        <v>Error?</v>
      </c>
    </row>
    <row r="5116" spans="1:4" x14ac:dyDescent="0.2">
      <c r="A5116" s="5">
        <v>5055</v>
      </c>
      <c r="B5116" s="138">
        <f>'Revenues 9-14'!C99</f>
        <v>188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705</v>
      </c>
      <c r="D5118" s="2" t="str">
        <f t="shared" si="78"/>
        <v>Error?</v>
      </c>
    </row>
    <row r="5119" spans="1:4" x14ac:dyDescent="0.2">
      <c r="A5119" s="5">
        <v>5058</v>
      </c>
      <c r="B5119" s="138">
        <f>'Revenues 9-14'!C107</f>
        <v>15279</v>
      </c>
      <c r="D5119" s="2" t="str">
        <f t="shared" ref="D5119:D5182" si="79">IF(ISBLANK(B5119),"OK",IF(A5119-B5119=0,"OK","Error?"))</f>
        <v>Error?</v>
      </c>
    </row>
    <row r="5120" spans="1:4" x14ac:dyDescent="0.2">
      <c r="A5120" s="5">
        <v>5059</v>
      </c>
      <c r="B5120" s="138">
        <f>'Revenues 9-14'!C108</f>
        <v>53043</v>
      </c>
      <c r="C5120" s="2" t="s">
        <v>594</v>
      </c>
      <c r="D5120" s="2" t="str">
        <f t="shared" si="79"/>
        <v>Error?</v>
      </c>
    </row>
    <row r="5121" spans="1:4" x14ac:dyDescent="0.2">
      <c r="A5121" s="5">
        <v>5060</v>
      </c>
      <c r="B5121" s="138">
        <f>'Revenues 9-14'!C109</f>
        <v>2391827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1593858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1593858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37597</v>
      </c>
      <c r="D5134" s="2" t="str">
        <f t="shared" si="79"/>
        <v>Error?</v>
      </c>
    </row>
    <row r="5135" spans="1:4" x14ac:dyDescent="0.2">
      <c r="A5135" s="5">
        <v>5074</v>
      </c>
      <c r="B5135" s="138">
        <f>'Revenues 9-14'!C126</f>
        <v>53624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91221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18806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18806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2003</v>
      </c>
      <c r="D5167" s="2" t="str">
        <f t="shared" si="79"/>
        <v>Error?</v>
      </c>
    </row>
    <row r="5168" spans="1:4" x14ac:dyDescent="0.2">
      <c r="A5168" s="5">
        <v>5107</v>
      </c>
      <c r="B5168" s="138">
        <f>'Revenues 9-14'!C147</f>
        <v>7624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125551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245955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1839813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112597</v>
      </c>
      <c r="D5239" s="2" t="str">
        <f t="shared" si="80"/>
        <v>Error?</v>
      </c>
    </row>
    <row r="5240" spans="1:4" x14ac:dyDescent="0.2">
      <c r="A5240" s="5">
        <v>5179</v>
      </c>
      <c r="B5240" s="138">
        <f>'Revenues 9-14'!C195</f>
        <v>229</v>
      </c>
      <c r="D5240" s="2" t="str">
        <f t="shared" si="80"/>
        <v>Error?</v>
      </c>
    </row>
    <row r="5241" spans="1:4" x14ac:dyDescent="0.2">
      <c r="A5241" s="5">
        <v>5180</v>
      </c>
      <c r="B5241" s="138">
        <f>'Revenues 9-14'!C196</f>
        <v>29512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142338</v>
      </c>
      <c r="C5246" s="2" t="s">
        <v>594</v>
      </c>
      <c r="D5246" s="2" t="str">
        <f t="shared" si="80"/>
        <v>Error?</v>
      </c>
    </row>
    <row r="5247" spans="1:4" x14ac:dyDescent="0.2">
      <c r="A5247" s="5">
        <v>5186</v>
      </c>
      <c r="B5247" s="138">
        <f>'Revenues 9-14'!C203</f>
        <v>120522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5820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120522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539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345445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345445</v>
      </c>
      <c r="C5326" s="2" t="s">
        <v>594</v>
      </c>
      <c r="D5326" s="2" t="str">
        <f t="shared" si="82"/>
        <v>Error?</v>
      </c>
    </row>
    <row r="5327" spans="1:4" x14ac:dyDescent="0.2">
      <c r="A5327" s="5">
        <v>5266</v>
      </c>
      <c r="B5327" s="138">
        <f>'Revenues 9-14'!C275</f>
        <v>4577085</v>
      </c>
      <c r="C5327" s="2" t="s">
        <v>594</v>
      </c>
      <c r="D5327" s="2" t="str">
        <f t="shared" si="82"/>
        <v>Error?</v>
      </c>
    </row>
    <row r="5328" spans="1:4" x14ac:dyDescent="0.2">
      <c r="A5328" s="5">
        <v>5267</v>
      </c>
      <c r="B5328" s="138">
        <f>'Revenues 9-14'!D5</f>
        <v>358518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358518</v>
      </c>
      <c r="C5334" s="2" t="s">
        <v>594</v>
      </c>
      <c r="D5334" s="2" t="str">
        <f t="shared" si="82"/>
        <v>Error?</v>
      </c>
    </row>
    <row r="5335" spans="1:4" x14ac:dyDescent="0.2">
      <c r="A5335" s="5">
        <v>5274</v>
      </c>
      <c r="B5335" s="138">
        <f>'Revenues 9-14'!D14</f>
        <v>489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62403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62892</v>
      </c>
      <c r="C5339" s="2" t="s">
        <v>594</v>
      </c>
      <c r="D5339" s="2" t="str">
        <f t="shared" si="82"/>
        <v>Error?</v>
      </c>
    </row>
    <row r="5340" spans="1:4" x14ac:dyDescent="0.2">
      <c r="A5340" s="5">
        <v>5279</v>
      </c>
      <c r="B5340" s="138">
        <f>'Revenues 9-14'!D65</f>
        <v>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13472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13472</v>
      </c>
      <c r="C5355" s="2" t="s">
        <v>594</v>
      </c>
      <c r="D5355" s="2" t="str">
        <f t="shared" si="82"/>
        <v>Error?</v>
      </c>
    </row>
    <row r="5356" spans="1:4" x14ac:dyDescent="0.2">
      <c r="A5356" s="5">
        <v>5295</v>
      </c>
      <c r="B5356" s="138">
        <f>'Revenues 9-14'!D109</f>
        <v>434945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434945</v>
      </c>
      <c r="C5508" s="2" t="s">
        <v>594</v>
      </c>
      <c r="D5508" s="2" t="str">
        <f t="shared" si="85"/>
        <v>Error?</v>
      </c>
    </row>
    <row r="5509" spans="1:4" x14ac:dyDescent="0.2">
      <c r="A5509" s="5">
        <v>5448</v>
      </c>
      <c r="B5509" s="138">
        <f>'Revenues 9-14'!E5</f>
        <v>80358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80358</v>
      </c>
      <c r="C5513" s="2" t="s">
        <v>594</v>
      </c>
      <c r="D5513" s="2" t="str">
        <f t="shared" si="85"/>
        <v>Error?</v>
      </c>
    </row>
    <row r="5514" spans="1:4" x14ac:dyDescent="0.2">
      <c r="A5514" s="5">
        <v>5453</v>
      </c>
      <c r="B5514" s="138">
        <f>'Revenues 9-14'!E14</f>
        <v>110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110</v>
      </c>
      <c r="C5518" s="2" t="s">
        <v>594</v>
      </c>
      <c r="D5518" s="2" t="str">
        <f t="shared" si="85"/>
        <v>Error?</v>
      </c>
    </row>
    <row r="5519" spans="1:4" x14ac:dyDescent="0.2">
      <c r="A5519" s="5">
        <v>5458</v>
      </c>
      <c r="B5519" s="138">
        <f>'Revenues 9-14'!E65</f>
        <v>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80472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80472</v>
      </c>
      <c r="C5552" s="2" t="s">
        <v>594</v>
      </c>
      <c r="D5552" s="2" t="str">
        <f t="shared" si="85"/>
        <v>Error?</v>
      </c>
    </row>
    <row r="5553" spans="1:4" x14ac:dyDescent="0.2">
      <c r="A5553" s="5">
        <v>5492</v>
      </c>
      <c r="B5553" s="138">
        <f>'Revenues 9-14'!F5</f>
        <v>143409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143409</v>
      </c>
      <c r="C5557" s="2" t="s">
        <v>594</v>
      </c>
      <c r="D5557" s="2" t="str">
        <f t="shared" si="85"/>
        <v>Error?</v>
      </c>
    </row>
    <row r="5558" spans="1:4" x14ac:dyDescent="0.2">
      <c r="A5558" s="5">
        <v>5497</v>
      </c>
      <c r="B5558" s="138">
        <f>'Revenues 9-14'!F14</f>
        <v>196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231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231</v>
      </c>
      <c r="C5579" s="2" t="s">
        <v>594</v>
      </c>
      <c r="D5579" s="2" t="str">
        <f t="shared" si="86"/>
        <v>Error?</v>
      </c>
    </row>
    <row r="5580" spans="1:4" x14ac:dyDescent="0.2">
      <c r="A5580" s="5">
        <v>5519</v>
      </c>
      <c r="B5580" s="138">
        <f>'Revenues 9-14'!F65</f>
        <v>18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6653</v>
      </c>
      <c r="C5587" s="2" t="s">
        <v>594</v>
      </c>
      <c r="D5587" s="2" t="str">
        <f t="shared" si="86"/>
        <v>Error?</v>
      </c>
    </row>
    <row r="5588" spans="1:4" x14ac:dyDescent="0.2">
      <c r="A5588" s="5">
        <v>5527</v>
      </c>
      <c r="B5588" s="138">
        <f>'Revenues 9-14'!F109</f>
        <v>150507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64422</v>
      </c>
      <c r="D5615" s="2" t="str">
        <f t="shared" si="86"/>
        <v>Error?</v>
      </c>
    </row>
    <row r="5616" spans="1:4" x14ac:dyDescent="0.2">
      <c r="A5616" s="10">
        <v>5555</v>
      </c>
      <c r="D5616" s="2" t="str">
        <f t="shared" si="86"/>
        <v>OK</v>
      </c>
    </row>
    <row r="5617" spans="1:4" x14ac:dyDescent="0.2">
      <c r="A5617" s="5">
        <v>5556</v>
      </c>
      <c r="B5617" s="138">
        <f>'Revenues 9-14'!F152</f>
        <v>50533</v>
      </c>
      <c r="D5617" s="2" t="str">
        <f t="shared" si="86"/>
        <v>Error?</v>
      </c>
    </row>
    <row r="5618" spans="1:4" x14ac:dyDescent="0.2">
      <c r="A5618" s="5">
        <v>5557</v>
      </c>
      <c r="B5618" s="138">
        <f>'Revenues 9-14'!F154</f>
        <v>114955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114955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114955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265462</v>
      </c>
      <c r="C5720" s="2" t="s">
        <v>594</v>
      </c>
      <c r="D5720" s="2" t="str">
        <f t="shared" si="88"/>
        <v>Error?</v>
      </c>
    </row>
    <row r="5721" spans="1:4" x14ac:dyDescent="0.2">
      <c r="A5721" s="5">
        <v>5660</v>
      </c>
      <c r="B5721" s="138">
        <f>'Revenues 9-14'!G5</f>
        <v>74828</v>
      </c>
      <c r="D5721" s="2" t="str">
        <f t="shared" si="88"/>
        <v>Error?</v>
      </c>
    </row>
    <row r="5722" spans="1:4" x14ac:dyDescent="0.2">
      <c r="A5722" s="5">
        <v>5661</v>
      </c>
      <c r="B5722" s="138">
        <f>'Revenues 9-14'!G7</f>
        <v>0</v>
      </c>
      <c r="D5722" s="2" t="str">
        <f t="shared" si="88"/>
        <v>Error?</v>
      </c>
    </row>
    <row r="5723" spans="1:4" x14ac:dyDescent="0.2">
      <c r="A5723" s="5">
        <v>5662</v>
      </c>
      <c r="B5723" s="138">
        <f>'Revenues 9-14'!G8</f>
        <v>84804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159632</v>
      </c>
      <c r="C5725" s="2" t="s">
        <v>594</v>
      </c>
      <c r="D5725" s="2" t="str">
        <f t="shared" si="88"/>
        <v>Error?</v>
      </c>
    </row>
    <row r="5726" spans="1:4" x14ac:dyDescent="0.2">
      <c r="A5726" s="5">
        <v>5665</v>
      </c>
      <c r="B5726" s="138">
        <f>'Revenues 9-14'!G14</f>
        <v>218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218</v>
      </c>
      <c r="C5730" s="2" t="s">
        <v>594</v>
      </c>
      <c r="D5730" s="2" t="str">
        <f t="shared" si="88"/>
        <v>Error?</v>
      </c>
    </row>
    <row r="5731" spans="1:4" x14ac:dyDescent="0.2">
      <c r="A5731" s="5">
        <v>5670</v>
      </c>
      <c r="B5731" s="138">
        <f>'Revenues 9-14'!G65</f>
        <v>92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159942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35853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35853</v>
      </c>
      <c r="C5918" s="2" t="s">
        <v>594</v>
      </c>
      <c r="D5918" s="2" t="str">
        <f t="shared" si="91"/>
        <v>Error?</v>
      </c>
    </row>
    <row r="5919" spans="1:4" x14ac:dyDescent="0.2">
      <c r="A5919" s="5">
        <v>5858</v>
      </c>
      <c r="B5919" s="138">
        <f>'Revenues 9-14'!I14</f>
        <v>49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49</v>
      </c>
      <c r="C5923" s="2" t="s">
        <v>594</v>
      </c>
      <c r="D5923" s="2" t="str">
        <f t="shared" si="91"/>
        <v>Error?</v>
      </c>
    </row>
    <row r="5924" spans="1:4" x14ac:dyDescent="0.2">
      <c r="A5924" s="5">
        <v>5863</v>
      </c>
      <c r="B5924" s="138">
        <f>'Revenues 9-14'!I65</f>
        <v>205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36107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35853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35853</v>
      </c>
      <c r="C5987" s="2" t="s">
        <v>594</v>
      </c>
      <c r="D5987" s="2" t="str">
        <f t="shared" si="92"/>
        <v>Error?</v>
      </c>
    </row>
    <row r="5988" spans="1:4" x14ac:dyDescent="0.2">
      <c r="A5988" s="5">
        <v>5927</v>
      </c>
      <c r="B5988" s="138">
        <f>'Revenues 9-14'!K14</f>
        <v>49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49</v>
      </c>
      <c r="C5992" s="2" t="s">
        <v>594</v>
      </c>
      <c r="D5992" s="2" t="str">
        <f t="shared" si="92"/>
        <v>Error?</v>
      </c>
    </row>
    <row r="5993" spans="1:4" x14ac:dyDescent="0.2">
      <c r="A5993" s="5">
        <v>5932</v>
      </c>
      <c r="B5993" s="138">
        <f>'Revenues 9-14'!K65</f>
        <v>78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35980</v>
      </c>
      <c r="C6023" s="2" t="s">
        <v>594</v>
      </c>
      <c r="D6023" s="2" t="str">
        <f t="shared" si="93"/>
        <v>Error?</v>
      </c>
    </row>
    <row r="6024" spans="1:5" x14ac:dyDescent="0.2">
      <c r="A6024" s="5">
        <v>5963</v>
      </c>
      <c r="B6024" s="138">
        <f>'Revenues 9-14'!G109</f>
        <v>159942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36107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35980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65528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20248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520.49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323581</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66143</v>
      </c>
      <c r="D6124" s="2" t="str">
        <f t="shared" si="94"/>
        <v>Error?</v>
      </c>
      <c r="E6124" s="2" t="s">
        <v>199</v>
      </c>
    </row>
    <row r="6125" spans="1:5" x14ac:dyDescent="0.2">
      <c r="A6125">
        <v>6064</v>
      </c>
      <c r="B6125" s="138">
        <f>'Assets-Liab 5-6'!C25</f>
        <v>250000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73581</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-104</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-104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66247</v>
      </c>
      <c r="D6215" s="2" t="str">
        <f t="shared" si="96"/>
        <v>Error?</v>
      </c>
      <c r="E6215" s="2" t="s">
        <v>199</v>
      </c>
    </row>
    <row r="6216" spans="1:5" x14ac:dyDescent="0.2">
      <c r="A6216">
        <v>6155</v>
      </c>
      <c r="B6216" s="138">
        <f>'Assets-Liab 5-6'!J41</f>
        <v>66143</v>
      </c>
      <c r="D6216" s="2" t="str">
        <f t="shared" si="96"/>
        <v>Error?</v>
      </c>
      <c r="E6216" s="2" t="s">
        <v>199</v>
      </c>
    </row>
    <row r="6217" spans="1:5" x14ac:dyDescent="0.2">
      <c r="A6217">
        <v>6156</v>
      </c>
      <c r="B6217" s="138">
        <f>'Assets-Liab 5-6'!J4</f>
        <v>66143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203918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203918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203918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163657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163657</v>
      </c>
      <c r="D6229" s="2" t="str">
        <f t="shared" si="96"/>
        <v>Error?</v>
      </c>
      <c r="E6229" s="2" t="s">
        <v>199</v>
      </c>
    </row>
    <row r="6230" spans="1:5" x14ac:dyDescent="0.2">
      <c r="A6230">
        <v>6169</v>
      </c>
      <c r="B6230" s="138">
        <f>'Acct Summary 7-8'!J20</f>
        <v>40261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40261</v>
      </c>
      <c r="D6263" s="2" t="str">
        <f t="shared" si="96"/>
        <v>Error?</v>
      </c>
      <c r="E6263" s="2" t="s">
        <v>199</v>
      </c>
    </row>
    <row r="6264" spans="1:5" x14ac:dyDescent="0.2">
      <c r="A6264">
        <v>6203</v>
      </c>
      <c r="B6264" s="138">
        <f>'Acct Summary 7-8'!J79</f>
        <v>25986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66247</v>
      </c>
      <c r="D6266" s="2" t="str">
        <f t="shared" si="96"/>
        <v>Error?</v>
      </c>
      <c r="E6266" s="2" t="s">
        <v>199</v>
      </c>
    </row>
    <row r="6267" spans="1:5" x14ac:dyDescent="0.2">
      <c r="A6267">
        <v>6206</v>
      </c>
      <c r="B6267" s="138">
        <f>'Acct Summary 7-8'!C82</f>
        <v>338770</v>
      </c>
      <c r="D6267" s="2" t="str">
        <f t="shared" si="96"/>
        <v>Error?</v>
      </c>
      <c r="E6267" s="2" t="s">
        <v>199</v>
      </c>
    </row>
    <row r="6268" spans="1:5" x14ac:dyDescent="0.2">
      <c r="A6268">
        <v>6207</v>
      </c>
      <c r="B6268" s="138">
        <f>'Acct Summary 7-8'!D82</f>
        <v>5429</v>
      </c>
      <c r="D6268" s="2" t="str">
        <f t="shared" si="96"/>
        <v>Error?</v>
      </c>
      <c r="E6268" s="2" t="s">
        <v>199</v>
      </c>
    </row>
    <row r="6269" spans="1:5" x14ac:dyDescent="0.2">
      <c r="A6269">
        <v>6208</v>
      </c>
      <c r="B6269" s="138">
        <f>'Acct Summary 7-8'!E82</f>
        <v>3809</v>
      </c>
      <c r="D6269" s="2" t="str">
        <f t="shared" si="96"/>
        <v>Error?</v>
      </c>
      <c r="E6269" s="2" t="s">
        <v>199</v>
      </c>
    </row>
    <row r="6270" spans="1:5" x14ac:dyDescent="0.2">
      <c r="A6270">
        <v>6209</v>
      </c>
      <c r="B6270" s="138">
        <f>'Acct Summary 7-8'!F82</f>
        <v>11199</v>
      </c>
      <c r="D6270" s="2" t="str">
        <f t="shared" si="96"/>
        <v>Error?</v>
      </c>
      <c r="E6270" s="2" t="s">
        <v>199</v>
      </c>
    </row>
    <row r="6271" spans="1:5" x14ac:dyDescent="0.2">
      <c r="A6271">
        <v>6210</v>
      </c>
      <c r="B6271" s="138">
        <f>'Acct Summary 7-8'!G82</f>
        <v>17384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36107</v>
      </c>
      <c r="D6273" s="2" t="str">
        <f t="shared" si="97"/>
        <v>Error?</v>
      </c>
      <c r="E6273" s="2" t="s">
        <v>199</v>
      </c>
    </row>
    <row r="6274" spans="1:5" x14ac:dyDescent="0.2">
      <c r="A6274">
        <v>6213</v>
      </c>
      <c r="B6274" s="138">
        <f>'Acct Summary 7-8'!J82</f>
        <v>40261</v>
      </c>
      <c r="D6274" s="2" t="str">
        <f t="shared" si="97"/>
        <v>Error?</v>
      </c>
      <c r="E6274" s="2" t="s">
        <v>199</v>
      </c>
    </row>
    <row r="6275" spans="1:5" x14ac:dyDescent="0.2">
      <c r="A6275">
        <v>6214</v>
      </c>
      <c r="B6275" s="138">
        <f>'Acct Summary 7-8'!K82</f>
        <v>25072</v>
      </c>
      <c r="D6275" s="2" t="str">
        <f t="shared" si="97"/>
        <v>Error?</v>
      </c>
      <c r="E6275" s="2" t="s">
        <v>199</v>
      </c>
    </row>
    <row r="6276" spans="1:5" x14ac:dyDescent="0.2">
      <c r="A6276">
        <v>6215</v>
      </c>
      <c r="B6276" s="138">
        <f>'Acct Summary 7-8'!C83</f>
        <v>6.9454239790060681</v>
      </c>
      <c r="D6276" s="2" t="str">
        <f t="shared" si="97"/>
        <v>Error?</v>
      </c>
      <c r="E6276" s="2" t="s">
        <v>199</v>
      </c>
    </row>
    <row r="6277" spans="1:5" x14ac:dyDescent="0.2">
      <c r="A6277">
        <v>6216</v>
      </c>
      <c r="B6277" s="138">
        <f>'Acct Summary 7-8'!D83</f>
        <v>2.3947209393622604E-2</v>
      </c>
      <c r="D6277" s="2" t="str">
        <f t="shared" si="97"/>
        <v>Error?</v>
      </c>
      <c r="E6277" s="2" t="s">
        <v>199</v>
      </c>
    </row>
    <row r="6278" spans="1:5" x14ac:dyDescent="0.2">
      <c r="A6278">
        <v>6217</v>
      </c>
      <c r="B6278" s="138">
        <f>'Acct Summary 7-8'!E83</f>
        <v>-5.4350617847664165E-2</v>
      </c>
      <c r="D6278" s="2" t="str">
        <f t="shared" si="97"/>
        <v>Error?</v>
      </c>
      <c r="E6278" s="2" t="s">
        <v>199</v>
      </c>
    </row>
    <row r="6279" spans="1:5" x14ac:dyDescent="0.2">
      <c r="A6279">
        <v>6218</v>
      </c>
      <c r="B6279" s="138">
        <f>'Acct Summary 7-8'!F83</f>
        <v>0.17352029748992873</v>
      </c>
      <c r="D6279" s="2" t="str">
        <f t="shared" si="97"/>
        <v>Error?</v>
      </c>
      <c r="E6279" s="2" t="s">
        <v>199</v>
      </c>
    </row>
    <row r="6280" spans="1:5" x14ac:dyDescent="0.2">
      <c r="A6280">
        <v>6219</v>
      </c>
      <c r="B6280" s="138">
        <f>'Acct Summary 7-8'!G83</f>
        <v>9.5221401809776299E-2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4.6597734317933681E-2</v>
      </c>
      <c r="D6282" s="2" t="str">
        <f t="shared" si="97"/>
        <v>Error?</v>
      </c>
      <c r="E6282" s="2" t="s">
        <v>199</v>
      </c>
    </row>
    <row r="6283" spans="1:5" x14ac:dyDescent="0.2">
      <c r="A6283">
        <v>6222</v>
      </c>
      <c r="B6283" s="138">
        <f>'Acct Summary 7-8'!J83</f>
        <v>0.60774072788201727</v>
      </c>
      <c r="D6283" s="2" t="str">
        <f t="shared" si="97"/>
        <v>Error?</v>
      </c>
      <c r="E6283" s="2" t="s">
        <v>199</v>
      </c>
    </row>
    <row r="6284" spans="1:5" x14ac:dyDescent="0.2">
      <c r="A6284">
        <v>6223</v>
      </c>
      <c r="B6284" s="138">
        <f>'Acct Summary 7-8'!K83</f>
        <v>0.19579240008121573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189562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189562</v>
      </c>
      <c r="D6301" s="2" t="str">
        <f t="shared" si="97"/>
        <v>Error?</v>
      </c>
      <c r="E6301" s="2" t="s">
        <v>199</v>
      </c>
    </row>
    <row r="6302" spans="1:5" x14ac:dyDescent="0.2">
      <c r="A6302">
        <v>6241</v>
      </c>
      <c r="B6302" s="138">
        <f>'Revenues 9-14'!J14</f>
        <v>259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259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6653</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2400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14090</v>
      </c>
      <c r="D6350" s="2" t="str">
        <f t="shared" si="98"/>
        <v>Error?</v>
      </c>
      <c r="E6350" s="2" t="s">
        <v>199</v>
      </c>
    </row>
    <row r="6351" spans="1:5" x14ac:dyDescent="0.2">
      <c r="A6351">
        <v>6290</v>
      </c>
      <c r="B6351" s="138">
        <f>'Revenues 9-14'!J108</f>
        <v>14090</v>
      </c>
      <c r="D6351" s="2" t="str">
        <f t="shared" si="98"/>
        <v>Error?</v>
      </c>
      <c r="E6351" s="2" t="s">
        <v>199</v>
      </c>
    </row>
    <row r="6352" spans="1:5" x14ac:dyDescent="0.2">
      <c r="A6352">
        <v>6291</v>
      </c>
      <c r="B6352" s="138">
        <f>'Revenues 9-14'!J109</f>
        <v>203918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50199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73026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37381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157789</v>
      </c>
      <c r="D6983" s="2" t="str">
        <f t="shared" si="108"/>
        <v>Error?</v>
      </c>
    </row>
    <row r="6984" spans="1:4" x14ac:dyDescent="0.2">
      <c r="A6984">
        <v>6923</v>
      </c>
      <c r="B6984" s="138">
        <f>'Expenditures 15-22'!K86</f>
        <v>157789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157789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163657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203918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2871</v>
      </c>
      <c r="D7073" s="2" t="str">
        <f t="shared" si="109"/>
        <v>Error?</v>
      </c>
    </row>
    <row r="7074" spans="1:4" x14ac:dyDescent="0.2">
      <c r="A7074">
        <v>7013</v>
      </c>
      <c r="B7074" s="138">
        <f>'Expenditures 15-22'!K216</f>
        <v>2871</v>
      </c>
      <c r="D7074" s="2" t="str">
        <f t="shared" si="109"/>
        <v>Error?</v>
      </c>
    </row>
    <row r="7075" spans="1:4" x14ac:dyDescent="0.2">
      <c r="A7075">
        <v>7014</v>
      </c>
      <c r="B7075" s="138">
        <f>'Expenditures 15-22'!D218</f>
        <v>2</v>
      </c>
      <c r="D7075" s="2" t="str">
        <f t="shared" si="109"/>
        <v>Error?</v>
      </c>
    </row>
    <row r="7076" spans="1:4" x14ac:dyDescent="0.2">
      <c r="A7076">
        <v>7015</v>
      </c>
      <c r="B7076" s="138">
        <f>'Expenditures 15-22'!K218</f>
        <v>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448</v>
      </c>
      <c r="D7079" s="2" t="str">
        <f t="shared" si="109"/>
        <v>Error?</v>
      </c>
    </row>
    <row r="7080" spans="1:4" x14ac:dyDescent="0.2">
      <c r="A7080">
        <v>7019</v>
      </c>
      <c r="B7080" s="138">
        <f>'Expenditures 15-22'!K226</f>
        <v>448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30731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30731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25874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25874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8767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996</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9763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50861</v>
      </c>
      <c r="D7172" s="2" t="str">
        <f t="shared" si="111"/>
        <v>Error?</v>
      </c>
    </row>
    <row r="7173" spans="1:4" x14ac:dyDescent="0.2">
      <c r="A7173">
        <v>7112</v>
      </c>
      <c r="B7173" s="138">
        <f>'Expenditures 15-22'!D325</f>
        <v>4369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55230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4137</v>
      </c>
      <c r="D7198" s="2" t="str">
        <f t="shared" si="111"/>
        <v>Error?</v>
      </c>
    </row>
    <row r="7199" spans="1:4" x14ac:dyDescent="0.2">
      <c r="A7199">
        <v>7138</v>
      </c>
      <c r="B7199" s="138">
        <f>'Expenditures 15-22'!C330</f>
        <v>50861</v>
      </c>
      <c r="D7199" s="2" t="str">
        <f t="shared" si="111"/>
        <v>Error?</v>
      </c>
    </row>
    <row r="7200" spans="1:4" x14ac:dyDescent="0.2">
      <c r="A7200">
        <v>7139</v>
      </c>
      <c r="B7200" s="138">
        <f>'Expenditures 15-22'!D330</f>
        <v>4369</v>
      </c>
      <c r="D7200" s="2" t="str">
        <f t="shared" si="111"/>
        <v>Error?</v>
      </c>
    </row>
    <row r="7201" spans="1:4" x14ac:dyDescent="0.2">
      <c r="A7201">
        <v>7140</v>
      </c>
      <c r="B7201" s="138">
        <f>'Expenditures 15-22'!E330</f>
        <v>107431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996</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163657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50861</v>
      </c>
      <c r="D7216" s="2" t="str">
        <f t="shared" si="111"/>
        <v>Error?</v>
      </c>
    </row>
    <row r="7217" spans="1:4" x14ac:dyDescent="0.2">
      <c r="A7217">
        <v>7156</v>
      </c>
      <c r="B7217" s="138">
        <f>'Expenditures 15-22'!D342</f>
        <v>4369</v>
      </c>
      <c r="D7217" s="2" t="str">
        <f t="shared" si="111"/>
        <v>Error?</v>
      </c>
    </row>
    <row r="7218" spans="1:4" x14ac:dyDescent="0.2">
      <c r="A7218">
        <v>7157</v>
      </c>
      <c r="B7218" s="138">
        <f>'Expenditures 15-22'!E342</f>
        <v>107431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996</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163657</v>
      </c>
      <c r="D7224" s="2" t="str">
        <f t="shared" si="111"/>
        <v>Error?</v>
      </c>
    </row>
    <row r="7225" spans="1:4" x14ac:dyDescent="0.2">
      <c r="A7225">
        <v>7164</v>
      </c>
      <c r="B7225" s="138">
        <f>'Expenditures 15-22'!K343</f>
        <v>40261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20755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2072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31171</v>
      </c>
      <c r="D7263" s="2" t="str">
        <f t="shared" si="112"/>
        <v>Error?</v>
      </c>
    </row>
    <row r="7264" spans="1:4" x14ac:dyDescent="0.2">
      <c r="A7264">
        <f t="shared" si="113"/>
        <v>7203</v>
      </c>
      <c r="B7264" s="138">
        <f>'Expenditures 15-22'!D17</f>
        <v>5697</v>
      </c>
      <c r="D7264" s="2" t="str">
        <f t="shared" si="112"/>
        <v>Error?</v>
      </c>
    </row>
    <row r="7265" spans="1:5" x14ac:dyDescent="0.2">
      <c r="A7265">
        <f t="shared" si="113"/>
        <v>7204</v>
      </c>
      <c r="B7265" s="138">
        <f>'Expenditures 15-22'!E17</f>
        <v>41</v>
      </c>
      <c r="D7265" s="2" t="str">
        <f t="shared" si="112"/>
        <v>Error?</v>
      </c>
    </row>
    <row r="7266" spans="1:5" x14ac:dyDescent="0.2">
      <c r="A7266">
        <f t="shared" si="113"/>
        <v>7205</v>
      </c>
      <c r="B7266" s="138">
        <f>'Expenditures 15-22'!F17</f>
        <v>472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299480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25342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25342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12445</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12445</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2400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7624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10024</v>
      </c>
      <c r="D7719" s="2" t="str">
        <f t="shared" si="126"/>
        <v>Error?</v>
      </c>
      <c r="E7719" s="2" t="s">
        <v>881</v>
      </c>
    </row>
    <row r="7720" spans="1:6" x14ac:dyDescent="0.2">
      <c r="A7720">
        <v>7659</v>
      </c>
      <c r="B7720" s="138">
        <f>'Rest Tax Levies-Tort Im 25'!H14</f>
        <v>28682</v>
      </c>
      <c r="D7720" s="2" t="str">
        <f t="shared" si="126"/>
        <v>Error?</v>
      </c>
      <c r="E7720" s="2" t="s">
        <v>881</v>
      </c>
    </row>
    <row r="7721" spans="1:6" x14ac:dyDescent="0.2">
      <c r="A7721">
        <v>7660</v>
      </c>
      <c r="B7721" s="138">
        <f>'Rest Tax Levies-Tort Im 25'!K14</f>
        <v>10024</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Hailton CCSD 328</v>
      </c>
      <c r="B7" s="2420"/>
      <c r="C7" s="2420"/>
      <c r="D7" s="2421"/>
      <c r="E7" s="2422">
        <f>COVER!A13</f>
        <v>26034328024</v>
      </c>
      <c r="F7" s="2423"/>
      <c r="G7" s="2429" t="str">
        <f>COVER!T23</f>
        <v>066-004856</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Dennis G. Koch &amp; Associates LLC</v>
      </c>
      <c r="H9" s="2435"/>
      <c r="I9" s="2435"/>
      <c r="J9" s="2435"/>
      <c r="K9" s="2435"/>
      <c r="L9" s="2436"/>
    </row>
    <row r="10" spans="1:29" ht="13.5" customHeight="1" x14ac:dyDescent="0.2">
      <c r="A10" s="2409" t="str">
        <f>COVER!A38</f>
        <v>Joseph A. Yurko</v>
      </c>
      <c r="B10" s="2410"/>
      <c r="C10" s="2410"/>
      <c r="D10" s="2410"/>
      <c r="E10" s="2410"/>
      <c r="F10" s="2411"/>
      <c r="G10" s="2403" t="str">
        <f>COVER!T17</f>
        <v>1706 N 16th Street</v>
      </c>
      <c r="H10" s="2404"/>
      <c r="I10" s="2404"/>
      <c r="J10" s="2404"/>
      <c r="K10" s="2404"/>
      <c r="L10" s="2405"/>
    </row>
    <row r="11" spans="1:29" ht="13.5" customHeight="1" x14ac:dyDescent="0.2">
      <c r="A11" s="1185" t="s">
        <v>1599</v>
      </c>
      <c r="B11" s="1186"/>
      <c r="C11" s="1187"/>
      <c r="D11" s="1192"/>
      <c r="E11" s="1187"/>
      <c r="F11" s="1191"/>
      <c r="G11" s="2403" t="str">
        <f>COVER!T19</f>
        <v>Quincy</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dgkoch@dgkochcpa.com</v>
      </c>
      <c r="J13" s="2416"/>
      <c r="K13" s="2416"/>
      <c r="L13" s="2417"/>
    </row>
    <row r="14" spans="1:29" ht="13.5" customHeight="1" x14ac:dyDescent="0.2">
      <c r="A14" s="2403" t="str">
        <f>COVER!A19</f>
        <v>270 N 10th Street</v>
      </c>
      <c r="B14" s="2404"/>
      <c r="C14" s="2404"/>
      <c r="D14" s="2404"/>
      <c r="E14" s="2404"/>
      <c r="F14" s="2405"/>
      <c r="G14" s="1196" t="s">
        <v>1247</v>
      </c>
      <c r="H14" s="1194"/>
      <c r="I14" s="1194"/>
      <c r="J14" s="1194"/>
      <c r="K14" s="1194"/>
      <c r="L14" s="1195"/>
    </row>
    <row r="15" spans="1:29" ht="13.5" customHeight="1" x14ac:dyDescent="0.2">
      <c r="A15" s="2403" t="str">
        <f>COVER!A21</f>
        <v>Hamilton</v>
      </c>
      <c r="B15" s="2404"/>
      <c r="C15" s="2404"/>
      <c r="D15" s="2404"/>
      <c r="E15" s="2404"/>
      <c r="F15" s="2405"/>
      <c r="G15" s="2400" t="str">
        <f>COVER!T15</f>
        <v>Dennis G. Koch</v>
      </c>
      <c r="H15" s="2401"/>
      <c r="I15" s="2401"/>
      <c r="J15" s="2401"/>
      <c r="K15" s="2401"/>
      <c r="L15" s="2402"/>
    </row>
    <row r="16" spans="1:29" ht="12.2" customHeight="1" x14ac:dyDescent="0.2">
      <c r="A16" s="2425">
        <f>COVER!A25</f>
        <v>62341</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217-224-8484</v>
      </c>
      <c r="H18" s="2420"/>
      <c r="I18" s="2420"/>
      <c r="J18" s="2420"/>
      <c r="K18" s="2419" t="str">
        <f>COVER!X21</f>
        <v>217-224-0504</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Hailton CCSD 328</v>
      </c>
      <c r="B1" s="2418"/>
      <c r="C1" s="2418"/>
      <c r="D1" s="2418"/>
    </row>
    <row r="2" spans="1:11" s="1215" customFormat="1" ht="12.75" x14ac:dyDescent="0.2">
      <c r="A2" s="2442">
        <f>'Single Audit Cover'!E7</f>
        <v>26034328024</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Hailton CCSD 328</v>
      </c>
      <c r="B1" s="2445"/>
      <c r="C1" s="2445"/>
      <c r="D1" s="2445"/>
      <c r="E1" s="2445"/>
    </row>
    <row r="2" spans="1:5" x14ac:dyDescent="0.2">
      <c r="A2" s="2446">
        <f>'Single Audit Cover'!E7</f>
        <v>26034328024</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345445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20248</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-48112</v>
      </c>
    </row>
    <row r="19" spans="1:4" ht="13.5" thickBot="1" x14ac:dyDescent="0.25">
      <c r="A19" s="1265" t="s">
        <v>1297</v>
      </c>
      <c r="D19" s="1266">
        <f>SUM(D10:D17)</f>
        <v>317581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317581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317581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Hailton CCSD 328</v>
      </c>
      <c r="B1" s="2458"/>
      <c r="C1" s="2458"/>
      <c r="D1" s="2458"/>
      <c r="E1" s="2458"/>
      <c r="F1" s="2458"/>
    </row>
    <row r="2" spans="1:7" ht="13.5" customHeight="1" x14ac:dyDescent="0.2">
      <c r="A2" s="2459">
        <f>'Single Audit Cover'!E7</f>
        <v>26034328024</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Hailton CCSD 328</v>
      </c>
      <c r="C1" s="2462"/>
      <c r="D1" s="2462"/>
      <c r="E1" s="2462"/>
      <c r="F1" s="2462"/>
      <c r="G1" s="2462"/>
      <c r="H1" s="2462"/>
      <c r="I1" s="2462"/>
      <c r="J1" s="2462"/>
      <c r="K1" s="2462"/>
      <c r="L1" s="2462"/>
      <c r="M1" s="2462"/>
    </row>
    <row r="2" spans="2:14" ht="15" x14ac:dyDescent="0.2">
      <c r="B2" s="2459">
        <f>'Single Audit Cover'!E7</f>
        <v>26034328024</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Hailton CCSD 328</v>
      </c>
      <c r="C1" s="2477"/>
      <c r="D1" s="2477"/>
      <c r="E1" s="2477"/>
      <c r="F1" s="2477"/>
      <c r="G1" s="2477"/>
      <c r="H1" s="2477"/>
      <c r="I1" s="2477"/>
      <c r="J1" s="1422"/>
    </row>
    <row r="2" spans="2:10" s="317" customFormat="1" ht="12.75" customHeight="1" x14ac:dyDescent="0.2">
      <c r="B2" s="2478">
        <f>'Single Audit Cover'!E7</f>
        <v>26034328024</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1951</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Hailton CCSD 328</v>
      </c>
      <c r="C1" s="2476"/>
      <c r="D1" s="2476"/>
      <c r="E1" s="2476"/>
      <c r="F1" s="2476"/>
      <c r="G1" s="2476"/>
      <c r="H1" s="2476"/>
      <c r="I1" s="2476"/>
      <c r="J1" s="2476"/>
      <c r="K1" s="2476"/>
      <c r="L1" s="1374"/>
      <c r="M1" s="1374"/>
    </row>
    <row r="2" spans="1:13" ht="12" customHeight="1" x14ac:dyDescent="0.2">
      <c r="B2" s="2478">
        <f>'Single Audit Cover'!E7</f>
        <v>26034328024</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Hailton CCSD 328</v>
      </c>
      <c r="C1" s="2499"/>
      <c r="D1" s="2499"/>
      <c r="E1" s="2499"/>
      <c r="F1" s="2499"/>
      <c r="G1" s="2499"/>
      <c r="H1" s="2499"/>
      <c r="I1" s="2499"/>
      <c r="J1" s="2499"/>
      <c r="K1" s="2499"/>
      <c r="L1" s="1465"/>
    </row>
    <row r="2" spans="1:12" ht="12.75" customHeight="1" x14ac:dyDescent="0.2">
      <c r="B2" s="2500">
        <f>'Single Audit Cover'!E7</f>
        <v>26034328024</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Hailton CCSD 328</v>
      </c>
      <c r="C1" s="2476"/>
      <c r="D1" s="2476"/>
      <c r="E1" s="1491"/>
    </row>
    <row r="2" spans="2:5" s="1282" customFormat="1" ht="12.75" customHeight="1" x14ac:dyDescent="0.2">
      <c r="B2" s="2478">
        <f>'Single Audit Cover'!E7</f>
        <v>26034328024</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sharepoint/v3"/>
    <ds:schemaRef ds:uri="http://schemas.microsoft.com/office/infopath/2007/PartnerControl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d21dc803-237d-4c68-8692-8d731fd29118"/>
    <ds:schemaRef ds:uri="4d435f69-8686-490b-bd6d-b153bf22ab50"/>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2018-10-12T19:11:17Z</cp:lastPrinted>
  <dcterms:created xsi:type="dcterms:W3CDTF">2003-10-29T19:06:34Z</dcterms:created>
  <dcterms:modified xsi:type="dcterms:W3CDTF">2018-10-15T19:00:15Z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