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22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14">'Contracts Paid in CY 29'!$A$1:$G$39</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2" i="11" l="1"/>
  <c r="I13" i="11"/>
  <c r="D13" i="11"/>
  <c r="D12" i="1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J85" i="28"/>
  <c r="B7758" i="106" s="1"/>
  <c r="D7758" i="106" s="1"/>
  <c r="J88" i="28"/>
  <c r="K6" i="29"/>
  <c r="B7763" i="106" s="1"/>
  <c r="B7762" i="106"/>
  <c r="K12" i="12"/>
  <c r="K23" i="12"/>
  <c r="J12" i="12"/>
  <c r="B7718" i="106" s="1"/>
  <c r="D7718" i="106" s="1"/>
  <c r="J21" i="12"/>
  <c r="J23" i="12"/>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D7761" i="106" s="1"/>
  <c r="L127" i="29"/>
  <c r="L129" i="29" s="1"/>
  <c r="L139" i="29"/>
  <c r="L149" i="29"/>
  <c r="I7" i="145"/>
  <c r="I6" i="145"/>
  <c r="D78" i="36"/>
  <c r="K75" i="29"/>
  <c r="K130" i="29"/>
  <c r="B2805" i="106" s="1"/>
  <c r="D2805" i="106" s="1"/>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B2977" i="106" s="1"/>
  <c r="D2977" i="106" s="1"/>
  <c r="K83" i="29"/>
  <c r="K93" i="29"/>
  <c r="K94" i="29"/>
  <c r="B6999" i="106" s="1"/>
  <c r="D6999" i="106" s="1"/>
  <c r="K95" i="29"/>
  <c r="K96" i="29"/>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6" i="108"/>
  <c r="F26" i="108"/>
  <c r="G26" i="108"/>
  <c r="E27" i="108"/>
  <c r="G27" i="108"/>
  <c r="F31" i="108"/>
  <c r="F36" i="108"/>
  <c r="F37" i="108"/>
  <c r="G28" i="108"/>
  <c r="E29" i="108"/>
  <c r="G29" i="108"/>
  <c r="D31" i="108"/>
  <c r="D36" i="108"/>
  <c r="D37"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F62" i="34"/>
  <c r="C63" i="34"/>
  <c r="D63" i="34"/>
  <c r="C64" i="34"/>
  <c r="F64" i="34"/>
  <c r="C67" i="34"/>
  <c r="D67" i="34"/>
  <c r="F67" i="34"/>
  <c r="C68" i="34"/>
  <c r="D68" i="34"/>
  <c r="F68" i="34"/>
  <c r="C69" i="34"/>
  <c r="D69" i="34"/>
  <c r="F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C14" i="4"/>
  <c r="B2558" i="106" s="1"/>
  <c r="D2558" i="106" s="1"/>
  <c r="B2633" i="106"/>
  <c r="D2633" i="106" s="1"/>
  <c r="N22" i="3"/>
  <c r="B283" i="106" s="1"/>
  <c r="D283" i="106" s="1"/>
  <c r="D7" i="118"/>
  <c r="D8" i="118"/>
  <c r="D9" i="118"/>
  <c r="H14" i="118"/>
  <c r="H19" i="118"/>
  <c r="H24" i="118"/>
  <c r="H28" i="118"/>
  <c r="H29" i="118"/>
  <c r="H33" i="118"/>
  <c r="J22" i="37"/>
  <c r="L22" i="37"/>
  <c r="L5" i="11"/>
  <c r="B2056" i="106" s="1"/>
  <c r="D2056" i="106" s="1"/>
  <c r="G5" i="4" l="1"/>
  <c r="B3409" i="106" s="1"/>
  <c r="D3409" i="106" s="1"/>
  <c r="K24" i="12"/>
  <c r="D7" i="7"/>
  <c r="B1763" i="106" s="1"/>
  <c r="D1763" i="106" s="1"/>
  <c r="D11" i="37"/>
  <c r="H173" i="5"/>
  <c r="B5906" i="106" s="1"/>
  <c r="D5906" i="106" s="1"/>
  <c r="D22" i="37"/>
  <c r="I24" i="12"/>
  <c r="B1996" i="106" s="1"/>
  <c r="D1996" i="106" s="1"/>
  <c r="G38" i="108"/>
  <c r="E38" i="108"/>
  <c r="G30" i="108"/>
  <c r="E30" i="108"/>
  <c r="F49" i="34"/>
  <c r="F45" i="34"/>
  <c r="B1124" i="106"/>
  <c r="D1124" i="106" s="1"/>
  <c r="F41" i="34"/>
  <c r="D15" i="7"/>
  <c r="B1772" i="106" s="1"/>
  <c r="D1772" i="106" s="1"/>
  <c r="F72" i="34"/>
  <c r="G14" i="4"/>
  <c r="B2609" i="106" s="1"/>
  <c r="D2609" i="106" s="1"/>
  <c r="B1223" i="106"/>
  <c r="D1223" i="106" s="1"/>
  <c r="F34" i="34"/>
  <c r="L312" i="29"/>
  <c r="K184" i="29"/>
  <c r="F13" i="4" s="1"/>
  <c r="B2596" i="106" s="1"/>
  <c r="D2596" i="106" s="1"/>
  <c r="L367" i="29"/>
  <c r="G352" i="29"/>
  <c r="G15" i="145"/>
  <c r="F172" i="5"/>
  <c r="B5644" i="106" s="1"/>
  <c r="D5644" i="106" s="1"/>
  <c r="J274" i="5"/>
  <c r="B7054" i="106" s="1"/>
  <c r="D7054" i="106" s="1"/>
  <c r="D13" i="7"/>
  <c r="B3726" i="106" s="1"/>
  <c r="D3726" i="106" s="1"/>
  <c r="D5" i="7"/>
  <c r="B1761" i="106" s="1"/>
  <c r="D1761" i="106" s="1"/>
  <c r="B1746" i="106"/>
  <c r="D1746" i="106" s="1"/>
  <c r="D14" i="4"/>
  <c r="B2570" i="106" s="1"/>
  <c r="D2570" i="106" s="1"/>
  <c r="F56" i="34"/>
  <c r="F50" i="34"/>
  <c r="I210" i="29"/>
  <c r="F70" i="34"/>
  <c r="F46" i="34"/>
  <c r="F42" i="34"/>
  <c r="F28" i="108"/>
  <c r="H342" i="29"/>
  <c r="B7221" i="106" s="1"/>
  <c r="D7221" i="106" s="1"/>
  <c r="K350" i="29"/>
  <c r="K352" i="29" s="1"/>
  <c r="B3619" i="106"/>
  <c r="D3619" i="106" s="1"/>
  <c r="E28" i="108"/>
  <c r="D5" i="4"/>
  <c r="B3406" i="106" s="1"/>
  <c r="D3406" i="106" s="1"/>
  <c r="F27" i="108"/>
  <c r="K285" i="29"/>
  <c r="I342" i="29"/>
  <c r="B7222" i="106" s="1"/>
  <c r="D7222" i="106" s="1"/>
  <c r="C342" i="29"/>
  <c r="B7216" i="106" s="1"/>
  <c r="D7216" i="106" s="1"/>
  <c r="F128" i="34"/>
  <c r="F106" i="34"/>
  <c r="I274" i="5"/>
  <c r="B4435" i="106" s="1"/>
  <c r="D4435" i="106" s="1"/>
  <c r="F131" i="34"/>
  <c r="D4" i="7"/>
  <c r="B1760" i="106" s="1"/>
  <c r="D1760" i="106" s="1"/>
  <c r="D109" i="5"/>
  <c r="B5356" i="106" s="1"/>
  <c r="D5356" i="106" s="1"/>
  <c r="B5334" i="106"/>
  <c r="D5334" i="106" s="1"/>
  <c r="H109" i="5"/>
  <c r="B6025" i="106" s="1"/>
  <c r="D6025" i="106" s="1"/>
  <c r="K173" i="5"/>
  <c r="K6" i="4" s="1"/>
  <c r="B3570" i="106" s="1"/>
  <c r="D3570" i="106" s="1"/>
  <c r="I173" i="5"/>
  <c r="B4216" i="106" s="1"/>
  <c r="D4216" i="106" s="1"/>
  <c r="G109" i="5"/>
  <c r="B6024" i="106" s="1"/>
  <c r="D6024" i="106" s="1"/>
  <c r="F77" i="4"/>
  <c r="B3255" i="106" s="1"/>
  <c r="D3255" i="106" s="1"/>
  <c r="D24" i="37"/>
  <c r="B4270" i="106" s="1"/>
  <c r="D4270" i="106" s="1"/>
  <c r="D54" i="36"/>
  <c r="J210" i="29"/>
  <c r="B7072" i="106" s="1"/>
  <c r="D7072" i="106" s="1"/>
  <c r="B1995" i="106"/>
  <c r="D1995" i="106" s="1"/>
  <c r="D9" i="7"/>
  <c r="B1767" i="106" s="1"/>
  <c r="D1767" i="106" s="1"/>
  <c r="F19" i="7"/>
  <c r="B1807" i="106" s="1"/>
  <c r="D1807" i="106" s="1"/>
  <c r="J41" i="3"/>
  <c r="B6216" i="106" s="1"/>
  <c r="D6216" i="106" s="1"/>
  <c r="F111" i="34"/>
  <c r="B7041" i="106"/>
  <c r="D7041" i="106" s="1"/>
  <c r="B4414" i="106"/>
  <c r="D4414" i="106" s="1"/>
  <c r="E109" i="5"/>
  <c r="E4" i="4" s="1"/>
  <c r="B2630" i="106" s="1"/>
  <c r="D2630" i="106" s="1"/>
  <c r="B7034" i="106"/>
  <c r="D7034" i="106" s="1"/>
  <c r="J129" i="29"/>
  <c r="B7038" i="106" s="1"/>
  <c r="D7038" i="106" s="1"/>
  <c r="B6238" i="106"/>
  <c r="D6238" i="106" s="1"/>
  <c r="J77" i="4"/>
  <c r="B6262" i="106" s="1"/>
  <c r="D6262" i="106" s="1"/>
  <c r="H44" i="4"/>
  <c r="B3296" i="106" s="1"/>
  <c r="D3296" i="106" s="1"/>
  <c r="B6289" i="106"/>
  <c r="D6289" i="106" s="1"/>
  <c r="B1329" i="106"/>
  <c r="D1329" i="106" s="1"/>
  <c r="F61" i="34"/>
  <c r="C172" i="5"/>
  <c r="F127" i="34"/>
  <c r="C109" i="5"/>
  <c r="B5121" i="106" s="1"/>
  <c r="D5121" i="106" s="1"/>
  <c r="F36" i="34"/>
  <c r="G39" i="108"/>
  <c r="B7231" i="106"/>
  <c r="D7231" i="106" s="1"/>
  <c r="B3621" i="106"/>
  <c r="D3621" i="106" s="1"/>
  <c r="C367" i="29"/>
  <c r="B3622" i="106" s="1"/>
  <c r="D3622" i="106" s="1"/>
  <c r="K274" i="5"/>
  <c r="B6022" i="106" s="1"/>
  <c r="D6022" i="106" s="1"/>
  <c r="F130" i="34"/>
  <c r="K28" i="118"/>
  <c r="O27" i="118" s="1"/>
  <c r="O29" i="118" s="1"/>
  <c r="B5161" i="106"/>
  <c r="D5161" i="106" s="1"/>
  <c r="L342" i="29"/>
  <c r="B3723" i="106"/>
  <c r="D3723" i="106" s="1"/>
  <c r="F21" i="8"/>
  <c r="B3689" i="106"/>
  <c r="D3689" i="106" s="1"/>
  <c r="K92" i="29"/>
  <c r="B2089" i="106" s="1"/>
  <c r="D2089" i="106" s="1"/>
  <c r="B6995" i="106"/>
  <c r="D6995" i="106" s="1"/>
  <c r="J367" i="29"/>
  <c r="B7245" i="106" s="1"/>
  <c r="D7245" i="106" s="1"/>
  <c r="B7235" i="106"/>
  <c r="D7235" i="106" s="1"/>
  <c r="B3649" i="106"/>
  <c r="D3649" i="106" s="1"/>
  <c r="G367" i="29"/>
  <c r="B3650" i="106" s="1"/>
  <c r="D3650" i="106" s="1"/>
  <c r="B3565" i="106"/>
  <c r="D3565" i="106" s="1"/>
  <c r="K41" i="3"/>
  <c r="D11" i="7"/>
  <c r="B1768" i="106" s="1"/>
  <c r="D1768" i="106" s="1"/>
  <c r="I129" i="29"/>
  <c r="B7037" i="106" s="1"/>
  <c r="D7037" i="106" s="1"/>
  <c r="B3170" i="106"/>
  <c r="D3170" i="106" s="1"/>
  <c r="H76" i="4"/>
  <c r="B3298" i="106" s="1"/>
  <c r="D3298" i="106" s="1"/>
  <c r="F44" i="34"/>
  <c r="D12" i="7"/>
  <c r="B1769" i="106" s="1"/>
  <c r="D1769" i="106" s="1"/>
  <c r="F136" i="34"/>
  <c r="F14" i="4"/>
  <c r="B2597" i="106" s="1"/>
  <c r="D2597" i="106" s="1"/>
  <c r="G172" i="5"/>
  <c r="D17" i="7"/>
  <c r="B4104" i="106" s="1"/>
  <c r="D4104" i="106" s="1"/>
  <c r="B5096" i="106"/>
  <c r="D5096" i="106" s="1"/>
  <c r="L15" i="11"/>
  <c r="B3459" i="106" s="1"/>
  <c r="D3459" i="106" s="1"/>
  <c r="L13" i="11"/>
  <c r="B2060" i="106" s="1"/>
  <c r="D2060" i="106" s="1"/>
  <c r="D6103" i="106"/>
  <c r="H365" i="29"/>
  <c r="K76" i="4"/>
  <c r="B3586" i="106" s="1"/>
  <c r="D3586" i="106" s="1"/>
  <c r="G210" i="29"/>
  <c r="E174" i="29"/>
  <c r="B1309" i="106" s="1"/>
  <c r="D1309" i="106" s="1"/>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15" i="106"/>
  <c r="D7215" i="106"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7270" i="106"/>
  <c r="D7255" i="106" l="1"/>
  <c r="D7251" i="106"/>
  <c r="D7252" i="106"/>
  <c r="H6" i="4"/>
  <c r="B2656" i="106" s="1"/>
  <c r="D2656" i="106" s="1"/>
  <c r="B7733" i="106"/>
  <c r="D7733" i="106" s="1"/>
  <c r="K26" i="12"/>
  <c r="B7743" i="106" s="1"/>
  <c r="D7743" i="106" s="1"/>
  <c r="I26" i="12"/>
  <c r="B7741" i="106" s="1"/>
  <c r="D7741" i="106" s="1"/>
  <c r="B1381" i="106"/>
  <c r="D1381" i="106" s="1"/>
  <c r="H151" i="29"/>
  <c r="B1273" i="106" s="1"/>
  <c r="D1273" i="106" s="1"/>
  <c r="B1317" i="106"/>
  <c r="D1317" i="106" s="1"/>
  <c r="B3670" i="106"/>
  <c r="D3670" i="106" s="1"/>
  <c r="K13" i="4"/>
  <c r="B3572" i="106" s="1"/>
  <c r="D3572" i="106" s="1"/>
  <c r="B3672" i="106"/>
  <c r="D3672" i="106" s="1"/>
  <c r="B1328" i="106"/>
  <c r="D1328" i="106" s="1"/>
  <c r="D4" i="4"/>
  <c r="B2564" i="106" s="1"/>
  <c r="D2564" i="106" s="1"/>
  <c r="F173" i="5"/>
  <c r="B5653" i="106" s="1"/>
  <c r="D5653" i="106" s="1"/>
  <c r="B6014" i="106"/>
  <c r="D6014" i="106" s="1"/>
  <c r="F41" i="108"/>
  <c r="G43" i="108" s="1"/>
  <c r="F73" i="34"/>
  <c r="G15" i="4"/>
  <c r="B6032" i="106" s="1"/>
  <c r="D6032" i="106" s="1"/>
  <c r="B7071" i="106"/>
  <c r="D7071" i="106" s="1"/>
  <c r="F66" i="34"/>
  <c r="K7" i="4"/>
  <c r="B3718" i="106" s="1"/>
  <c r="D3718" i="106" s="1"/>
  <c r="I6" i="4"/>
  <c r="B5011" i="106" s="1"/>
  <c r="D5011" i="106" s="1"/>
  <c r="I7" i="4"/>
  <c r="B4444" i="106" s="1"/>
  <c r="D4444" i="106" s="1"/>
  <c r="C114" i="29"/>
  <c r="B757" i="106" s="1"/>
  <c r="D757" i="106" s="1"/>
  <c r="L114" i="29"/>
  <c r="B5914" i="106"/>
  <c r="D5914" i="106" s="1"/>
  <c r="H275" i="5"/>
  <c r="B5915" i="106" s="1"/>
  <c r="D5915" i="106" s="1"/>
  <c r="H4" i="4"/>
  <c r="B2655" i="106" s="1"/>
  <c r="D2655" i="106" s="1"/>
  <c r="C4" i="4"/>
  <c r="B2551" i="106" s="1"/>
  <c r="D2551" i="106" s="1"/>
  <c r="B5527" i="106"/>
  <c r="D5527" i="106" s="1"/>
  <c r="G4" i="4"/>
  <c r="B2603" i="106" s="1"/>
  <c r="D2603" i="106" s="1"/>
  <c r="F274" i="5"/>
  <c r="H77" i="4"/>
  <c r="B3299" i="106" s="1"/>
  <c r="D3299" i="106" s="1"/>
  <c r="L16" i="11"/>
  <c r="B2061" i="106" s="1"/>
  <c r="D2061" i="106" s="1"/>
  <c r="D51" i="36"/>
  <c r="K77" i="4"/>
  <c r="B3587" i="106" s="1"/>
  <c r="D3587" i="106" s="1"/>
  <c r="K365" i="29"/>
  <c r="K367" i="29" s="1"/>
  <c r="D19" i="7"/>
  <c r="B1775" i="106" s="1"/>
  <c r="D1775" i="106" s="1"/>
  <c r="D44" i="36"/>
  <c r="B3568" i="106"/>
  <c r="D3568" i="106" s="1"/>
  <c r="D52" i="36"/>
  <c r="I151" i="29"/>
  <c r="F59" i="34" s="1"/>
  <c r="B1879" i="106"/>
  <c r="D1879" i="106" s="1"/>
  <c r="H22" i="37"/>
  <c r="B5214" i="106"/>
  <c r="D5214" i="106" s="1"/>
  <c r="C173" i="5"/>
  <c r="D274" i="5"/>
  <c r="D7" i="4" s="1"/>
  <c r="K342" i="29"/>
  <c r="F13" i="34" s="1"/>
  <c r="B1365" i="106"/>
  <c r="D1365" i="106" s="1"/>
  <c r="F65" i="34"/>
  <c r="G173" i="5"/>
  <c r="B5770" i="106"/>
  <c r="D5770" i="106" s="1"/>
  <c r="H367" i="29"/>
  <c r="B3660" i="106" s="1"/>
  <c r="D3660" i="106" s="1"/>
  <c r="B7242" i="106"/>
  <c r="D7242"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F24" i="37" l="1"/>
  <c r="B7243" i="106"/>
  <c r="D7243" i="106" s="1"/>
  <c r="K16" i="4"/>
  <c r="B7224" i="106"/>
  <c r="D7224" i="106" s="1"/>
  <c r="F6" i="4"/>
  <c r="B2593" i="106" s="1"/>
  <c r="D2593" i="106" s="1"/>
  <c r="F275" i="5"/>
  <c r="B5720" i="106" s="1"/>
  <c r="D5720" i="106" s="1"/>
  <c r="D275" i="5"/>
  <c r="B5508" i="106" s="1"/>
  <c r="D5508" i="106" s="1"/>
  <c r="B5507" i="106"/>
  <c r="D5507" i="106" s="1"/>
  <c r="H8" i="4"/>
  <c r="H10" i="4" s="1"/>
  <c r="B4127" i="106" s="1"/>
  <c r="D4127" i="106" s="1"/>
  <c r="J8" i="4"/>
  <c r="J10" i="4" s="1"/>
  <c r="B6225" i="106" s="1"/>
  <c r="D6225" i="106" s="1"/>
  <c r="F7" i="4"/>
  <c r="B2594" i="106" s="1"/>
  <c r="D2594" i="106" s="1"/>
  <c r="B5719" i="106"/>
  <c r="D5719" i="106" s="1"/>
  <c r="E41" i="108"/>
  <c r="E44" i="108" s="1"/>
  <c r="E45" i="108" s="1"/>
  <c r="G41" i="108"/>
  <c r="G44" i="108" s="1"/>
  <c r="G45" i="108" s="1"/>
  <c r="B5223" i="106"/>
  <c r="D5223" i="106" s="1"/>
  <c r="C6" i="4"/>
  <c r="B2553" i="106" s="1"/>
  <c r="D2553" i="106" s="1"/>
  <c r="B5778" i="106"/>
  <c r="D5778" i="106" s="1"/>
  <c r="G6" i="4"/>
  <c r="B2604" i="106" s="1"/>
  <c r="D2604" i="106" s="1"/>
  <c r="J17" i="4"/>
  <c r="J19" i="4" s="1"/>
  <c r="B6229" i="106" s="1"/>
  <c r="D6229" i="106" s="1"/>
  <c r="B1145" i="106"/>
  <c r="D114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B6223" i="106"/>
  <c r="D6223" i="106" s="1"/>
  <c r="B2658" i="106"/>
  <c r="D2658" i="106" s="1"/>
  <c r="F76" i="34"/>
  <c r="D8" i="4"/>
  <c r="D10" i="4" s="1"/>
  <c r="B4123" i="106" s="1"/>
  <c r="D4123" i="106" s="1"/>
  <c r="J20" i="4"/>
  <c r="B6230" i="106" s="1"/>
  <c r="D6230" i="106" s="1"/>
  <c r="B6227" i="106"/>
  <c r="D62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2595" i="106"/>
  <c r="D2595" i="106" s="1"/>
  <c r="H13" i="118"/>
  <c r="B2568" i="106"/>
  <c r="D2568" i="106" s="1"/>
  <c r="D20" i="4"/>
  <c r="B2574" i="106" s="1"/>
  <c r="D2574" i="106" s="1"/>
  <c r="C8" i="146"/>
  <c r="J78" i="4"/>
  <c r="B6263" i="106" s="1"/>
  <c r="D6263"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K78" i="4"/>
  <c r="B3576" i="106"/>
  <c r="D3576" i="106" s="1"/>
  <c r="F179" i="34" l="1"/>
  <c r="F79" i="34"/>
  <c r="D78" i="4"/>
  <c r="D81" i="4" s="1"/>
  <c r="J81" i="4"/>
  <c r="D64" i="36" s="1"/>
  <c r="D10" i="146"/>
  <c r="C10" i="146"/>
  <c r="F8"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B3239" i="106" l="1"/>
  <c r="D3239" i="106" s="1"/>
  <c r="B6266" i="106"/>
  <c r="D6266" i="106" s="1"/>
  <c r="J82" i="4"/>
  <c r="B6274" i="106" s="1"/>
  <c r="D6274"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<sst xmlns="http://schemas.openxmlformats.org/spreadsheetml/2006/main" count="5040" uniqueCount="2108">
  <si>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</si>
  <si>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</si>
  <si>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</si>
  <si>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</si>
  <si>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</si>
  <si>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</si>
  <si>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</si>
  <si>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</si>
  <si>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</si>
  <si>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</si>
  <si>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</si>
  <si>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</si>
  <si>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</si>
  <si>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</si>
  <si>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</si>
  <si>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</si>
  <si>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</si>
  <si>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</si>
  <si>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</si>
  <si>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</si>
  <si>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</si>
  <si>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</si>
  <si>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</si>
  <si>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</si>
  <si>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</si>
  <si>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</si>
  <si>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</si>
  <si>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</si>
  <si>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</si>
  <si>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</si>
  <si>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</si>
  <si>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</si>
  <si>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</si>
  <si>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</si>
  <si>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</si>
  <si>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</si>
  <si>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</si>
  <si>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</si>
  <si>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</si>
  <si>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</si>
  <si>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</si>
  <si>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</si>
  <si>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</si>
  <si>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</si>
  <si>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</si>
  <si>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</si>
  <si>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</si>
  <si>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</si>
  <si>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</si>
  <si>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</si>
  <si>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</si>
  <si>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</si>
  <si>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</si>
  <si>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</si>
  <si>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</si>
  <si>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</si>
  <si>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</si>
  <si>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</si>
  <si>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</si>
  <si>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</si>
  <si>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</si>
  <si>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</si>
  <si>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</si>
  <si>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</si>
  <si>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</si>
  <si>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</si>
  <si>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</si>
  <si>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</si>
  <si>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</si>
  <si>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</si>
  <si>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</si>
  <si>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</si>
  <si>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</si>
  <si>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</si>
  <si>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</si>
  <si>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</si>
  <si>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</si>
  <si>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</si>
  <si>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</si>
  <si>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</si>
  <si>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</si>
  <si>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</si>
  <si>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</si>
  <si>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</si>
  <si>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</si>
  <si>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</si>
  <si>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</si>
  <si>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</si>
  <si>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</si>
  <si>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</si>
  <si>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</si>
  <si>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</si>
  <si>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</si>
  <si>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</si>
  <si>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</si>
  <si>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</si>
  <si>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</si>
  <si>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</si>
  <si>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</si>
  <si>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</si>
  <si>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</si>
  <si>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</si>
  <si>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</si>
  <si>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</si>
  <si>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</si>
  <si>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</si>
  <si>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</si>
  <si>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</si>
  <si>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</si>
  <si>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</si>
  <si>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</si>
  <si>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</si>
  <si>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</si>
  <si>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</si>
  <si>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</si>
  <si>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</si>
  <si>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</si>
  <si>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</si>
  <si>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</si>
  <si>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</si>
  <si>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</si>
  <si>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</si>
  <si>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</si>
  <si>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</si>
  <si>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</si>
  <si>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</si>
  <si>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</si>
  <si>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</si>
  <si>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</si>
  <si>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</si>
  <si>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</si>
  <si>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</si>
  <si>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</si>
  <si>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</si>
  <si>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</si>
  <si>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</si>
  <si>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</si>
  <si>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</si>
  <si>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</si>
  <si>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</si>
  <si>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</si>
  <si>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</si>
  <si>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</si>
  <si>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</si>
  <si>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</si>
  <si>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</si>
  <si>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</si>
  <si>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</si>
  <si>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</si>
  <si>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</si>
  <si>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</si>
  <si>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</si>
  <si>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</si>
  <si>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</si>
  <si>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</si>
  <si>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</si>
  <si>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</si>
  <si>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</si>
  <si>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</si>
  <si>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</si>
  <si>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</si>
  <si>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</si>
  <si>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</si>
  <si>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</si>
  <si>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</si>
  <si>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</si>
  <si>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</si>
  <si>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</si>
  <si>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</si>
  <si>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</si>
  <si>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</si>
  <si>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</si>
  <si>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</si>
  <si>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</si>
  <si>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</si>
  <si>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</si>
  <si>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</si>
  <si>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</si>
  <si>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</si>
  <si>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</si>
  <si>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</si>
  <si>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</si>
  <si>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</si>
  <si>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</si>
  <si>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</si>
  <si>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</si>
  <si>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</si>
  <si>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</si>
  <si>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</si>
  <si>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</si>
  <si>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</si>
  <si>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</si>
  <si>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</si>
  <si>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</si>
  <si>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</si>
  <si>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</si>
  <si>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</si>
  <si>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</si>
  <si>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</si>
  <si>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</si>
  <si>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</si>
  <si>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</si>
  <si>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</si>
  <si>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</si>
  <si>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</si>
  <si>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</si>
  <si>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</si>
  <si>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</si>
  <si>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</si>
  <si>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</si>
  <si>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</si>
  <si>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</si>
  <si>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</si>
  <si>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</si>
  <si>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</si>
  <si>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</si>
  <si>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</si>
  <si>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</si>
  <si>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</si>
  <si>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</si>
  <si>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</si>
  <si>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</si>
  <si>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</si>
  <si>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</si>
  <si>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</si>
  <si>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</si>
  <si>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</si>
  <si>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</si>
  <si>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</si>
  <si>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</si>
  <si>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</si>
  <si>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</si>
  <si>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</si>
  <si>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</si>
  <si>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</si>
  <si>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</si>
  <si>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</si>
  <si>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</si>
  <si>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</si>
  <si>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</si>
  <si>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</si>
  <si>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</si>
  <si>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</si>
  <si>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</si>
  <si>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</si>
  <si>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</si>
  <si>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</si>
  <si>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</si>
  <si>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</si>
  <si>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</si>
  <si>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</si>
  <si>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</si>
  <si>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</si>
  <si>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</si>
  <si>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</si>
  <si>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</si>
  <si>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</si>
  <si>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</si>
  <si>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</si>
  <si>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</si>
  <si>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</si>
  <si>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</si>
  <si>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</si>
  <si>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</si>
  <si>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</si>
  <si>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</si>
  <si>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</si>
  <si>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</si>
  <si>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</si>
  <si>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</si>
  <si>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</si>
  <si>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</si>
  <si>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</si>
  <si>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</si>
  <si>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</si>
  <si>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</si>
  <si>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</si>
  <si>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</si>
  <si>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</si>
  <si>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</si>
  <si>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</si>
  <si>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</si>
  <si>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</si>
  <si>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</si>
  <si>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</si>
  <si>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</si>
  <si>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</si>
  <si>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</si>
  <si>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</si>
  <si>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</si>
  <si>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</si>
  <si>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</si>
  <si>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</si>
  <si>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</si>
  <si>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</si>
  <si>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</si>
  <si>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</si>
  <si>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</si>
  <si>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</si>
  <si>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</si>
  <si>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</si>
  <si>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</si>
  <si>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</si>
  <si>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</si>
  <si>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</si>
  <si>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</si>
  <si>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</si>
  <si>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</si>
  <si>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</si>
  <si>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</si>
  <si>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</si>
  <si>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</si>
  <si>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</si>
  <si>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</si>
  <si>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</si>
  <si>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</si>
  <si>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</si>
  <si>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</si>
  <si>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</si>
  <si>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</si>
  <si>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</si>
  <si>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</si>
  <si>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</si>
  <si>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</si>
  <si>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</si>
  <si>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</si>
  <si>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</si>
  <si>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</si>
  <si>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</si>
  <si>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</si>
  <si>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</si>
  <si>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</si>
  <si>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</si>
  <si>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</si>
  <si>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</si>
  <si>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</si>
  <si>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</si>
  <si>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</si>
  <si>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</si>
  <si>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</si>
  <si>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</si>
  <si>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</si>
  <si>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</si>
  <si>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</si>
  <si>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</si>
  <si>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</si>
  <si>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</si>
  <si>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</si>
  <si>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</si>
  <si>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</si>
  <si>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</si>
  <si>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</si>
  <si>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</si>
  <si>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</si>
  <si>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</si>
  <si>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</si>
  <si>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</si>
  <si>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</si>
  <si>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</si>
  <si>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</si>
  <si>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</si>
  <si>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</si>
  <si>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</si>
  <si>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</si>
  <si>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</si>
  <si>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</si>
  <si>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</si>
  <si>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</si>
  <si>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</si>
  <si>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</si>
  <si>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</si>
  <si>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</si>
  <si>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</si>
  <si>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</si>
  <si>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</si>
  <si>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</si>
  <si>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</si>
  <si>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</si>
  <si>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</si>
  <si>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</si>
  <si>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</si>
  <si>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</si>
  <si>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</si>
  <si>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</si>
  <si>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</si>
  <si>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</si>
  <si>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</si>
  <si>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</si>
  <si>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</si>
  <si>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</si>
  <si>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</si>
  <si>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</si>
  <si>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</si>
  <si>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</si>
  <si>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</si>
  <si>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</si>
  <si>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</si>
  <si>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</si>
  <si>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</si>
  <si>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</si>
  <si>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</si>
  <si>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</si>
  <si>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</si>
  <si>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</si>
  <si>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</si>
  <si>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</si>
  <si>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</si>
  <si>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</si>
  <si>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</si>
  <si>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</si>
  <si>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</si>
  <si>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</si>
  <si>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</si>
  <si>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</si>
  <si>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</si>
  <si>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</si>
  <si>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</si>
  <si>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</si>
  <si>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</si>
  <si>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</si>
  <si>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</si>
  <si>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</si>
  <si>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</si>
  <si>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</si>
  <si>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</si>
  <si>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</si>
  <si>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</si>
  <si>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</si>
  <si>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</si>
  <si>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</si>
  <si>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</si>
  <si>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</si>
  <si>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</si>
  <si>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</si>
  <si>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</si>
  <si>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</si>
  <si>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</si>
  <si>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</si>
  <si>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</si>
  <si>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</si>
  <si>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</si>
  <si>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</si>
  <si>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</si>
  <si>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</si>
  <si>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</si>
  <si>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</si>
  <si>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</si>
  <si>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</si>
  <si>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</si>
  <si>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</si>
  <si>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</si>
  <si>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</si>
  <si>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</si>
  <si>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</si>
  <si>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</si>
  <si>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</si>
  <si>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</si>
  <si>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</si>
  <si>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</si>
  <si>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</si>
  <si>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</si>
  <si>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</si>
  <si>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</si>
  <si>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</si>
  <si>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</si>
  <si>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</si>
  <si>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</si>
  <si>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</si>
  <si>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</si>
  <si>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</si>
  <si>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</si>
  <si>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</si>
  <si>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</si>
  <si>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</si>
  <si>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</si>
  <si>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</si>
  <si>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</si>
  <si>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</si>
  <si>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</si>
  <si>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</si>
  <si>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</si>
  <si>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</si>
  <si>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</si>
  <si>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</si>
  <si>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</si>
  <si>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</si>
  <si>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</si>
  <si>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</si>
  <si>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</si>
  <si>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</si>
  <si>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</si>
  <si>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</si>
  <si>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</si>
  <si>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</si>
  <si>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</si>
  <si>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</si>
  <si>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</si>
  <si>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</si>
  <si>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</si>
  <si>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</si>
  <si>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</si>
  <si>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</si>
  <si>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</si>
  <si>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</si>
  <si>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</si>
  <si>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</si>
  <si>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</si>
  <si>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</si>
  <si>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</si>
  <si>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</si>
  <si>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</si>
  <si>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</si>
  <si>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</si>
  <si>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</si>
  <si>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</si>
  <si>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</si>
  <si>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</si>
  <si>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</si>
  <si>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</si>
  <si>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</si>
  <si>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</si>
  <si>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</si>
  <si>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</si>
  <si>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</si>
  <si>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</si>
  <si>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</si>
  <si>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</si>
  <si>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</si>
  <si>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</si>
  <si>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</si>
  <si>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</si>
  <si>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</si>
  <si>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</si>
  <si>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</si>
  <si>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</si>
  <si>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</si>
  <si>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</si>
  <si>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</si>
  <si>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</si>
  <si>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</si>
  <si>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</si>
  <si>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</si>
  <si>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</si>
  <si>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</si>
  <si>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</si>
  <si>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</si>
  <si>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</si>
  <si>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</si>
  <si>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</si>
  <si>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</si>
  <si>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</si>
  <si>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</si>
  <si>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</si>
  <si>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</si>
  <si>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</si>
  <si>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</si>
  <si>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</si>
  <si>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</si>
  <si>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</si>
  <si>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</si>
  <si>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</si>
  <si>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</si>
  <si>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</si>
  <si>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</si>
  <si>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</si>
  <si>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</si>
  <si>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</si>
  <si>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</si>
  <si>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</si>
  <si>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</si>
  <si>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</si>
  <si>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</si>
  <si>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</si>
  <si>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</si>
  <si>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</si>
  <si>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</si>
  <si>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</si>
  <si>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</si>
  <si>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</si>
  <si>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</si>
  <si>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</si>
  <si>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</si>
  <si>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</si>
  <si>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</si>
  <si>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</si>
  <si>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</si>
  <si>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</si>
  <si>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</si>
  <si>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</si>
  <si>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</si>
  <si>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</si>
  <si>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</si>
  <si>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</si>
  <si>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</si>
  <si>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</si>
  <si>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</si>
  <si>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</si>
  <si>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</si>
  <si>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</si>
  <si>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</si>
  <si>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</si>
  <si>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</si>
  <si>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</si>
  <si>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</si>
  <si>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</si>
  <si>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</si>
  <si>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</si>
  <si>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</si>
  <si>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</si>
  <si>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</si>
  <si>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</si>
  <si>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</si>
  <si>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</si>
  <si>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</si>
  <si>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</si>
  <si>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</si>
  <si>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</si>
  <si>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</si>
  <si>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</si>
  <si>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</si>
  <si>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</si>
  <si>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</si>
  <si>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</si>
  <si>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</si>
  <si>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</si>
  <si>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</si>
  <si>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</si>
  <si>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</si>
  <si>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</si>
  <si>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</si>
  <si>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</si>
  <si>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</si>
  <si>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</si>
  <si>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</si>
  <si>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</si>
  <si>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</si>
  <si>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</si>
  <si>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</si>
  <si>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</si>
  <si>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</si>
  <si>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</si>
  <si>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</si>
  <si>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</si>
  <si>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</si>
  <si>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</si>
  <si>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</si>
  <si>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</si>
  <si>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</si>
  <si>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</si>
  <si>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</si>
  <si>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</si>
  <si>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</si>
  <si>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</si>
  <si>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</si>
  <si>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</si>
  <si>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</si>
  <si>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</si>
  <si>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</si>
  <si>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</si>
  <si>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</si>
  <si>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</si>
  <si>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</si>
  <si>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</si>
  <si>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</si>
  <si>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</si>
  <si>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</si>
  <si>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</si>
  <si>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</si>
  <si>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</si>
  <si>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</si>
  <si>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</si>
  <si>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</si>
  <si>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</si>
  <si>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</si>
  <si>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</si>
  <si>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</si>
  <si>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</si>
  <si>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</si>
  <si>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</si>
  <si>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</si>
  <si>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</si>
  <si>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</si>
  <si>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</si>
  <si>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</si>
  <si>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</si>
  <si>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</si>
  <si>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</si>
  <si>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</si>
  <si>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</si>
  <si>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</si>
  <si>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</si>
  <si>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</si>
  <si>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</si>
  <si>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</si>
  <si>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</si>
  <si>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</si>
  <si>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</si>
  <si>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</si>
  <si>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</si>
  <si>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</si>
  <si>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</si>
  <si>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</si>
  <si>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</si>
  <si>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</si>
  <si>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</si>
  <si>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</si>
  <si>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</si>
  <si>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</si>
  <si>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</si>
  <si>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</si>
  <si>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</si>
  <si>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</si>
  <si>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</si>
  <si>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</si>
  <si>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</si>
  <si>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</si>
  <si>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</si>
  <si>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</si>
  <si>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</si>
  <si>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</si>
  <si>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</si>
  <si>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</si>
  <si>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</si>
  <si>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</si>
  <si>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</si>
  <si>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</si>
  <si>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</si>
  <si>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</si>
  <si>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</si>
  <si>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</si>
  <si>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</si>
  <si>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</si>
  <si>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</si>
  <si>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</si>
  <si>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</si>
  <si>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</si>
  <si>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</si>
  <si>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</si>
  <si>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</si>
  <si>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</si>
  <si>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</si>
  <si>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</si>
  <si>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</si>
  <si>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</si>
  <si>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</si>
  <si>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</si>
  <si>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</si>
  <si>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</si>
  <si>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</si>
  <si>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</si>
  <si>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</si>
  <si>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</si>
  <si>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</si>
  <si>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</si>
  <si>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</si>
  <si>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</si>
  <si>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</si>
  <si>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</si>
  <si>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</si>
  <si>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</si>
  <si>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</si>
  <si>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</si>
  <si>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</si>
  <si>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</si>
  <si>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</si>
  <si>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</si>
  <si>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</si>
  <si>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</si>
  <si>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</si>
  <si>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</si>
  <si>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</si>
  <si>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</si>
  <si>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</si>
  <si>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</si>
  <si>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</si>
  <si>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</si>
  <si>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</si>
  <si>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</si>
  <si>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</si>
  <si>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</si>
  <si>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</si>
  <si>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</si>
  <si>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</si>
  <si>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</si>
  <si>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</si>
  <si>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</si>
  <si>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</si>
  <si>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</si>
  <si>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</si>
  <si>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</si>
  <si>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</si>
  <si>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</si>
  <si>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</si>
  <si>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</si>
  <si>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</si>
  <si>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</si>
  <si>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</si>
  <si>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</si>
  <si>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</si>
  <si>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</si>
  <si>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</si>
  <si>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</si>
  <si>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</si>
  <si>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</si>
  <si>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</si>
  <si>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</si>
  <si>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</si>
  <si>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</si>
  <si>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</si>
  <si>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</si>
  <si>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</si>
  <si>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</si>
  <si>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</si>
  <si>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</si>
  <si>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</si>
  <si>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</si>
  <si>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</si>
  <si>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</si>
  <si>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</si>
  <si>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</si>
  <si>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</si>
  <si>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</si>
  <si>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</si>
  <si>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</si>
  <si>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</si>
  <si>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</si>
  <si>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</si>
  <si>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</si>
  <si>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</si>
  <si>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</si>
  <si>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</si>
  <si>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</si>
  <si>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</si>
  <si>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</si>
  <si>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</si>
  <si>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</si>
  <si>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</si>
  <si>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</si>
  <si>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</si>
  <si>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</si>
  <si>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</si>
  <si>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</si>
  <si>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</si>
  <si>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</si>
  <si>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</si>
  <si>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</si>
  <si>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</si>
  <si>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</si>
  <si>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</si>
  <si>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</si>
  <si>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</si>
  <si>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</si>
  <si>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</si>
  <si>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</si>
  <si>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</si>
  <si>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</si>
  <si>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</si>
  <si>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</si>
  <si>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</si>
  <si>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</si>
  <si>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</si>
  <si>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</si>
  <si>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</si>
  <si>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</si>
  <si>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</si>
  <si>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</si>
  <si>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</si>
  <si>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</si>
  <si>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</si>
  <si>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</si>
  <si>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</si>
  <si>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</si>
  <si>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</si>
  <si>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</si>
  <si>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</si>
  <si>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</si>
  <si>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</si>
  <si>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</si>
  <si>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</si>
  <si>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</si>
  <si>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</si>
  <si>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</si>
  <si>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</si>
  <si>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</si>
  <si>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</si>
  <si>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</si>
  <si>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</si>
  <si>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</si>
  <si>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</si>
  <si>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</si>
  <si>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</si>
  <si>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</si>
  <si>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</si>
  <si>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</si>
  <si>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</si>
  <si>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</si>
  <si>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</si>
  <si>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</si>
  <si>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</si>
  <si>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</si>
  <si>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</si>
  <si>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</si>
  <si>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</si>
  <si>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</si>
  <si>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</si>
  <si>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</si>
  <si>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</si>
  <si>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</si>
  <si>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</si>
  <si>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</si>
  <si>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</si>
  <si>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</si>
  <si>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</si>
  <si>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</si>
  <si>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</si>
  <si>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</si>
  <si>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</si>
  <si>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</si>
  <si>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</si>
  <si>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</si>
  <si>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</si>
  <si>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</si>
  <si>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</si>
  <si>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</si>
  <si>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</si>
  <si>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</si>
  <si>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</si>
  <si>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</si>
  <si>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</si>
  <si>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</si>
  <si>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</si>
  <si>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</si>
  <si>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</si>
  <si>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</si>
  <si>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</si>
  <si>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</si>
  <si>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</si>
  <si>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</si>
  <si>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</si>
  <si>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</si>
  <si>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</si>
  <si>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</si>
  <si>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</si>
  <si>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</si>
  <si>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</si>
  <si>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</si>
  <si>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</si>
  <si>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</si>
  <si>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</si>
  <si>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</si>
  <si>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</si>
  <si>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</si>
  <si>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</si>
  <si>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</si>
  <si>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</si>
  <si>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</si>
  <si>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</si>
  <si>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</si>
  <si>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</si>
  <si>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</si>
  <si>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</si>
  <si>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</si>
  <si>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</si>
  <si>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</si>
  <si>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</si>
  <si>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</si>
  <si>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</si>
  <si>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</si>
  <si>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</si>
  <si>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</si>
  <si>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</si>
  <si>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</si>
  <si>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</si>
  <si>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</si>
  <si>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</si>
  <si>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</si>
  <si>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</si>
  <si>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</si>
  <si>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</si>
  <si>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</si>
  <si>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</si>
  <si>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</si>
  <si>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</si>
  <si>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</si>
  <si>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</si>
  <si>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</si>
  <si>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</si>
  <si>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</si>
  <si>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</si>
  <si>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</si>
  <si>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</si>
  <si>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</si>
  <si>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</si>
  <si>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</si>
  <si>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</si>
  <si>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</si>
  <si>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</si>
  <si>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</si>
  <si>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</si>
  <si>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</si>
  <si>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</si>
  <si>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</si>
  <si>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</si>
  <si>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</si>
  <si>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</si>
  <si>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</si>
  <si>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</si>
  <si>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</si>
  <si>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</si>
  <si>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</si>
  <si>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</si>
  <si>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</si>
  <si>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</si>
  <si>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</si>
  <si>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</si>
  <si>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</si>
  <si>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</si>
  <si>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</si>
  <si>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</si>
  <si>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</si>
  <si>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</si>
  <si>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</si>
  <si>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</si>
  <si>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</si>
  <si>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</si>
  <si>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</si>
  <si>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</si>
  <si>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</si>
  <si>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</si>
  <si>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</si>
  <si>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</si>
  <si>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</si>
  <si>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</si>
  <si>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</si>
  <si>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</si>
  <si>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</si>
  <si>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</si>
  <si>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</si>
  <si>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</si>
  <si>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</si>
  <si>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</si>
  <si>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</si>
  <si>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</si>
  <si>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</si>
  <si>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</si>
  <si>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</si>
  <si>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</si>
  <si>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</si>
  <si>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</si>
  <si>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</si>
  <si>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</si>
  <si>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</si>
  <si>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</si>
  <si>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</si>
  <si>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</si>
  <si>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</si>
  <si>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</si>
  <si>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</si>
  <si>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</si>
  <si>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</si>
  <si>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</si>
  <si>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</si>
  <si>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</si>
  <si>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</si>
  <si>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</si>
  <si>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</si>
  <si>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</si>
  <si>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</si>
  <si>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</si>
  <si>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</si>
  <si>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</si>
  <si>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</si>
  <si>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</si>
  <si>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</si>
  <si>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</si>
  <si>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</si>
  <si>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</si>
  <si>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</si>
  <si>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</si>
  <si>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</si>
  <si>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</si>
  <si>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</si>
  <si>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</si>
  <si>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</si>
  <si>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</si>
  <si>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</si>
  <si>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</si>
  <si>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</si>
  <si>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</si>
  <si>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</si>
  <si>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</si>
  <si>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</si>
  <si>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</si>
  <si>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</si>
  <si>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</si>
  <si>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</si>
  <si>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</si>
  <si>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</si>
  <si>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</si>
  <si>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</si>
  <si>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</si>
  <si>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</si>
  <si>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</si>
  <si>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</si>
  <si>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</si>
  <si>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</si>
  <si>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</si>
  <si>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</si>
  <si>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</si>
  <si>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</si>
  <si>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</si>
  <si>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</si>
  <si>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</si>
  <si>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</si>
  <si>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</si>
  <si>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</si>
  <si>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</si>
  <si>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</si>
  <si>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</si>
  <si>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</si>
  <si>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</si>
  <si>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</si>
  <si>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</si>
  <si>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</si>
  <si>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</si>
  <si>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</si>
  <si>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</si>
  <si>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</si>
  <si>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</si>
  <si>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</si>
  <si>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</si>
  <si>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</si>
  <si>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</si>
  <si>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</si>
  <si>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</si>
  <si>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</si>
  <si>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</si>
  <si>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</si>
  <si>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</si>
  <si>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</si>
  <si>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</si>
  <si>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</si>
  <si>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</si>
  <si>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</si>
  <si>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</si>
  <si>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</si>
  <si>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</si>
  <si>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</si>
  <si>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</si>
  <si>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</si>
  <si>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</si>
  <si>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</si>
  <si>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</si>
  <si>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</si>
  <si>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</si>
  <si>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</si>
  <si>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</si>
  <si>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</si>
  <si>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</si>
  <si>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</si>
  <si>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</si>
  <si>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</si>
  <si>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</si>
  <si>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</si>
  <si>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</si>
  <si>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</si>
  <si>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</si>
  <si>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</si>
  <si>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</si>
  <si>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</si>
  <si>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</si>
  <si>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</si>
  <si>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</si>
  <si>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</si>
  <si>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</si>
  <si>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</si>
  <si>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</si>
  <si>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</si>
  <si>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</si>
  <si>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</si>
  <si>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</si>
  <si>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</si>
  <si>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</si>
  <si>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</si>
  <si>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</si>
  <si>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</si>
  <si>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</si>
  <si>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</si>
  <si>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</si>
  <si>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</si>
  <si>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</si>
  <si>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</si>
  <si>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</si>
  <si>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</si>
  <si>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</si>
  <si>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</si>
  <si>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</si>
  <si>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</si>
  <si>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</si>
  <si>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</si>
  <si>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</si>
  <si>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</si>
  <si>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</si>
  <si>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</si>
  <si>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</si>
  <si>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</si>
  <si>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</si>
  <si>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</si>
  <si>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</si>
  <si>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</si>
  <si>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</si>
  <si>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</si>
  <si>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</si>
  <si>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</si>
  <si>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</si>
  <si>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</si>
  <si>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</si>
  <si>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</si>
  <si>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</si>
  <si>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</si>
  <si>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</si>
  <si>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</si>
  <si>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</si>
  <si>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</si>
  <si>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</si>
  <si>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</si>
  <si>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</si>
  <si>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</si>
  <si>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</si>
  <si>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</si>
  <si>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</si>
  <si>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</si>
  <si>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</si>
  <si>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</si>
  <si>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</si>
  <si>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</si>
  <si>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</si>
  <si>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</si>
  <si>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</si>
  <si>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</si>
  <si>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</si>
  <si>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</si>
  <si>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</si>
  <si>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</si>
  <si>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</si>
  <si>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</si>
  <si>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</si>
  <si>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</si>
  <si>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</si>
  <si>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</si>
  <si>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</si>
  <si>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</si>
  <si>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</si>
  <si>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</si>
  <si>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</si>
  <si>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</si>
  <si>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</si>
  <si>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</si>
  <si>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</si>
  <si>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</si>
  <si>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</si>
  <si>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</si>
  <si>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</si>
  <si>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</si>
  <si>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</si>
  <si>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</si>
  <si>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</si>
  <si>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</si>
  <si>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</si>
  <si>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</si>
  <si>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</si>
  <si>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</si>
  <si>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</si>
  <si>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</si>
  <si>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</si>
  <si>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</si>
  <si>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</si>
  <si>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</si>
  <si>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</si>
  <si>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</si>
  <si>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</si>
  <si>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</si>
  <si>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</si>
  <si>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</si>
  <si>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</si>
  <si>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</si>
  <si>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</si>
  <si>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</si>
  <si>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</si>
  <si>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</si>
  <si>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</si>
  <si>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</si>
  <si>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</si>
  <si>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</si>
  <si>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</si>
  <si>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</si>
  <si>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</si>
  <si>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</si>
  <si>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</si>
  <si>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</si>
  <si>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</si>
  <si>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</si>
  <si>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</si>
  <si>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</si>
  <si>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</si>
  <si>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</si>
  <si>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</si>
  <si>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</si>
  <si>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</si>
  <si>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</si>
  <si>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</si>
  <si>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</si>
  <si>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</si>
  <si>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</si>
  <si>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</si>
  <si>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</si>
  <si>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</si>
  <si>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</si>
  <si>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</si>
  <si>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</si>
  <si>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</si>
  <si>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</si>
  <si>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</si>
  <si>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</si>
  <si>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</si>
  <si>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</si>
  <si>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</si>
  <si>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</si>
  <si>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</si>
  <si>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</si>
  <si>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</si>
  <si>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</si>
  <si>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</si>
  <si>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</si>
  <si>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</si>
  <si>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</si>
  <si>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</si>
  <si>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</si>
  <si>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</si>
  <si>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</si>
  <si>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</si>
  <si>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</si>
  <si>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</si>
  <si>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</si>
  <si>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</si>
  <si>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</si>
  <si>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</si>
  <si>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</si>
  <si>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</si>
  <si>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</si>
  <si>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</si>
  <si>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</si>
  <si>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</si>
  <si>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</si>
  <si>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</si>
  <si>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</si>
  <si>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</si>
  <si>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</si>
  <si>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</si>
  <si>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</si>
  <si>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</si>
  <si>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</si>
  <si>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</si>
  <si>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</si>
  <si>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</si>
  <si>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</si>
  <si>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</si>
  <si>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</si>
  <si>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</si>
  <si>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</si>
  <si>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</si>
  <si>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</si>
  <si>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</si>
  <si>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</si>
  <si>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</si>
  <si>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</si>
  <si>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</si>
  <si>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</si>
  <si>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</si>
  <si>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</si>
  <si>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</si>
  <si>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</si>
  <si>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</si>
  <si>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</si>
  <si>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</si>
  <si>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</si>
  <si>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</si>
  <si>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</si>
  <si>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</si>
  <si>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</si>
  <si>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</si>
  <si>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</si>
  <si>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</si>
  <si>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</si>
  <si>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</si>
  <si>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</si>
  <si>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</si>
  <si>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</si>
  <si>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</si>
  <si>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</si>
  <si>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</si>
  <si>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</si>
  <si>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</si>
  <si>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</si>
  <si>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</si>
  <si>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</si>
  <si>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</si>
  <si>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</si>
  <si>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</si>
  <si>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</si>
  <si>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</si>
  <si>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</si>
  <si>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</si>
  <si>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</si>
  <si>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</si>
  <si>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</si>
  <si>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</si>
  <si>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</si>
  <si>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</si>
  <si>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</si>
  <si>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</si>
  <si>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</si>
  <si>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</si>
  <si>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</si>
  <si>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</si>
  <si>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</si>
  <si>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</si>
  <si>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</si>
  <si>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</si>
  <si>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</si>
  <si>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</si>
  <si>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</si>
  <si>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</si>
  <si>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</si>
  <si>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</si>
  <si>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</si>
  <si>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</si>
  <si>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</si>
  <si>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</si>
  <si>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</si>
  <si>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</si>
  <si>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</si>
  <si>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</si>
  <si>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</si>
  <si>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</si>
  <si>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</si>
  <si>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</si>
  <si>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</si>
  <si>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</si>
  <si>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</si>
  <si>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</si>
  <si>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</si>
  <si>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</si>
  <si>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</si>
  <si>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</si>
  <si>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</si>
  <si>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</si>
  <si>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</si>
  <si>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</si>
  <si>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</si>
  <si>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</si>
  <si>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</si>
  <si>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</si>
  <si>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</si>
  <si>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</si>
  <si>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</si>
  <si>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</si>
  <si>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</si>
  <si>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</si>
  <si>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</si>
  <si>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</si>
  <si>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</si>
  <si>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</si>
  <si>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</si>
  <si>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</si>
  <si>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</si>
  <si>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</si>
  <si>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</si>
  <si>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</si>
  <si>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</si>
  <si>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</si>
  <si>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</si>
  <si>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</si>
  <si>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</si>
  <si>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</si>
  <si>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</si>
  <si>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</si>
  <si>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</si>
  <si>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</si>
  <si>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</si>
  <si>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</si>
  <si>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</si>
  <si>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</si>
  <si>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</si>
  <si>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</si>
  <si>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</si>
  <si>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</si>
  <si>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</si>
  <si>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</si>
  <si>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</si>
  <si>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</si>
  <si>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</si>
  <si>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</si>
  <si>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</si>
  <si>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</si>
  <si>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</si>
  <si>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</si>
  <si>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</si>
  <si>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</si>
  <si>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</si>
  <si>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</si>
  <si>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</si>
  <si>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</si>
  <si>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</si>
  <si>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</si>
  <si>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</si>
  <si>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</si>
  <si>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</si>
  <si>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</si>
  <si>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</si>
  <si>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</si>
  <si>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</si>
  <si>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</si>
  <si>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</si>
  <si>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</si>
  <si>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</si>
  <si>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</si>
  <si>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</si>
  <si>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</si>
  <si>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</si>
  <si>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</si>
  <si>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</si>
  <si>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</si>
  <si>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</si>
  <si>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</si>
  <si>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</si>
  <si>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</si>
  <si>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</si>
  <si>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</si>
  <si>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</si>
  <si>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</si>
  <si>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</si>
  <si>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</si>
  <si>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</si>
  <si>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</si>
  <si>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</si>
  <si>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</si>
  <si>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</si>
  <si>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</si>
  <si>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</si>
  <si>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</si>
  <si>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</si>
  <si>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</si>
  <si>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</si>
  <si>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</si>
  <si>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</si>
  <si>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</si>
  <si>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</si>
  <si>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</si>
  <si>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</si>
  <si>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</si>
  <si>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</si>
  <si>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</si>
  <si>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</si>
  <si>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</si>
  <si>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</si>
  <si>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</si>
  <si>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</si>
  <si>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</si>
  <si>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</si>
  <si>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</si>
  <si>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</si>
  <si>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</si>
  <si>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</si>
  <si>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</si>
  <si>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</si>
  <si>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</si>
  <si>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</si>
  <si>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</si>
  <si>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</si>
  <si>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</si>
  <si>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</si>
  <si>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</si>
  <si>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</si>
  <si>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</si>
  <si>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</si>
  <si>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</si>
  <si>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</si>
  <si>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</si>
  <si>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</si>
  <si>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</si>
  <si>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</si>
  <si>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</si>
  <si>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</si>
  <si>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</si>
  <si>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</si>
  <si>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</si>
  <si>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</si>
  <si>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</si>
  <si>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</si>
  <si>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</si>
  <si>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</si>
  <si>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</si>
  <si>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</si>
  <si>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</si>
  <si>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</si>
  <si>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</si>
  <si>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</si>
  <si>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</si>
  <si>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</si>
  <si>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</si>
  <si>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</si>
  <si>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</si>
  <si>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</si>
  <si>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</si>
  <si>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</si>
  <si>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</si>
  <si>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</si>
  <si>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</si>
  <si>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</si>
  <si>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</si>
  <si>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</si>
  <si>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</si>
  <si>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</si>
  <si>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</si>
  <si>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</si>
  <si>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</si>
  <si>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</si>
  <si>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</si>
  <si>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</si>
  <si>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</si>
  <si>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</si>
  <si>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</si>
  <si>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</si>
  <si>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</si>
  <si>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</si>
  <si>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</si>
  <si>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</si>
  <si>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</si>
  <si>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</si>
  <si>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</si>
  <si>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</si>
  <si>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</si>
  <si>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</si>
  <si>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</si>
  <si>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</si>
  <si>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</si>
  <si>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</si>
  <si>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</si>
  <si>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</si>
  <si>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</si>
  <si>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</si>
  <si>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</si>
  <si>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</si>
  <si>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</si>
  <si>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</si>
  <si>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</si>
  <si>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</si>
  <si>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</si>
  <si>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</si>
  <si>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</si>
  <si>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</si>
  <si>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</si>
  <si>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</si>
  <si>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</si>
  <si>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</si>
  <si>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</si>
  <si>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</si>
  <si>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</si>
  <si>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</si>
  <si>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</si>
  <si>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</si>
  <si>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</si>
  <si>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</si>
  <si>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</si>
  <si>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</si>
  <si>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</si>
  <si>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</si>
  <si>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</si>
  <si>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</si>
  <si>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</si>
  <si>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</si>
  <si>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</si>
  <si>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</si>
  <si>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</si>
  <si>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</si>
  <si>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</si>
  <si>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</si>
  <si>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</si>
  <si>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</si>
  <si>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</si>
  <si>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</si>
  <si>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</si>
  <si>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</si>
  <si>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</si>
  <si>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</si>
  <si>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</si>
  <si>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</si>
  <si>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</si>
  <si>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</si>
  <si>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</si>
  <si>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</si>
  <si>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</si>
  <si>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</si>
  <si>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</si>
  <si>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</si>
  <si>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</si>
  <si>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</si>
  <si>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</si>
  <si>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</si>
  <si>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</si>
  <si>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</si>
  <si>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</si>
  <si>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</si>
  <si>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</si>
  <si>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</si>
  <si>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</si>
  <si>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</si>
  <si>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</si>
  <si>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</si>
  <si>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</si>
  <si>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</si>
  <si>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</si>
  <si>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</si>
  <si>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</si>
  <si>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</si>
  <si>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</si>
  <si>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</si>
  <si>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</si>
  <si>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</si>
  <si>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</si>
  <si>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</si>
  <si>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</si>
  <si>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</si>
  <si>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</si>
  <si>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</si>
  <si>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</si>
  <si>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</si>
  <si>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</si>
  <si>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</si>
  <si>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</si>
  <si>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</si>
  <si>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</si>
  <si>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</si>
  <si>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</si>
  <si>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</si>
  <si>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</si>
  <si>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</si>
  <si>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</si>
  <si>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</si>
  <si>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</si>
  <si>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</si>
  <si>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</si>
  <si>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</si>
  <si>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</si>
  <si>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</si>
  <si>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</si>
  <si>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</si>
  <si>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</si>
  <si>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</si>
  <si>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</si>
  <si>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</si>
  <si>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</si>
  <si>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</si>
  <si>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</si>
  <si>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</si>
  <si>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</si>
  <si>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</si>
  <si>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</si>
  <si>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</si>
  <si>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</si>
  <si>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</si>
  <si>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</si>
  <si>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</si>
  <si>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</si>
  <si>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</si>
  <si>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</si>
  <si>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</si>
  <si>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</si>
  <si>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</si>
  <si>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</si>
  <si>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</si>
  <si>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</si>
  <si>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</si>
  <si>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</si>
  <si>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</si>
  <si>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</si>
  <si>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</si>
  <si>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</si>
  <si>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</si>
  <si>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</si>
  <si>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</si>
  <si>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</si>
  <si>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</si>
  <si>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</si>
  <si>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</si>
  <si>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</si>
  <si>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</si>
  <si>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</si>
  <si>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</si>
  <si>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</si>
  <si>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</si>
  <si>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</si>
  <si>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</si>
  <si>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</si>
  <si>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</si>
  <si>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</si>
  <si>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</si>
  <si>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</si>
  <si>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</si>
  <si>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</si>
  <si>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</si>
  <si>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</si>
  <si>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</si>
  <si>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</si>
  <si>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</si>
  <si>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</si>
  <si>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</si>
  <si>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</si>
  <si>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</si>
  <si>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</si>
  <si>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</si>
  <si>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</si>
  <si>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</si>
  <si>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</si>
  <si>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</si>
  <si>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</si>
  <si>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</si>
  <si>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</si>
  <si>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</si>
  <si>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</si>
  <si>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</si>
  <si>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</si>
  <si>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</si>
  <si>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</si>
  <si>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</si>
  <si>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</si>
  <si>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</si>
  <si>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</si>
  <si>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</si>
  <si>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</si>
  <si>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</si>
  <si>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</si>
  <si>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</si>
  <si>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</si>
  <si>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</si>
  <si>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</si>
  <si>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</si>
  <si>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</si>
  <si>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</si>
  <si>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</si>
  <si>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</si>
  <si>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</si>
  <si>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</si>
  <si>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</si>
  <si>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</si>
  <si>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</si>
  <si>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</si>
  <si>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</si>
  <si>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</si>
  <si>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</si>
  <si>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</si>
  <si>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</si>
  <si>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</si>
  <si>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</si>
  <si>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</si>
  <si>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</si>
  <si>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</si>
  <si>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</si>
  <si>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</si>
  <si>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</si>
  <si>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</si>
  <si>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</si>
  <si>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</si>
  <si>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</si>
  <si>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</si>
  <si>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</si>
  <si>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</si>
  <si>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</si>
  <si>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</si>
  <si>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</si>
  <si>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</si>
  <si>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</si>
  <si>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</si>
  <si>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</si>
  <si>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</si>
  <si>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</si>
  <si>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</si>
  <si>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</si>
  <si>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</si>
  <si>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</si>
  <si>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</si>
  <si>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</si>
  <si>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</si>
  <si>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</si>
  <si>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</si>
  <si>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</si>
  <si>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</si>
  <si>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</si>
  <si>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</si>
  <si>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</si>
  <si>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</si>
  <si>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</si>
  <si>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</si>
  <si>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</si>
  <si>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</si>
  <si>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</si>
  <si>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</si>
  <si>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</si>
  <si>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</si>
  <si>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</si>
  <si>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</si>
  <si>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</si>
  <si>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</si>
  <si>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</si>
  <si>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</si>
  <si>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</si>
  <si>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</si>
  <si>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</si>
  <si>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</si>
  <si>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</si>
  <si>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</si>
  <si>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</si>
  <si>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</si>
  <si>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</si>
  <si>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</si>
  <si>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</si>
  <si>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</si>
  <si>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</si>
  <si>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</si>
  <si>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</si>
  <si>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</si>
  <si>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</si>
  <si>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</si>
  <si>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</si>
  <si>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</si>
  <si>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</si>
  <si>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</si>
  <si>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</si>
  <si>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</si>
  <si>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</si>
  <si>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</si>
  <si>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</si>
  <si>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</si>
  <si>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</si>
  <si>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</si>
  <si>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</si>
  <si>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</si>
  <si>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</si>
  <si>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</si>
  <si>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</si>
  <si>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</si>
  <si>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</si>
  <si>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</si>
  <si>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</si>
  <si>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</si>
  <si>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</si>
  <si>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</si>
  <si>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</si>
  <si>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</si>
  <si>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</si>
  <si>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</si>
  <si>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</si>
  <si>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</si>
  <si>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</si>
  <si>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</si>
  <si>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</si>
  <si>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</si>
  <si>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</si>
  <si>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</si>
  <si>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</si>
  <si>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</si>
  <si>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</si>
  <si>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</si>
  <si>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</si>
  <si>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</si>
  <si>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</si>
  <si>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</si>
  <si>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</si>
  <si>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</si>
  <si>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</si>
  <si>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</si>
  <si>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</si>
  <si>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</si>
  <si>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</si>
  <si>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</si>
  <si>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</si>
  <si>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</si>
  <si>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</si>
  <si>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</si>
  <si>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</si>
  <si>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</si>
  <si>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</si>
  <si>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</si>
  <si>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</si>
  <si>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</si>
  <si>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</si>
  <si>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</si>
  <si>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</si>
  <si>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</si>
  <si>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</si>
  <si>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</si>
  <si>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</si>
  <si>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</si>
  <si>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</si>
  <si>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</si>
  <si>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</si>
  <si>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</si>
  <si>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</si>
  <si>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</si>
  <si>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</si>
  <si>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</si>
  <si>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</si>
  <si>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</si>
  <si>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</si>
  <si>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</si>
  <si>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</si>
  <si>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</si>
  <si>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</si>
  <si>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</si>
  <si>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</si>
  <si>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</si>
  <si>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</si>
  <si>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</si>
  <si>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</si>
  <si>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</si>
  <si>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</si>
  <si>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</si>
  <si>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</si>
  <si>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</si>
  <si>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</si>
  <si>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</si>
  <si>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</si>
  <si>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</si>
  <si>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</si>
  <si>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</si>
  <si>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</si>
  <si>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</si>
  <si>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</si>
  <si>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</si>
  <si>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</si>
  <si>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</si>
  <si>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</si>
  <si>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</si>
  <si>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</si>
  <si>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</si>
  <si>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</si>
  <si>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</si>
  <si>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</si>
  <si>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</si>
  <si>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</si>
  <si>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</si>
  <si>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</si>
  <si>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</si>
  <si>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</si>
  <si>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</si>
  <si>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</si>
  <si>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</si>
  <si>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</si>
  <si>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</si>
  <si>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</si>
  <si>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</si>
  <si>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</si>
  <si>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</si>
  <si>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</si>
  <si>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</si>
  <si>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</si>
  <si>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</si>
  <si>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</si>
  <si>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</si>
  <si>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</si>
  <si>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</si>
  <si>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</si>
  <si>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</si>
  <si>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</si>
  <si>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</si>
  <si>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</si>
  <si>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</si>
  <si>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Dennis G Koch &amp; Associates LLC</t>
  </si>
  <si>
    <t>Hancock</t>
  </si>
  <si>
    <t>Dennis G Koch</t>
  </si>
  <si>
    <t>1706 N 16th Street</t>
  </si>
  <si>
    <t>2461 North State Highway 96</t>
  </si>
  <si>
    <t>Quincy</t>
  </si>
  <si>
    <t>IL</t>
  </si>
  <si>
    <t>Nauvoo</t>
  </si>
  <si>
    <t>217-224-8484</t>
  </si>
  <si>
    <t>217-224-0504</t>
  </si>
  <si>
    <t>millerv@nauvoo-colusa.com</t>
  </si>
  <si>
    <t>066-004856</t>
  </si>
  <si>
    <t>dgkoch@dgkochcpa.com</t>
  </si>
  <si>
    <t>Kent Young</t>
  </si>
  <si>
    <t>John Meixner</t>
  </si>
  <si>
    <t>kyoung@nauvoo-colusa.com</t>
  </si>
  <si>
    <t>jmeixner@roe26.net</t>
  </si>
  <si>
    <t>217-453-2231</t>
  </si>
  <si>
    <t>217-453-6395</t>
  </si>
  <si>
    <t>309-837-4821</t>
  </si>
  <si>
    <t>Working Cash Bonds</t>
  </si>
  <si>
    <t>Deactivated HS/Warsaw Jr. J to Nauvoo-Colusa</t>
  </si>
  <si>
    <t>Hancock County Schools - First Teacher Institure</t>
  </si>
  <si>
    <t>Dallas City - Speech and Psyc. Warsaw Bank and Ag</t>
  </si>
  <si>
    <t>West Central Illinois Special Educaiton Cooperative</t>
  </si>
  <si>
    <t>Western Area Purchasing Cooperative</t>
  </si>
  <si>
    <t>Dennis G Koch &amp; Associates LLC, CPAs</t>
  </si>
  <si>
    <t>None</t>
  </si>
  <si>
    <t>Revenue Line 4090 - REAP Grant received directly from Federal Government</t>
  </si>
  <si>
    <t>Nauvoo-Colusa CUSD 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</si>
</sst>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3">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346364</xdr:colOff>
          <xdr:row>2</xdr:row>
          <xdr:rowOff>77932</xdr:rowOff>
        </xdr:from>
        <xdr:to>
          <xdr:col>1</xdr:col>
          <xdr:colOff>1258166</xdr:colOff>
          <xdr:row>7</xdr:row>
          <xdr:rowOff>37234</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2077</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2077</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26034325026</v>
      </c>
      <c r="B13" s="2003"/>
      <c r="C13" s="2003"/>
      <c r="D13" s="2003"/>
      <c r="E13" s="2003"/>
      <c r="F13" s="2003"/>
      <c r="G13" s="2003"/>
      <c r="H13" s="2004"/>
      <c r="I13" s="31"/>
      <c r="J13" s="30"/>
      <c r="K13" s="28"/>
      <c r="L13" s="30"/>
      <c r="M13" s="30"/>
      <c r="N13" s="30"/>
      <c r="O13" s="30"/>
      <c r="P13" s="30"/>
      <c r="Q13" s="30"/>
      <c r="R13" s="30"/>
      <c r="S13" s="30"/>
      <c r="T13" s="2007" t="s">
        <v>2078</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2079</v>
      </c>
      <c r="B15" s="2005"/>
      <c r="C15" s="2005"/>
      <c r="D15" s="2005"/>
      <c r="E15" s="2005"/>
      <c r="F15" s="2005"/>
      <c r="G15" s="2005"/>
      <c r="H15" s="2006"/>
      <c r="T15" s="1968" t="s">
        <v>2080</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2107</v>
      </c>
      <c r="B17" s="2030"/>
      <c r="C17" s="2030"/>
      <c r="D17" s="2030"/>
      <c r="E17" s="2030"/>
      <c r="F17" s="2030"/>
      <c r="G17" s="2030"/>
      <c r="H17" s="2031"/>
      <c r="T17" s="2017" t="s">
        <v>2081</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2082</v>
      </c>
      <c r="B19" s="2001"/>
      <c r="C19" s="2001"/>
      <c r="D19" s="2001"/>
      <c r="E19" s="2001"/>
      <c r="F19" s="2001"/>
      <c r="G19" s="2001"/>
      <c r="H19" s="1999"/>
      <c r="I19" s="30"/>
      <c r="J19" s="99"/>
      <c r="K19" s="40"/>
      <c r="L19" s="38"/>
      <c r="M19" s="112" t="s">
        <v>333</v>
      </c>
      <c r="P19" s="27"/>
      <c r="Q19" s="27"/>
      <c r="R19" s="27"/>
      <c r="S19" s="31"/>
      <c r="T19" s="2000" t="s">
        <v>2083</v>
      </c>
      <c r="U19" s="1998"/>
      <c r="V19" s="1998"/>
      <c r="W19" s="1999"/>
      <c r="X19" s="2015" t="s">
        <v>2084</v>
      </c>
      <c r="Y19" s="2016"/>
      <c r="Z19" s="2013">
        <v>62301</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2085</v>
      </c>
      <c r="B21" s="1998"/>
      <c r="C21" s="1998"/>
      <c r="D21" s="1998"/>
      <c r="E21" s="1998"/>
      <c r="F21" s="1998"/>
      <c r="G21" s="1998"/>
      <c r="H21" s="1999"/>
      <c r="I21" s="2023" t="s">
        <v>699</v>
      </c>
      <c r="J21" s="1986"/>
      <c r="K21" s="1986"/>
      <c r="L21" s="1986"/>
      <c r="M21" s="1986"/>
      <c r="N21" s="1986"/>
      <c r="O21" s="1986"/>
      <c r="P21" s="1986"/>
      <c r="Q21" s="1986"/>
      <c r="R21" s="1986"/>
      <c r="S21" s="1987"/>
      <c r="T21" s="1965" t="s">
        <v>2086</v>
      </c>
      <c r="U21" s="1966"/>
      <c r="V21" s="1966"/>
      <c r="W21" s="1966"/>
      <c r="X21" s="1979" t="s">
        <v>2087</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t="s">
        <v>2088</v>
      </c>
      <c r="B23" s="2021"/>
      <c r="C23" s="2021"/>
      <c r="D23" s="2021"/>
      <c r="E23" s="2021"/>
      <c r="F23" s="2021"/>
      <c r="G23" s="2021"/>
      <c r="H23" s="2022"/>
      <c r="T23" s="1960" t="s">
        <v>2089</v>
      </c>
      <c r="U23" s="1961"/>
      <c r="V23" s="1961"/>
      <c r="W23" s="1961"/>
      <c r="X23" s="1976">
        <v>43434</v>
      </c>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62354</v>
      </c>
      <c r="B25" s="1998"/>
      <c r="C25" s="1998"/>
      <c r="D25" s="1998"/>
      <c r="E25" s="1998"/>
      <c r="F25" s="1998"/>
      <c r="G25" s="1998"/>
      <c r="H25" s="1999"/>
      <c r="I25" s="113"/>
      <c r="J25" s="2064"/>
      <c r="K25" s="2064"/>
      <c r="L25" s="2064"/>
      <c r="M25" s="2064"/>
      <c r="N25" s="2064"/>
      <c r="O25" s="2064"/>
      <c r="P25" s="2064"/>
      <c r="Q25" s="2064"/>
      <c r="R25" s="2064"/>
      <c r="S25" s="2065"/>
      <c r="T25" s="1957" t="s">
        <v>2090</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2077</v>
      </c>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2091</v>
      </c>
      <c r="B38" s="2030"/>
      <c r="C38" s="2030"/>
      <c r="D38" s="2030"/>
      <c r="E38" s="2030"/>
      <c r="F38" s="1998"/>
      <c r="G38" s="1998"/>
      <c r="H38" s="1999"/>
      <c r="I38" s="2049"/>
      <c r="J38" s="1969"/>
      <c r="K38" s="1969"/>
      <c r="L38" s="1969"/>
      <c r="M38" s="1969"/>
      <c r="N38" s="1969"/>
      <c r="O38" s="1969"/>
      <c r="P38" s="1970"/>
      <c r="Q38" s="1970"/>
      <c r="R38" s="1970"/>
      <c r="S38" s="1971"/>
      <c r="T38" s="1968" t="s">
        <v>2092</v>
      </c>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t="s">
        <v>2093</v>
      </c>
      <c r="B40" s="2057"/>
      <c r="C40" s="2058"/>
      <c r="D40" s="2058"/>
      <c r="E40" s="2058"/>
      <c r="F40" s="2059"/>
      <c r="G40" s="2059"/>
      <c r="H40" s="2060"/>
      <c r="I40" s="1972"/>
      <c r="J40" s="1974"/>
      <c r="K40" s="1974"/>
      <c r="L40" s="1974"/>
      <c r="M40" s="1974"/>
      <c r="N40" s="1974"/>
      <c r="O40" s="1974"/>
      <c r="P40" s="1974"/>
      <c r="Q40" s="1974"/>
      <c r="R40" s="1974"/>
      <c r="S40" s="1975"/>
      <c r="T40" s="1972" t="s">
        <v>2094</v>
      </c>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t="s">
        <v>2095</v>
      </c>
      <c r="B42" s="2047"/>
      <c r="C42" s="2048"/>
      <c r="D42" s="2061" t="s">
        <v>2096</v>
      </c>
      <c r="E42" s="2047"/>
      <c r="F42" s="2047"/>
      <c r="G42" s="2047"/>
      <c r="H42" s="2048"/>
      <c r="I42" s="1967"/>
      <c r="J42" s="1963"/>
      <c r="K42" s="1963"/>
      <c r="L42" s="1963"/>
      <c r="M42" s="1963"/>
      <c r="N42" s="1963"/>
      <c r="O42" s="1964"/>
      <c r="P42" s="1962"/>
      <c r="Q42" s="1963"/>
      <c r="R42" s="1963"/>
      <c r="S42" s="1964"/>
      <c r="T42" s="1967" t="s">
        <v>2097</v>
      </c>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 zoomScale="110" zoomScaleNormal="110" workbookViewId="0">
      <selection activeCell="A37" sqref="A37:F3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colorId="8" zoomScale="110" zoomScaleNormal="110" workbookViewId="0">
      <selection activeCell="A37" sqref="A37:F3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2104</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48"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72"/>
  <sheetViews>
    <sheetView showGridLines="0" defaultGridColor="0" colorId="8" zoomScale="110" zoomScaleNormal="110" workbookViewId="0">
      <selection activeCell="A37" sqref="A37:F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57145881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2.5499999999999998E-2</v>
      </c>
      <c r="E10" s="356" t="s">
        <v>1062</v>
      </c>
      <c r="F10" s="355">
        <v>5.0000000000000001E-3</v>
      </c>
      <c r="G10" s="356" t="s">
        <v>1062</v>
      </c>
      <c r="H10" s="355">
        <v>2E-3</v>
      </c>
      <c r="I10" s="356" t="s">
        <v>1063</v>
      </c>
      <c r="J10" s="1754">
        <f>ROUND(D10+F10+H10,5)</f>
        <v>3.2500000000000001E-2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3459326</v>
      </c>
      <c r="E16" s="356"/>
      <c r="F16" s="1755">
        <f>SUM('Acct Summary 7-8'!C17,'Acct Summary 7-8'!D17,'Acct Summary 7-8'!F17)</f>
        <v>3235740</v>
      </c>
      <c r="G16" s="356"/>
      <c r="H16" s="1755">
        <f>SUM(D16-F16)</f>
        <v>223586</v>
      </c>
      <c r="I16" s="222"/>
      <c r="J16" s="1755">
        <f>SUM('Acct Summary 7-8'!C81,'Acct Summary 7-8'!D81,'Acct Summary 7-8'!F81,'Acct Summary 7-8'!I81)</f>
        <v>1537910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3943065.7890000003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7"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44"/>
  <sheetViews>
    <sheetView showGridLines="0" zoomScale="110" zoomScaleNormal="110" workbookViewId="0">
      <selection activeCell="A37" sqref="A37:F3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Nauvoo-Colusa CUSD 325</v>
      </c>
      <c r="E7" s="391"/>
      <c r="G7" s="252"/>
      <c r="H7" s="387"/>
      <c r="I7" s="387"/>
      <c r="J7" s="387"/>
      <c r="K7" s="387"/>
      <c r="L7" s="329"/>
      <c r="M7" s="329"/>
      <c r="N7" s="329"/>
      <c r="O7" s="329"/>
      <c r="P7" s="329"/>
    </row>
    <row r="8" spans="1:18" ht="12.75" x14ac:dyDescent="0.2">
      <c r="A8" s="329"/>
      <c r="B8" s="329"/>
      <c r="C8" s="389" t="s">
        <v>1187</v>
      </c>
      <c r="D8" s="392">
        <f>COVER!A13</f>
        <v>26034325026</v>
      </c>
      <c r="E8" s="393"/>
      <c r="G8" s="329"/>
      <c r="H8" s="329"/>
      <c r="I8" s="329"/>
      <c r="J8" s="329"/>
      <c r="K8" s="329"/>
      <c r="L8" s="329"/>
      <c r="M8" s="329"/>
      <c r="N8" s="329"/>
      <c r="O8" s="329"/>
      <c r="P8" s="329"/>
    </row>
    <row r="9" spans="1:18" ht="12.75" x14ac:dyDescent="0.2">
      <c r="A9" s="329"/>
      <c r="B9" s="329"/>
      <c r="C9" s="389" t="s">
        <v>737</v>
      </c>
      <c r="D9" s="394" t="str">
        <f>COVER!A15</f>
        <v>Hancock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1537910</v>
      </c>
      <c r="I12" s="404"/>
      <c r="J12" s="404"/>
      <c r="K12" s="405">
        <f>TRUNC((H12/H13*100000),5)/100000</f>
        <v>0.44456926000000002</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3459326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3235740</v>
      </c>
      <c r="I17" s="404"/>
      <c r="J17" s="416"/>
      <c r="K17" s="405">
        <f>TRUNC((H17/H18*100000),5)/100000</f>
        <v>0.93536717839999994</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3459326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1537910</v>
      </c>
      <c r="I24" s="422"/>
      <c r="J24" s="422"/>
      <c r="K24" s="423">
        <f>TRUNC(((H24/H25*100000)/100000),2)</f>
        <v>171.1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8988.1666700000005</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1578654.96263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3943065.7890000003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37" sqref="A37:F37"/>
      <selection pane="bottomLeft" activeCell="A37" sqref="A37:F3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624797</v>
      </c>
      <c r="D4" s="466">
        <v>429328</v>
      </c>
      <c r="E4" s="466"/>
      <c r="F4" s="466">
        <v>307404</v>
      </c>
      <c r="G4" s="466">
        <v>316504</v>
      </c>
      <c r="H4" s="466"/>
      <c r="I4" s="466">
        <v>176381</v>
      </c>
      <c r="J4" s="467">
        <v>610741</v>
      </c>
      <c r="K4" s="466">
        <v>120348</v>
      </c>
      <c r="L4" s="466">
        <v>38734</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624797</v>
      </c>
      <c r="D13" s="1759">
        <f t="shared" ref="D13:L13" si="0">SUM(D4:D12)</f>
        <v>429328</v>
      </c>
      <c r="E13" s="1759">
        <f t="shared" si="0"/>
        <v>0</v>
      </c>
      <c r="F13" s="1759">
        <f t="shared" si="0"/>
        <v>307404</v>
      </c>
      <c r="G13" s="1759">
        <f t="shared" si="0"/>
        <v>316504</v>
      </c>
      <c r="H13" s="1759">
        <f t="shared" si="0"/>
        <v>0</v>
      </c>
      <c r="I13" s="1759">
        <f t="shared" si="0"/>
        <v>176381</v>
      </c>
      <c r="J13" s="1759">
        <f t="shared" si="0"/>
        <v>610741</v>
      </c>
      <c r="K13" s="1759">
        <f t="shared" si="0"/>
        <v>120348</v>
      </c>
      <c r="L13" s="1759">
        <f t="shared" si="0"/>
        <v>38734</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29900</v>
      </c>
      <c r="N16" s="484"/>
    </row>
    <row r="17" spans="1:14" s="485" customFormat="1" ht="12.75" customHeight="1" x14ac:dyDescent="0.2">
      <c r="A17" s="482" t="s">
        <v>1470</v>
      </c>
      <c r="B17" s="483">
        <v>230</v>
      </c>
      <c r="C17" s="477"/>
      <c r="D17" s="477"/>
      <c r="E17" s="477"/>
      <c r="F17" s="477"/>
      <c r="G17" s="477"/>
      <c r="H17" s="477"/>
      <c r="I17" s="477"/>
      <c r="J17" s="477"/>
      <c r="K17" s="477"/>
      <c r="L17" s="477"/>
      <c r="M17" s="467">
        <v>923486</v>
      </c>
      <c r="N17" s="484"/>
    </row>
    <row r="18" spans="1:14" s="485" customFormat="1" ht="12.75" customHeight="1" x14ac:dyDescent="0.2">
      <c r="A18" s="482" t="s">
        <v>1471</v>
      </c>
      <c r="B18" s="483">
        <v>240</v>
      </c>
      <c r="C18" s="477"/>
      <c r="D18" s="477"/>
      <c r="E18" s="477"/>
      <c r="F18" s="477"/>
      <c r="G18" s="477"/>
      <c r="H18" s="477"/>
      <c r="I18" s="477"/>
      <c r="J18" s="477"/>
      <c r="K18" s="477"/>
      <c r="L18" s="477"/>
      <c r="M18" s="467">
        <v>40924</v>
      </c>
      <c r="N18" s="484"/>
    </row>
    <row r="19" spans="1:14" s="485" customFormat="1" ht="12.75" customHeight="1" x14ac:dyDescent="0.2">
      <c r="A19" s="482" t="s">
        <v>1472</v>
      </c>
      <c r="B19" s="483">
        <v>250</v>
      </c>
      <c r="C19" s="477"/>
      <c r="D19" s="477"/>
      <c r="E19" s="477"/>
      <c r="F19" s="477"/>
      <c r="G19" s="477"/>
      <c r="H19" s="477"/>
      <c r="I19" s="477"/>
      <c r="J19" s="477"/>
      <c r="K19" s="477"/>
      <c r="L19" s="477"/>
      <c r="M19" s="467">
        <v>484585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1478895</v>
      </c>
      <c r="N23" s="1710">
        <f>SUM(N21:N22)</f>
        <v>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38734</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38734</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v>316504</v>
      </c>
      <c r="H38" s="466"/>
      <c r="I38" s="466">
        <v>176381</v>
      </c>
      <c r="J38" s="467">
        <v>610741</v>
      </c>
      <c r="K38" s="466"/>
      <c r="L38" s="481"/>
      <c r="M38" s="497"/>
      <c r="N38" s="497"/>
    </row>
    <row r="39" spans="1:14" s="329" customFormat="1" ht="13.5" customHeight="1" x14ac:dyDescent="0.2">
      <c r="A39" s="496" t="s">
        <v>360</v>
      </c>
      <c r="B39" s="483">
        <v>730</v>
      </c>
      <c r="C39" s="466">
        <v>624797</v>
      </c>
      <c r="D39" s="466">
        <v>429328</v>
      </c>
      <c r="E39" s="466"/>
      <c r="F39" s="466">
        <v>307404</v>
      </c>
      <c r="G39" s="466"/>
      <c r="H39" s="466"/>
      <c r="I39" s="466"/>
      <c r="J39" s="467"/>
      <c r="K39" s="466">
        <v>120348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1478895</v>
      </c>
      <c r="N40" s="497"/>
    </row>
    <row r="41" spans="1:14" ht="13.5" customHeight="1" thickBot="1" x14ac:dyDescent="0.25">
      <c r="A41" s="1758" t="s">
        <v>676</v>
      </c>
      <c r="B41" s="1728"/>
      <c r="C41" s="1710">
        <f>(SUM(C34,C37,C38,C39))</f>
        <v>624797</v>
      </c>
      <c r="D41" s="1710">
        <f t="shared" ref="D41:L41" si="2">SUM(D34,D37,D38:D39)</f>
        <v>429328</v>
      </c>
      <c r="E41" s="1710">
        <f t="shared" si="2"/>
        <v>0</v>
      </c>
      <c r="F41" s="1710">
        <f t="shared" si="2"/>
        <v>307404</v>
      </c>
      <c r="G41" s="1710">
        <f t="shared" si="2"/>
        <v>316504</v>
      </c>
      <c r="H41" s="1710">
        <f t="shared" si="2"/>
        <v>0</v>
      </c>
      <c r="I41" s="1710">
        <f t="shared" si="2"/>
        <v>176381</v>
      </c>
      <c r="J41" s="1710">
        <f t="shared" si="2"/>
        <v>610741</v>
      </c>
      <c r="K41" s="1710">
        <f t="shared" si="2"/>
        <v>120348</v>
      </c>
      <c r="L41" s="1710">
        <f t="shared" si="2"/>
        <v>38734</v>
      </c>
      <c r="M41" s="1710">
        <f>SUM(M40)</f>
        <v>1478895</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37" sqref="A37:F37"/>
      <selection pane="bottomLeft" activeCell="A37" sqref="A37:F3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2133823</v>
      </c>
      <c r="D4" s="1764">
        <f>'Revenues 9-14'!D109</f>
        <v>302709</v>
      </c>
      <c r="E4" s="1764">
        <f>'Revenues 9-14'!E109</f>
        <v>112856</v>
      </c>
      <c r="F4" s="1764">
        <f>'Revenues 9-14'!F109</f>
        <v>121886</v>
      </c>
      <c r="G4" s="1764">
        <f>'Revenues 9-14'!G109</f>
        <v>114260</v>
      </c>
      <c r="H4" s="1764">
        <f>'Revenues 9-14'!H109</f>
        <v>0</v>
      </c>
      <c r="I4" s="1764">
        <f>'Revenues 9-14'!I109</f>
        <v>30130</v>
      </c>
      <c r="J4" s="1764">
        <f>'Revenues 9-14'!J109</f>
        <v>284780</v>
      </c>
      <c r="K4" s="1764">
        <f>'Revenues 9-14'!K109</f>
        <v>30023</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414943</v>
      </c>
      <c r="D6" s="1765">
        <f>'Revenues 9-14'!D173</f>
        <v>0</v>
      </c>
      <c r="E6" s="1765">
        <f>'Revenues 9-14'!E173</f>
        <v>0</v>
      </c>
      <c r="F6" s="1765">
        <f>'Revenues 9-14'!F173</f>
        <v>255118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200717</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2749483</v>
      </c>
      <c r="D8" s="1710">
        <f t="shared" ref="D8:K8" si="0">SUM(D4:D7)</f>
        <v>302709</v>
      </c>
      <c r="E8" s="1710">
        <f t="shared" si="0"/>
        <v>112856</v>
      </c>
      <c r="F8" s="1710">
        <f t="shared" si="0"/>
        <v>377004</v>
      </c>
      <c r="G8" s="1710">
        <f t="shared" si="0"/>
        <v>114260</v>
      </c>
      <c r="H8" s="1710">
        <f t="shared" si="0"/>
        <v>0</v>
      </c>
      <c r="I8" s="1710">
        <f t="shared" si="0"/>
        <v>30130</v>
      </c>
      <c r="J8" s="1710">
        <f t="shared" si="0"/>
        <v>284780</v>
      </c>
      <c r="K8" s="1710">
        <f t="shared" si="0"/>
        <v>30023</v>
      </c>
      <c r="L8" s="347"/>
    </row>
    <row r="9" spans="1:13" ht="15.75" thickTop="1" x14ac:dyDescent="0.2">
      <c r="A9" s="514" t="s">
        <v>1752</v>
      </c>
      <c r="B9" s="515">
        <v>3998</v>
      </c>
      <c r="C9" s="481">
        <v>833032</v>
      </c>
      <c r="D9" s="516"/>
      <c r="E9" s="481"/>
      <c r="F9" s="481"/>
      <c r="G9" s="517"/>
      <c r="H9" s="481"/>
      <c r="I9" s="509" t="s">
        <v>1231</v>
      </c>
      <c r="J9" s="478"/>
      <c r="K9" s="481"/>
      <c r="L9" s="347"/>
    </row>
    <row r="10" spans="1:13" s="519" customFormat="1" ht="13.5" thickBot="1" x14ac:dyDescent="0.25">
      <c r="A10" s="1758" t="s">
        <v>1235</v>
      </c>
      <c r="B10" s="1731"/>
      <c r="C10" s="1710">
        <f>SUM(C8:C9)</f>
        <v>3582515</v>
      </c>
      <c r="D10" s="1710">
        <f t="shared" ref="D10:K10" si="1">SUM(D8:D9)</f>
        <v>302709</v>
      </c>
      <c r="E10" s="1710">
        <f t="shared" si="1"/>
        <v>112856</v>
      </c>
      <c r="F10" s="1710">
        <f t="shared" si="1"/>
        <v>377004</v>
      </c>
      <c r="G10" s="1710">
        <f t="shared" si="1"/>
        <v>114260</v>
      </c>
      <c r="H10" s="1710">
        <f t="shared" si="1"/>
        <v>0</v>
      </c>
      <c r="I10" s="1710">
        <f t="shared" si="1"/>
        <v>30130</v>
      </c>
      <c r="J10" s="1710">
        <f t="shared" si="1"/>
        <v>284780</v>
      </c>
      <c r="K10" s="1710">
        <f t="shared" si="1"/>
        <v>30023</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1452905</v>
      </c>
      <c r="D12" s="520" t="s">
        <v>1231</v>
      </c>
      <c r="E12" s="468" t="s">
        <v>1231</v>
      </c>
      <c r="F12" s="468" t="s">
        <v>1231</v>
      </c>
      <c r="G12" s="1764">
        <f>'Expenditures 15-22'!K229</f>
        <v>30372</v>
      </c>
      <c r="H12" s="521"/>
      <c r="I12" s="468" t="s">
        <v>1231</v>
      </c>
      <c r="J12" s="468" t="s">
        <v>1231</v>
      </c>
      <c r="K12" s="521" t="s">
        <v>1231</v>
      </c>
      <c r="L12" s="347"/>
    </row>
    <row r="13" spans="1:13" ht="15.75" customHeight="1" x14ac:dyDescent="0.2">
      <c r="A13" s="1598" t="s">
        <v>477</v>
      </c>
      <c r="B13" s="1600">
        <v>2000</v>
      </c>
      <c r="C13" s="1765">
        <f>'Expenditures 15-22'!K74</f>
        <v>706595</v>
      </c>
      <c r="D13" s="1765">
        <f>'Expenditures 15-22'!K129</f>
        <v>217993</v>
      </c>
      <c r="E13" s="469" t="s">
        <v>1231</v>
      </c>
      <c r="F13" s="1765">
        <f>'Expenditures 15-22'!K184</f>
        <v>259904</v>
      </c>
      <c r="G13" s="1765">
        <f>'Expenditures 15-22'!K279</f>
        <v>52530</v>
      </c>
      <c r="H13" s="1765">
        <f>'Expenditures 15-22'!K303</f>
        <v>0</v>
      </c>
      <c r="I13" s="468" t="s">
        <v>1231</v>
      </c>
      <c r="J13" s="1765">
        <f>'Expenditures 15-22'!K330</f>
        <v>207037</v>
      </c>
      <c r="K13" s="1769">
        <f>'Expenditures 15-22'!K352</f>
        <v>12546</v>
      </c>
      <c r="L13" s="347"/>
    </row>
    <row r="14" spans="1:13" ht="15.75" customHeight="1" x14ac:dyDescent="0.2">
      <c r="A14" s="1598" t="s">
        <v>469</v>
      </c>
      <c r="B14" s="1600">
        <v>3000</v>
      </c>
      <c r="C14" s="1765">
        <f>'Expenditures 15-22'!K75</f>
        <v>10700</v>
      </c>
      <c r="D14" s="1765">
        <f>'Expenditures 15-22'!K130</f>
        <v>0</v>
      </c>
      <c r="E14" s="520" t="s">
        <v>1231</v>
      </c>
      <c r="F14" s="1765">
        <f>'Expenditures 15-22'!K185</f>
        <v>0</v>
      </c>
      <c r="G14" s="1765">
        <f>'Expenditures 15-22'!K280</f>
        <v>102</v>
      </c>
      <c r="H14" s="512"/>
      <c r="I14" s="468" t="s">
        <v>1231</v>
      </c>
      <c r="J14" s="468" t="s">
        <v>1231</v>
      </c>
      <c r="K14" s="512" t="s">
        <v>1231</v>
      </c>
      <c r="L14" s="347"/>
    </row>
    <row r="15" spans="1:13" ht="15.75" customHeight="1" x14ac:dyDescent="0.2">
      <c r="A15" s="1598" t="s">
        <v>109</v>
      </c>
      <c r="B15" s="1600">
        <v>4000</v>
      </c>
      <c r="C15" s="1765">
        <f>'Expenditures 15-22'!K102</f>
        <v>587407</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102625</v>
      </c>
      <c r="F16" s="1765">
        <f>'Expenditures 15-22'!K208</f>
        <v>236</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2757607</v>
      </c>
      <c r="D17" s="1710">
        <f t="shared" si="2"/>
        <v>217993</v>
      </c>
      <c r="E17" s="1710">
        <f t="shared" si="2"/>
        <v>102625</v>
      </c>
      <c r="F17" s="1710">
        <f t="shared" si="2"/>
        <v>260140</v>
      </c>
      <c r="G17" s="1710">
        <f t="shared" si="2"/>
        <v>83004</v>
      </c>
      <c r="H17" s="1710">
        <f t="shared" si="2"/>
        <v>0</v>
      </c>
      <c r="I17" s="468"/>
      <c r="J17" s="1710">
        <f>SUM(J12:J16)</f>
        <v>207037</v>
      </c>
      <c r="K17" s="1710">
        <f>SUM(K12:K16)</f>
        <v>12546</v>
      </c>
      <c r="L17" s="347"/>
    </row>
    <row r="18" spans="1:12" ht="15" customHeight="1" thickTop="1" x14ac:dyDescent="0.2">
      <c r="A18" s="1766" t="s">
        <v>1753</v>
      </c>
      <c r="B18" s="1767">
        <v>4180</v>
      </c>
      <c r="C18" s="1764">
        <f t="shared" ref="C18:H18" si="3">C9</f>
        <v>833032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3590639</v>
      </c>
      <c r="D19" s="1710">
        <f t="shared" si="4"/>
        <v>217993</v>
      </c>
      <c r="E19" s="1710">
        <f t="shared" si="4"/>
        <v>102625</v>
      </c>
      <c r="F19" s="1710">
        <f t="shared" si="4"/>
        <v>260140</v>
      </c>
      <c r="G19" s="1710">
        <f t="shared" si="4"/>
        <v>83004</v>
      </c>
      <c r="H19" s="1710">
        <f t="shared" si="4"/>
        <v>0</v>
      </c>
      <c r="I19" s="468"/>
      <c r="J19" s="1710">
        <f>SUM(J17:J18)</f>
        <v>207037</v>
      </c>
      <c r="K19" s="1710">
        <f>SUM(K17:K18)</f>
        <v>12546</v>
      </c>
      <c r="L19" s="347"/>
    </row>
    <row r="20" spans="1:12" ht="16.5" thickTop="1" thickBot="1" x14ac:dyDescent="0.25">
      <c r="A20" s="2142" t="s">
        <v>1754</v>
      </c>
      <c r="B20" s="2143"/>
      <c r="C20" s="1768">
        <f>C8-C17</f>
        <v>-8124</v>
      </c>
      <c r="D20" s="1768">
        <f t="shared" ref="D20:K20" si="5">D8-D17</f>
        <v>84716</v>
      </c>
      <c r="E20" s="1768">
        <f t="shared" si="5"/>
        <v>10231</v>
      </c>
      <c r="F20" s="1768">
        <f t="shared" si="5"/>
        <v>116864</v>
      </c>
      <c r="G20" s="1768">
        <f t="shared" si="5"/>
        <v>31256</v>
      </c>
      <c r="H20" s="1768">
        <f t="shared" si="5"/>
        <v>0</v>
      </c>
      <c r="I20" s="1768">
        <f t="shared" si="5"/>
        <v>30130</v>
      </c>
      <c r="J20" s="1768">
        <f t="shared" si="5"/>
        <v>77743</v>
      </c>
      <c r="K20" s="1768">
        <f t="shared" si="5"/>
        <v>17477</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v>108418</v>
      </c>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5">
        <f>SUM(C24:C43)</f>
        <v>108418</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v>108418</v>
      </c>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2" t="s">
        <v>460</v>
      </c>
      <c r="B76" s="2133"/>
      <c r="C76" s="1725">
        <f t="shared" ref="C76:K76" si="7">SUM(C47:C75)</f>
        <v>0</v>
      </c>
      <c r="D76" s="1725">
        <f t="shared" si="7"/>
        <v>0</v>
      </c>
      <c r="E76" s="1725">
        <f t="shared" si="7"/>
        <v>108418</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4" t="s">
        <v>1239</v>
      </c>
      <c r="B77" s="2135"/>
      <c r="C77" s="1725">
        <f t="shared" ref="C77:K77" si="8">C44-C76</f>
        <v>108418</v>
      </c>
      <c r="D77" s="1725">
        <f t="shared" si="8"/>
        <v>0</v>
      </c>
      <c r="E77" s="1725">
        <f t="shared" si="8"/>
        <v>-108418</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8" t="s">
        <v>618</v>
      </c>
      <c r="B78" s="2139"/>
      <c r="C78" s="1724">
        <f t="shared" ref="C78:K78" si="9">C20+C77</f>
        <v>100294</v>
      </c>
      <c r="D78" s="1724">
        <f t="shared" si="9"/>
        <v>84716</v>
      </c>
      <c r="E78" s="1724">
        <f t="shared" si="9"/>
        <v>-98187</v>
      </c>
      <c r="F78" s="1724">
        <f t="shared" si="9"/>
        <v>116864</v>
      </c>
      <c r="G78" s="1724">
        <f t="shared" si="9"/>
        <v>31256</v>
      </c>
      <c r="H78" s="1724">
        <f t="shared" si="9"/>
        <v>0</v>
      </c>
      <c r="I78" s="1724">
        <f t="shared" si="9"/>
        <v>30130</v>
      </c>
      <c r="J78" s="1724">
        <f t="shared" si="9"/>
        <v>77743</v>
      </c>
      <c r="K78" s="1724">
        <f t="shared" si="9"/>
        <v>17477</v>
      </c>
      <c r="L78" s="533"/>
    </row>
    <row r="79" spans="1:12" ht="13.5" thickTop="1" x14ac:dyDescent="0.2">
      <c r="A79" s="1516" t="s">
        <v>2071</v>
      </c>
      <c r="B79" s="534"/>
      <c r="C79" s="478">
        <v>524503</v>
      </c>
      <c r="D79" s="535">
        <v>344612</v>
      </c>
      <c r="E79" s="535">
        <v>98187</v>
      </c>
      <c r="F79" s="535">
        <v>190540</v>
      </c>
      <c r="G79" s="535">
        <v>285248</v>
      </c>
      <c r="H79" s="535"/>
      <c r="I79" s="535">
        <v>146251</v>
      </c>
      <c r="J79" s="535">
        <v>532998</v>
      </c>
      <c r="K79" s="535">
        <v>102871</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2072</v>
      </c>
      <c r="B81" s="2137"/>
      <c r="C81" s="1710">
        <f>(SUM(C78:C80))</f>
        <v>624797</v>
      </c>
      <c r="D81" s="1710">
        <f>SUM(D78:D80)</f>
        <v>429328</v>
      </c>
      <c r="E81" s="1710">
        <f t="shared" ref="E81:K81" si="10">SUM(E78:E80)</f>
        <v>0</v>
      </c>
      <c r="F81" s="1710">
        <f t="shared" si="10"/>
        <v>307404</v>
      </c>
      <c r="G81" s="1710">
        <f t="shared" si="10"/>
        <v>316504</v>
      </c>
      <c r="H81" s="1710">
        <f t="shared" si="10"/>
        <v>0</v>
      </c>
      <c r="I81" s="1710">
        <f t="shared" si="10"/>
        <v>176381</v>
      </c>
      <c r="J81" s="1710">
        <f t="shared" si="10"/>
        <v>610741</v>
      </c>
      <c r="K81" s="1710">
        <f t="shared" si="10"/>
        <v>120348</v>
      </c>
      <c r="L81" s="347"/>
    </row>
    <row r="82" spans="1:12" ht="0.75" customHeight="1" thickTop="1" thickBot="1" x14ac:dyDescent="0.25">
      <c r="A82" s="536" t="s">
        <v>361</v>
      </c>
      <c r="B82" s="537"/>
      <c r="C82" s="538">
        <f>(C81-C79)</f>
        <v>100294</v>
      </c>
      <c r="D82" s="538">
        <f t="shared" ref="D82:K82" si="11">(D81-D79)</f>
        <v>84716</v>
      </c>
      <c r="E82" s="538">
        <f t="shared" si="11"/>
        <v>-98187</v>
      </c>
      <c r="F82" s="538">
        <f t="shared" si="11"/>
        <v>116864</v>
      </c>
      <c r="G82" s="538">
        <f t="shared" si="11"/>
        <v>31256</v>
      </c>
      <c r="H82" s="538">
        <f t="shared" si="11"/>
        <v>0</v>
      </c>
      <c r="I82" s="538">
        <f t="shared" si="11"/>
        <v>30130</v>
      </c>
      <c r="J82" s="538">
        <f t="shared" si="11"/>
        <v>77743</v>
      </c>
      <c r="K82" s="538">
        <f t="shared" si="11"/>
        <v>17477</v>
      </c>
    </row>
    <row r="83" spans="1:12" ht="14.25" hidden="1" thickTop="1" thickBot="1" x14ac:dyDescent="0.25">
      <c r="A83" s="539" t="s">
        <v>362</v>
      </c>
      <c r="B83" s="464"/>
      <c r="C83" s="540">
        <f>C82/C81</f>
        <v>0.16052253772025155</v>
      </c>
      <c r="D83" s="540">
        <f t="shared" ref="D83:K83" si="12">D82/D81</f>
        <v>0.1973223269854284</v>
      </c>
      <c r="E83" s="540" t="e">
        <f t="shared" si="12"/>
        <v>#DIV/0!</v>
      </c>
      <c r="F83" s="540">
        <f t="shared" si="12"/>
        <v>0.38016421386839466</v>
      </c>
      <c r="G83" s="540">
        <f t="shared" si="12"/>
        <v>9.8753886206809388E-2</v>
      </c>
      <c r="H83" s="540" t="e">
        <f t="shared" si="12"/>
        <v>#DIV/0!</v>
      </c>
      <c r="I83" s="540">
        <f t="shared" si="12"/>
        <v>0.17082338800664471</v>
      </c>
      <c r="J83" s="540">
        <f t="shared" si="12"/>
        <v>0.12729291139779383</v>
      </c>
      <c r="K83" s="540">
        <f t="shared" si="12"/>
        <v>0.14522052713796657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37" sqref="A37:F3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1405636</v>
      </c>
      <c r="D5" s="481">
        <v>275616</v>
      </c>
      <c r="E5" s="466">
        <v>104002</v>
      </c>
      <c r="F5" s="548">
        <v>110247</v>
      </c>
      <c r="G5" s="466">
        <v>29953</v>
      </c>
      <c r="H5" s="466"/>
      <c r="I5" s="466">
        <v>27562</v>
      </c>
      <c r="J5" s="467">
        <v>259574</v>
      </c>
      <c r="K5" s="466">
        <v>27562</v>
      </c>
    </row>
    <row r="6" spans="1:12" ht="15" x14ac:dyDescent="0.2">
      <c r="A6" s="463" t="s">
        <v>1761</v>
      </c>
      <c r="B6" s="470">
        <v>1130</v>
      </c>
      <c r="C6" s="466">
        <v>27562</v>
      </c>
      <c r="D6" s="466"/>
      <c r="E6" s="475"/>
      <c r="F6" s="475"/>
      <c r="G6" s="468"/>
      <c r="H6" s="468"/>
      <c r="I6" s="468"/>
      <c r="J6" s="468"/>
      <c r="K6" s="468"/>
    </row>
    <row r="7" spans="1:12" x14ac:dyDescent="0.2">
      <c r="A7" s="463" t="s">
        <v>112</v>
      </c>
      <c r="B7" s="549">
        <v>1140</v>
      </c>
      <c r="C7" s="466">
        <v>22050</v>
      </c>
      <c r="D7" s="466"/>
      <c r="E7" s="468"/>
      <c r="F7" s="467"/>
      <c r="G7" s="467"/>
      <c r="H7" s="467"/>
      <c r="I7" s="468"/>
      <c r="J7" s="468"/>
      <c r="K7" s="468"/>
    </row>
    <row r="8" spans="1:12" x14ac:dyDescent="0.2">
      <c r="A8" s="463" t="s">
        <v>433</v>
      </c>
      <c r="B8" s="470">
        <v>1150</v>
      </c>
      <c r="C8" s="475"/>
      <c r="D8" s="475"/>
      <c r="E8" s="477"/>
      <c r="F8" s="477"/>
      <c r="G8" s="481">
        <v>74879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1455248</v>
      </c>
      <c r="D12" s="1729">
        <f t="shared" si="0"/>
        <v>275616</v>
      </c>
      <c r="E12" s="1729">
        <f t="shared" si="0"/>
        <v>104002</v>
      </c>
      <c r="F12" s="1729">
        <f t="shared" si="0"/>
        <v>110247</v>
      </c>
      <c r="G12" s="1729">
        <f t="shared" si="0"/>
        <v>104832</v>
      </c>
      <c r="H12" s="1729">
        <f t="shared" si="0"/>
        <v>0</v>
      </c>
      <c r="I12" s="1729">
        <f t="shared" si="0"/>
        <v>27562</v>
      </c>
      <c r="J12" s="1729">
        <f t="shared" si="0"/>
        <v>259574</v>
      </c>
      <c r="K12" s="1710">
        <f t="shared" si="0"/>
        <v>27562</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731</v>
      </c>
      <c r="D14" s="466">
        <v>139</v>
      </c>
      <c r="E14" s="466">
        <v>52</v>
      </c>
      <c r="F14" s="466">
        <v>55</v>
      </c>
      <c r="G14" s="466">
        <v>53</v>
      </c>
      <c r="H14" s="466"/>
      <c r="I14" s="466">
        <v>14</v>
      </c>
      <c r="J14" s="467">
        <v>130</v>
      </c>
      <c r="K14" s="466">
        <v>14</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82364</v>
      </c>
      <c r="D16" s="466"/>
      <c r="E16" s="466"/>
      <c r="F16" s="466"/>
      <c r="G16" s="466"/>
      <c r="H16" s="466"/>
      <c r="I16" s="466"/>
      <c r="J16" s="467"/>
      <c r="K16" s="466"/>
    </row>
    <row r="17" spans="1:11" ht="12.75" customHeight="1" x14ac:dyDescent="0.2">
      <c r="A17" s="463" t="s">
        <v>840</v>
      </c>
      <c r="B17" s="470">
        <v>1290</v>
      </c>
      <c r="C17" s="551">
        <v>133068</v>
      </c>
      <c r="D17" s="466">
        <v>25755</v>
      </c>
      <c r="E17" s="466">
        <v>8585</v>
      </c>
      <c r="F17" s="466">
        <v>10731</v>
      </c>
      <c r="G17" s="466">
        <v>8585</v>
      </c>
      <c r="H17" s="466"/>
      <c r="I17" s="466">
        <v>2146</v>
      </c>
      <c r="J17" s="467">
        <v>23609</v>
      </c>
      <c r="K17" s="466">
        <v>2146</v>
      </c>
    </row>
    <row r="18" spans="1:11" ht="12.75" customHeight="1" thickBot="1" x14ac:dyDescent="0.25">
      <c r="A18" s="1730" t="s">
        <v>558</v>
      </c>
      <c r="B18" s="1731"/>
      <c r="C18" s="1732">
        <f>SUM(C14:C17)</f>
        <v>216163</v>
      </c>
      <c r="D18" s="1732">
        <f t="shared" ref="D18:K18" si="1">SUM(D14:D17)</f>
        <v>25894</v>
      </c>
      <c r="E18" s="1732">
        <f t="shared" si="1"/>
        <v>8637</v>
      </c>
      <c r="F18" s="1732">
        <f t="shared" si="1"/>
        <v>10786</v>
      </c>
      <c r="G18" s="1732">
        <f t="shared" si="1"/>
        <v>8638</v>
      </c>
      <c r="H18" s="1732">
        <f t="shared" si="1"/>
        <v>0</v>
      </c>
      <c r="I18" s="1732">
        <f t="shared" si="1"/>
        <v>2160</v>
      </c>
      <c r="J18" s="1732">
        <f t="shared" si="1"/>
        <v>23739</v>
      </c>
      <c r="K18" s="1733">
        <f t="shared" si="1"/>
        <v>2160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v>344632</v>
      </c>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344632</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2671</v>
      </c>
      <c r="D65" s="466">
        <v>1154</v>
      </c>
      <c r="E65" s="466">
        <v>217</v>
      </c>
      <c r="F65" s="467">
        <v>607</v>
      </c>
      <c r="G65" s="466">
        <v>790</v>
      </c>
      <c r="H65" s="466"/>
      <c r="I65" s="466">
        <v>408</v>
      </c>
      <c r="J65" s="467">
        <v>1467</v>
      </c>
      <c r="K65" s="466">
        <v>301</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2671</v>
      </c>
      <c r="D67" s="1710">
        <f t="shared" ref="D67:K67" si="2">SUM(D65:D66)</f>
        <v>1154</v>
      </c>
      <c r="E67" s="1710">
        <f t="shared" si="2"/>
        <v>217</v>
      </c>
      <c r="F67" s="1710">
        <f t="shared" si="2"/>
        <v>607</v>
      </c>
      <c r="G67" s="1710">
        <f t="shared" si="2"/>
        <v>790</v>
      </c>
      <c r="H67" s="1710">
        <f t="shared" si="2"/>
        <v>0</v>
      </c>
      <c r="I67" s="1710">
        <f t="shared" si="2"/>
        <v>408</v>
      </c>
      <c r="J67" s="1710">
        <f t="shared" si="2"/>
        <v>1467</v>
      </c>
      <c r="K67" s="1710">
        <f t="shared" si="2"/>
        <v>301</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44935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2886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47821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12371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8499</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20870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16124</v>
      </c>
      <c r="D95" s="551">
        <v>45</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30294</v>
      </c>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v>246</v>
      </c>
      <c r="G107" s="466"/>
      <c r="H107" s="466"/>
      <c r="I107" s="466"/>
      <c r="J107" s="467"/>
      <c r="K107" s="466"/>
    </row>
    <row r="108" spans="1:12" ht="12.75" customHeight="1" thickBot="1" x14ac:dyDescent="0.25">
      <c r="A108" s="1730" t="s">
        <v>508</v>
      </c>
      <c r="B108" s="1734"/>
      <c r="C108" s="1729">
        <f>SUM(C95:C107)</f>
        <v>46418</v>
      </c>
      <c r="D108" s="1729">
        <f t="shared" ref="D108:K108" si="3">SUM(D95:D107)</f>
        <v>45</v>
      </c>
      <c r="E108" s="1729">
        <f t="shared" si="3"/>
        <v>0</v>
      </c>
      <c r="F108" s="1729">
        <f t="shared" si="3"/>
        <v>246</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2133823</v>
      </c>
      <c r="D109" s="1737">
        <f t="shared" si="4"/>
        <v>302709</v>
      </c>
      <c r="E109" s="1737">
        <f t="shared" si="4"/>
        <v>112856</v>
      </c>
      <c r="F109" s="1737">
        <f t="shared" si="4"/>
        <v>121886</v>
      </c>
      <c r="G109" s="1737">
        <f t="shared" si="4"/>
        <v>114260</v>
      </c>
      <c r="H109" s="1737">
        <f t="shared" si="4"/>
        <v>0</v>
      </c>
      <c r="I109" s="1737">
        <f t="shared" si="4"/>
        <v>30130</v>
      </c>
      <c r="J109" s="1737">
        <f t="shared" si="4"/>
        <v>284780</v>
      </c>
      <c r="K109" s="1724">
        <f t="shared" si="4"/>
        <v>30023</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310355</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310355</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17329</v>
      </c>
      <c r="D125" s="561"/>
      <c r="E125" s="468"/>
      <c r="F125" s="466"/>
      <c r="G125" s="468"/>
      <c r="H125" s="468"/>
      <c r="I125" s="468"/>
      <c r="J125" s="468"/>
      <c r="K125" s="468"/>
    </row>
    <row r="126" spans="1:11" ht="12.75" customHeight="1" x14ac:dyDescent="0.2">
      <c r="A126" s="463" t="s">
        <v>922</v>
      </c>
      <c r="B126" s="562">
        <v>3110</v>
      </c>
      <c r="C126" s="551">
        <v>23650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40979</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922</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182354</v>
      </c>
      <c r="G151" s="467"/>
      <c r="H151" s="468"/>
      <c r="I151" s="468"/>
      <c r="J151" s="468"/>
      <c r="K151" s="468"/>
    </row>
    <row r="152" spans="1:11" ht="12.75" customHeight="1" x14ac:dyDescent="0.2">
      <c r="A152" s="463" t="s">
        <v>1117</v>
      </c>
      <c r="B152" s="562">
        <v>3510</v>
      </c>
      <c r="C152" s="551"/>
      <c r="D152" s="466"/>
      <c r="E152" s="561"/>
      <c r="F152" s="466">
        <v>72764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255118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62687</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0" t="s">
        <v>418</v>
      </c>
      <c r="B172" s="2161"/>
      <c r="C172" s="1744">
        <f t="shared" ref="C172:K172" si="6">SUM(C131,C140,C144,C145:C149,C154,C155:C170,C171)</f>
        <v>104588</v>
      </c>
      <c r="D172" s="1744">
        <f t="shared" si="6"/>
        <v>0</v>
      </c>
      <c r="E172" s="1744">
        <f t="shared" si="6"/>
        <v>0</v>
      </c>
      <c r="F172" s="1744">
        <f t="shared" si="6"/>
        <v>255118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414943</v>
      </c>
      <c r="D173" s="1737">
        <f>SUM(D121,D172)</f>
        <v>0</v>
      </c>
      <c r="E173" s="1737">
        <f>SUM(E121,E172)</f>
        <v>0</v>
      </c>
      <c r="F173" s="1737">
        <f t="shared" ref="F173:K173" si="7">SUM(F121,F172)</f>
        <v>255118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38345</v>
      </c>
      <c r="D183" s="466"/>
      <c r="E183" s="468"/>
      <c r="F183" s="466"/>
      <c r="G183" s="466"/>
      <c r="H183" s="466"/>
      <c r="I183" s="468"/>
      <c r="J183" s="468"/>
      <c r="K183" s="466"/>
    </row>
    <row r="184" spans="1:11" ht="13.5" thickBot="1" x14ac:dyDescent="0.25">
      <c r="A184" s="2168" t="s">
        <v>818</v>
      </c>
      <c r="B184" s="2169"/>
      <c r="C184" s="1729">
        <f>SUM(C180:C183)</f>
        <v>38345</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58741</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13890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72631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77908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77908</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359</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359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11474</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162372</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200717</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2749483</v>
      </c>
      <c r="D275" s="1737">
        <f t="shared" si="12"/>
        <v>302709</v>
      </c>
      <c r="E275" s="1737">
        <f t="shared" si="12"/>
        <v>112856</v>
      </c>
      <c r="F275" s="1737">
        <f t="shared" si="12"/>
        <v>377004</v>
      </c>
      <c r="G275" s="1737">
        <f t="shared" si="12"/>
        <v>114260</v>
      </c>
      <c r="H275" s="1737">
        <f t="shared" si="12"/>
        <v>0</v>
      </c>
      <c r="I275" s="1737">
        <f t="shared" si="12"/>
        <v>30130</v>
      </c>
      <c r="J275" s="1737">
        <f t="shared" si="12"/>
        <v>284780</v>
      </c>
      <c r="K275" s="1724">
        <f t="shared" si="12"/>
        <v>30023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41" activePane="bottomLeft" state="frozen"/>
      <selection activeCell="A37" sqref="A37:F37"/>
      <selection pane="bottomLeft" activeCell="A37" sqref="A37:F3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683858</v>
      </c>
      <c r="D5" s="466">
        <v>129251</v>
      </c>
      <c r="E5" s="466">
        <v>80016</v>
      </c>
      <c r="F5" s="466">
        <v>112873</v>
      </c>
      <c r="G5" s="466">
        <v>25890</v>
      </c>
      <c r="H5" s="466">
        <v>1403</v>
      </c>
      <c r="I5" s="467"/>
      <c r="J5" s="467"/>
      <c r="K5" s="1693">
        <f>SUM(C5:J5)</f>
        <v>1033291</v>
      </c>
      <c r="L5" s="466">
        <v>1160219</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42949</v>
      </c>
      <c r="D7" s="467">
        <v>9030</v>
      </c>
      <c r="E7" s="467">
        <v>26383</v>
      </c>
      <c r="F7" s="467">
        <v>47936</v>
      </c>
      <c r="G7" s="467"/>
      <c r="H7" s="467"/>
      <c r="I7" s="467"/>
      <c r="J7" s="467"/>
      <c r="K7" s="1693">
        <f t="shared" ref="K7:K32" si="0">SUM(C7:J7)</f>
        <v>126298</v>
      </c>
      <c r="L7" s="466">
        <v>150453</v>
      </c>
    </row>
    <row r="8" spans="1:14" x14ac:dyDescent="0.2">
      <c r="A8" s="1526" t="s">
        <v>166</v>
      </c>
      <c r="B8" s="615">
        <v>1200</v>
      </c>
      <c r="C8" s="466">
        <v>143602</v>
      </c>
      <c r="D8" s="466">
        <v>14564</v>
      </c>
      <c r="E8" s="466">
        <v>51485</v>
      </c>
      <c r="F8" s="466">
        <v>31</v>
      </c>
      <c r="G8" s="466"/>
      <c r="H8" s="466"/>
      <c r="I8" s="467"/>
      <c r="J8" s="467"/>
      <c r="K8" s="1693">
        <f t="shared" si="0"/>
        <v>209682</v>
      </c>
      <c r="L8" s="466">
        <v>236296</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34118</v>
      </c>
      <c r="D10" s="466">
        <v>10912</v>
      </c>
      <c r="E10" s="466">
        <v>2939</v>
      </c>
      <c r="F10" s="466">
        <v>100</v>
      </c>
      <c r="G10" s="466"/>
      <c r="H10" s="466"/>
      <c r="I10" s="467"/>
      <c r="J10" s="467"/>
      <c r="K10" s="1693">
        <f t="shared" si="0"/>
        <v>48069</v>
      </c>
      <c r="L10" s="466">
        <v>86716</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24360</v>
      </c>
      <c r="D14" s="466">
        <v>245</v>
      </c>
      <c r="E14" s="466">
        <v>8193</v>
      </c>
      <c r="F14" s="466">
        <v>2087</v>
      </c>
      <c r="G14" s="466"/>
      <c r="H14" s="466">
        <v>680</v>
      </c>
      <c r="I14" s="467"/>
      <c r="J14" s="467"/>
      <c r="K14" s="1693">
        <f t="shared" si="0"/>
        <v>35565</v>
      </c>
      <c r="L14" s="466">
        <v>53740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928887</v>
      </c>
      <c r="D33" s="1692">
        <f t="shared" ref="D33:L33" si="1">SUM(D5:D32)</f>
        <v>164002</v>
      </c>
      <c r="E33" s="1692">
        <f t="shared" si="1"/>
        <v>169016</v>
      </c>
      <c r="F33" s="1692">
        <f t="shared" si="1"/>
        <v>163027</v>
      </c>
      <c r="G33" s="1692">
        <f t="shared" si="1"/>
        <v>25890</v>
      </c>
      <c r="H33" s="1692">
        <f t="shared" si="1"/>
        <v>2083</v>
      </c>
      <c r="I33" s="1692">
        <f t="shared" si="1"/>
        <v>0</v>
      </c>
      <c r="J33" s="1692">
        <f t="shared" si="1"/>
        <v>0</v>
      </c>
      <c r="K33" s="1692">
        <f t="shared" si="1"/>
        <v>1452905</v>
      </c>
      <c r="L33" s="1692">
        <f t="shared" si="1"/>
        <v>1687424</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v>13228</v>
      </c>
      <c r="F36" s="481"/>
      <c r="G36" s="481"/>
      <c r="H36" s="481"/>
      <c r="I36" s="467"/>
      <c r="J36" s="467"/>
      <c r="K36" s="1693">
        <f t="shared" ref="K36:K41" si="2">SUM(C36:J36)</f>
        <v>13228</v>
      </c>
      <c r="L36" s="466"/>
    </row>
    <row r="37" spans="1:14" x14ac:dyDescent="0.2">
      <c r="A37" s="1526" t="s">
        <v>1151</v>
      </c>
      <c r="B37" s="615">
        <v>2120</v>
      </c>
      <c r="C37" s="466">
        <v>574</v>
      </c>
      <c r="D37" s="466"/>
      <c r="E37" s="466"/>
      <c r="F37" s="466"/>
      <c r="G37" s="466"/>
      <c r="H37" s="466"/>
      <c r="I37" s="467"/>
      <c r="J37" s="467"/>
      <c r="K37" s="1693">
        <f t="shared" si="2"/>
        <v>574</v>
      </c>
      <c r="L37" s="466"/>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v>14625</v>
      </c>
      <c r="F39" s="466"/>
      <c r="G39" s="466"/>
      <c r="H39" s="466"/>
      <c r="I39" s="467"/>
      <c r="J39" s="467"/>
      <c r="K39" s="1693">
        <f t="shared" si="2"/>
        <v>14625</v>
      </c>
      <c r="L39" s="466">
        <v>25800</v>
      </c>
    </row>
    <row r="40" spans="1:14" x14ac:dyDescent="0.2">
      <c r="A40" s="1526" t="s">
        <v>209</v>
      </c>
      <c r="B40" s="615">
        <v>2150</v>
      </c>
      <c r="C40" s="466">
        <v>48773</v>
      </c>
      <c r="D40" s="466">
        <v>9136</v>
      </c>
      <c r="E40" s="466"/>
      <c r="F40" s="466"/>
      <c r="G40" s="466"/>
      <c r="H40" s="466"/>
      <c r="I40" s="467"/>
      <c r="J40" s="467"/>
      <c r="K40" s="1693">
        <f t="shared" si="2"/>
        <v>57909</v>
      </c>
      <c r="L40" s="466">
        <v>46803</v>
      </c>
    </row>
    <row r="41" spans="1:14" x14ac:dyDescent="0.2">
      <c r="A41" s="1526" t="s">
        <v>1768</v>
      </c>
      <c r="B41" s="615">
        <v>2190</v>
      </c>
      <c r="C41" s="466">
        <v>67439</v>
      </c>
      <c r="D41" s="466">
        <v>679</v>
      </c>
      <c r="E41" s="466"/>
      <c r="F41" s="466"/>
      <c r="G41" s="466"/>
      <c r="H41" s="466"/>
      <c r="I41" s="467"/>
      <c r="J41" s="467"/>
      <c r="K41" s="1693">
        <f t="shared" si="2"/>
        <v>68118</v>
      </c>
      <c r="L41" s="466"/>
    </row>
    <row r="42" spans="1:14" ht="12.75" customHeight="1" thickBot="1" x14ac:dyDescent="0.25">
      <c r="A42" s="1690" t="s">
        <v>581</v>
      </c>
      <c r="B42" s="1691" t="s">
        <v>740</v>
      </c>
      <c r="C42" s="1692">
        <f>SUM(C36:C41)</f>
        <v>116786</v>
      </c>
      <c r="D42" s="1692">
        <f t="shared" ref="D42:L42" si="3">SUM(D36:D41)</f>
        <v>9815</v>
      </c>
      <c r="E42" s="1692">
        <f t="shared" si="3"/>
        <v>27853</v>
      </c>
      <c r="F42" s="1692">
        <f t="shared" si="3"/>
        <v>0</v>
      </c>
      <c r="G42" s="1692">
        <f t="shared" si="3"/>
        <v>0</v>
      </c>
      <c r="H42" s="1692">
        <f t="shared" si="3"/>
        <v>0</v>
      </c>
      <c r="I42" s="1692">
        <f t="shared" si="3"/>
        <v>0</v>
      </c>
      <c r="J42" s="1692">
        <f t="shared" si="3"/>
        <v>0</v>
      </c>
      <c r="K42" s="1692">
        <f t="shared" si="3"/>
        <v>154454</v>
      </c>
      <c r="L42" s="1692">
        <f t="shared" si="3"/>
        <v>72603</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v>5200</v>
      </c>
      <c r="E44" s="481">
        <v>4700</v>
      </c>
      <c r="F44" s="481"/>
      <c r="G44" s="481"/>
      <c r="H44" s="481"/>
      <c r="I44" s="467"/>
      <c r="J44" s="467"/>
      <c r="K44" s="1694">
        <f>SUM(C44:J44)</f>
        <v>9900</v>
      </c>
      <c r="L44" s="481">
        <v>5952</v>
      </c>
    </row>
    <row r="45" spans="1:14" x14ac:dyDescent="0.2">
      <c r="A45" s="1526" t="s">
        <v>869</v>
      </c>
      <c r="B45" s="615">
        <v>2220</v>
      </c>
      <c r="C45" s="466">
        <v>42321</v>
      </c>
      <c r="D45" s="466">
        <v>635</v>
      </c>
      <c r="E45" s="466"/>
      <c r="F45" s="466"/>
      <c r="G45" s="466"/>
      <c r="H45" s="466"/>
      <c r="I45" s="467"/>
      <c r="J45" s="467"/>
      <c r="K45" s="1694">
        <f>SUM(C45:J45)</f>
        <v>42956</v>
      </c>
      <c r="L45" s="466">
        <v>48016</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42321</v>
      </c>
      <c r="D47" s="1692">
        <f t="shared" ref="D47:K47" si="4">SUM(D44:D46)</f>
        <v>5835</v>
      </c>
      <c r="E47" s="1692">
        <f t="shared" si="4"/>
        <v>4700</v>
      </c>
      <c r="F47" s="1692">
        <f t="shared" si="4"/>
        <v>0</v>
      </c>
      <c r="G47" s="1692">
        <f t="shared" si="4"/>
        <v>0</v>
      </c>
      <c r="H47" s="1692">
        <f t="shared" si="4"/>
        <v>0</v>
      </c>
      <c r="I47" s="1692">
        <f t="shared" si="4"/>
        <v>0</v>
      </c>
      <c r="J47" s="1692">
        <f t="shared" si="4"/>
        <v>0</v>
      </c>
      <c r="K47" s="1692">
        <f t="shared" si="4"/>
        <v>52856</v>
      </c>
      <c r="L47" s="1692">
        <f>SUM(L44:L46)</f>
        <v>53968</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2946</v>
      </c>
      <c r="D49" s="481"/>
      <c r="E49" s="481">
        <v>25181</v>
      </c>
      <c r="F49" s="481"/>
      <c r="G49" s="481"/>
      <c r="H49" s="481">
        <v>3584</v>
      </c>
      <c r="I49" s="467"/>
      <c r="J49" s="467"/>
      <c r="K49" s="1694">
        <f>SUM(C49:J49)</f>
        <v>31711</v>
      </c>
      <c r="L49" s="481">
        <v>32936</v>
      </c>
    </row>
    <row r="50" spans="1:14" x14ac:dyDescent="0.2">
      <c r="A50" s="1526" t="s">
        <v>872</v>
      </c>
      <c r="B50" s="615">
        <v>2320</v>
      </c>
      <c r="C50" s="466">
        <v>89403</v>
      </c>
      <c r="D50" s="466">
        <v>38341</v>
      </c>
      <c r="E50" s="466">
        <v>6066</v>
      </c>
      <c r="F50" s="466"/>
      <c r="G50" s="466"/>
      <c r="H50" s="466">
        <v>520</v>
      </c>
      <c r="I50" s="467"/>
      <c r="J50" s="467"/>
      <c r="K50" s="1694">
        <f>SUM(C50:J50)</f>
        <v>134330</v>
      </c>
      <c r="L50" s="466">
        <v>153252</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92349</v>
      </c>
      <c r="D53" s="1692">
        <f t="shared" ref="D53:L53" si="5">SUM(D49:D52)</f>
        <v>38341</v>
      </c>
      <c r="E53" s="1692">
        <f t="shared" si="5"/>
        <v>31247</v>
      </c>
      <c r="F53" s="1692">
        <f t="shared" si="5"/>
        <v>0</v>
      </c>
      <c r="G53" s="1692">
        <f t="shared" si="5"/>
        <v>0</v>
      </c>
      <c r="H53" s="1692">
        <f t="shared" si="5"/>
        <v>4104</v>
      </c>
      <c r="I53" s="1692">
        <f t="shared" si="5"/>
        <v>0</v>
      </c>
      <c r="J53" s="1692">
        <f t="shared" si="5"/>
        <v>0</v>
      </c>
      <c r="K53" s="1692">
        <f t="shared" si="5"/>
        <v>166041</v>
      </c>
      <c r="L53" s="1692">
        <f t="shared" si="5"/>
        <v>186188</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80324</v>
      </c>
      <c r="D55" s="481">
        <v>14343</v>
      </c>
      <c r="E55" s="481"/>
      <c r="F55" s="481"/>
      <c r="G55" s="481"/>
      <c r="H55" s="481"/>
      <c r="I55" s="467"/>
      <c r="J55" s="467"/>
      <c r="K55" s="1694">
        <f>SUM(C55:J55)</f>
        <v>94667</v>
      </c>
      <c r="L55" s="481">
        <v>131159</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80324</v>
      </c>
      <c r="D57" s="1696">
        <f t="shared" ref="D57:K57" si="6">SUM(D55:D56)</f>
        <v>14343</v>
      </c>
      <c r="E57" s="1696">
        <f t="shared" si="6"/>
        <v>0</v>
      </c>
      <c r="F57" s="1696">
        <f t="shared" si="6"/>
        <v>0</v>
      </c>
      <c r="G57" s="1696">
        <f t="shared" si="6"/>
        <v>0</v>
      </c>
      <c r="H57" s="1696">
        <f t="shared" si="6"/>
        <v>0</v>
      </c>
      <c r="I57" s="1696">
        <f t="shared" si="6"/>
        <v>0</v>
      </c>
      <c r="J57" s="1696">
        <f t="shared" si="6"/>
        <v>0</v>
      </c>
      <c r="K57" s="1696">
        <f t="shared" si="6"/>
        <v>94667</v>
      </c>
      <c r="L57" s="1692">
        <f>SUM(L55:L56)</f>
        <v>131159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v>323</v>
      </c>
      <c r="F59" s="481"/>
      <c r="G59" s="481"/>
      <c r="H59" s="481"/>
      <c r="I59" s="467"/>
      <c r="J59" s="467"/>
      <c r="K59" s="1694">
        <f t="shared" ref="K59:K64" si="7">SUM(C59:J59)</f>
        <v>323</v>
      </c>
      <c r="L59" s="481">
        <v>2152</v>
      </c>
      <c r="M59" s="610"/>
      <c r="N59" s="610"/>
    </row>
    <row r="60" spans="1:14" s="343" customFormat="1" x14ac:dyDescent="0.2">
      <c r="A60" s="1526" t="s">
        <v>483</v>
      </c>
      <c r="B60" s="615">
        <v>2520</v>
      </c>
      <c r="C60" s="466">
        <v>69664</v>
      </c>
      <c r="D60" s="466">
        <v>306</v>
      </c>
      <c r="E60" s="466">
        <v>14136</v>
      </c>
      <c r="F60" s="466">
        <v>323</v>
      </c>
      <c r="G60" s="466"/>
      <c r="H60" s="466"/>
      <c r="I60" s="467"/>
      <c r="J60" s="467"/>
      <c r="K60" s="1694">
        <f t="shared" si="7"/>
        <v>84429</v>
      </c>
      <c r="L60" s="466">
        <v>80060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43107</v>
      </c>
      <c r="D63" s="466">
        <v>24974</v>
      </c>
      <c r="E63" s="466">
        <v>1956</v>
      </c>
      <c r="F63" s="466">
        <v>58375</v>
      </c>
      <c r="G63" s="466"/>
      <c r="H63" s="466">
        <v>270</v>
      </c>
      <c r="I63" s="467"/>
      <c r="J63" s="467"/>
      <c r="K63" s="1694">
        <f t="shared" si="7"/>
        <v>128682</v>
      </c>
      <c r="L63" s="466"/>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112771</v>
      </c>
      <c r="D65" s="1692">
        <f t="shared" ref="D65:L65" si="8">SUM(D59:D64)</f>
        <v>25280</v>
      </c>
      <c r="E65" s="1692">
        <f t="shared" si="8"/>
        <v>16415</v>
      </c>
      <c r="F65" s="1692">
        <f t="shared" si="8"/>
        <v>58698</v>
      </c>
      <c r="G65" s="1692">
        <f t="shared" si="8"/>
        <v>0</v>
      </c>
      <c r="H65" s="1692">
        <f t="shared" si="8"/>
        <v>270</v>
      </c>
      <c r="I65" s="1692">
        <f t="shared" si="8"/>
        <v>0</v>
      </c>
      <c r="J65" s="1692">
        <f t="shared" si="8"/>
        <v>0</v>
      </c>
      <c r="K65" s="1692">
        <f t="shared" si="8"/>
        <v>213434</v>
      </c>
      <c r="L65" s="1692">
        <f t="shared" si="8"/>
        <v>82212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v>15240</v>
      </c>
      <c r="F69" s="466">
        <v>9903</v>
      </c>
      <c r="G69" s="466"/>
      <c r="H69" s="466"/>
      <c r="I69" s="467"/>
      <c r="J69" s="467"/>
      <c r="K69" s="1694">
        <f>SUM(C69:J69)</f>
        <v>25143</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15240</v>
      </c>
      <c r="F72" s="1692">
        <f t="shared" si="9"/>
        <v>9903</v>
      </c>
      <c r="G72" s="1692">
        <f t="shared" si="9"/>
        <v>0</v>
      </c>
      <c r="H72" s="1692">
        <f t="shared" si="9"/>
        <v>0</v>
      </c>
      <c r="I72" s="1692">
        <f t="shared" si="9"/>
        <v>0</v>
      </c>
      <c r="J72" s="1692">
        <f t="shared" si="9"/>
        <v>0</v>
      </c>
      <c r="K72" s="1692">
        <f t="shared" si="9"/>
        <v>25143</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444551</v>
      </c>
      <c r="D74" s="1699">
        <f t="shared" ref="D74:K74" si="10">SUM(D42,D47,D53,D57,D65,D72,D73)</f>
        <v>93614</v>
      </c>
      <c r="E74" s="1699">
        <f t="shared" si="10"/>
        <v>95455</v>
      </c>
      <c r="F74" s="1699">
        <f t="shared" si="10"/>
        <v>68601</v>
      </c>
      <c r="G74" s="1699">
        <f t="shared" si="10"/>
        <v>0</v>
      </c>
      <c r="H74" s="1699">
        <f t="shared" si="10"/>
        <v>4374</v>
      </c>
      <c r="I74" s="1699">
        <f t="shared" si="10"/>
        <v>0</v>
      </c>
      <c r="J74" s="1699">
        <f t="shared" si="10"/>
        <v>0</v>
      </c>
      <c r="K74" s="1699">
        <f t="shared" si="10"/>
        <v>706595</v>
      </c>
      <c r="L74" s="1699">
        <f>SUM(L42,L47,L53,L57,L65,L72,L73)</f>
        <v>526130</v>
      </c>
    </row>
    <row r="75" spans="1:14" s="259" customFormat="1" ht="15.75" customHeight="1" thickTop="1" thickBot="1" x14ac:dyDescent="0.25">
      <c r="A75" s="1632" t="s">
        <v>49</v>
      </c>
      <c r="B75" s="1633" t="s">
        <v>596</v>
      </c>
      <c r="C75" s="573">
        <v>7217</v>
      </c>
      <c r="D75" s="573">
        <v>2308</v>
      </c>
      <c r="E75" s="573">
        <v>1175</v>
      </c>
      <c r="F75" s="573"/>
      <c r="G75" s="573"/>
      <c r="H75" s="573"/>
      <c r="I75" s="531"/>
      <c r="J75" s="531"/>
      <c r="K75" s="1692">
        <f>SUM(C75:J75)</f>
        <v>10700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v>587407</v>
      </c>
      <c r="I79" s="477"/>
      <c r="J79" s="477"/>
      <c r="K79" s="1693">
        <f t="shared" si="11"/>
        <v>587407</v>
      </c>
      <c r="L79" s="466">
        <v>453407</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587407</v>
      </c>
      <c r="I84" s="477"/>
      <c r="J84" s="477"/>
      <c r="K84" s="1692">
        <f>SUM(K78:K83)</f>
        <v>587407</v>
      </c>
      <c r="L84" s="1692">
        <f>SUM(L78:L83)</f>
        <v>453407</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587407</v>
      </c>
      <c r="I102" s="477"/>
      <c r="J102" s="477"/>
      <c r="K102" s="1699">
        <f>SUM(K84,K92,K100,K101)</f>
        <v>587407</v>
      </c>
      <c r="L102" s="1699">
        <f>SUM(L84,L92,L100,L101)</f>
        <v>453407</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1380655</v>
      </c>
      <c r="D114" s="1692">
        <f t="shared" ref="D114:K114" si="13">SUM(D33,D74,D75,D102,D112,D113)</f>
        <v>259924</v>
      </c>
      <c r="E114" s="1692">
        <f t="shared" si="13"/>
        <v>265646</v>
      </c>
      <c r="F114" s="1692">
        <f t="shared" si="13"/>
        <v>231628</v>
      </c>
      <c r="G114" s="1692">
        <f t="shared" si="13"/>
        <v>25890</v>
      </c>
      <c r="H114" s="1692">
        <f>SUM(H33,H74,H75,H102,H112,H113)</f>
        <v>593864</v>
      </c>
      <c r="I114" s="1692">
        <f t="shared" si="13"/>
        <v>0</v>
      </c>
      <c r="J114" s="1692">
        <f t="shared" si="13"/>
        <v>0</v>
      </c>
      <c r="K114" s="1692">
        <f t="shared" si="13"/>
        <v>2757607</v>
      </c>
      <c r="L114" s="1692">
        <f>SUM(L33,L74,L75,L102,L112,L113)</f>
        <v>2666961</v>
      </c>
    </row>
    <row r="115" spans="1:14" ht="13.5" thickTop="1" x14ac:dyDescent="0.2">
      <c r="A115" s="2197" t="s">
        <v>1053</v>
      </c>
      <c r="B115" s="2198"/>
      <c r="C115" s="619"/>
      <c r="D115" s="619"/>
      <c r="E115" s="619"/>
      <c r="F115" s="619"/>
      <c r="G115" s="619"/>
      <c r="H115" s="619"/>
      <c r="I115" s="619"/>
      <c r="J115" s="619"/>
      <c r="K115" s="1706">
        <f>'Revenues 9-14'!C275-'Expenditures 15-22'!K114</f>
        <v>-8124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95697</v>
      </c>
      <c r="D124" s="466">
        <v>15633</v>
      </c>
      <c r="E124" s="466">
        <v>40696</v>
      </c>
      <c r="F124" s="466">
        <v>65967</v>
      </c>
      <c r="G124" s="466"/>
      <c r="H124" s="466"/>
      <c r="I124" s="467"/>
      <c r="J124" s="467"/>
      <c r="K124" s="1692">
        <f>SUM(C124:J124)</f>
        <v>217993</v>
      </c>
      <c r="L124" s="466">
        <v>336075</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95697</v>
      </c>
      <c r="D127" s="1692">
        <f t="shared" ref="D127:L127" si="14">SUM(D122:D126)</f>
        <v>15633</v>
      </c>
      <c r="E127" s="1692">
        <f t="shared" si="14"/>
        <v>40696</v>
      </c>
      <c r="F127" s="1692">
        <f t="shared" si="14"/>
        <v>65967</v>
      </c>
      <c r="G127" s="1692">
        <f t="shared" si="14"/>
        <v>0</v>
      </c>
      <c r="H127" s="1692">
        <f t="shared" si="14"/>
        <v>0</v>
      </c>
      <c r="I127" s="1692">
        <f t="shared" si="14"/>
        <v>0</v>
      </c>
      <c r="J127" s="1692">
        <f t="shared" si="14"/>
        <v>0</v>
      </c>
      <c r="K127" s="1692">
        <f t="shared" si="14"/>
        <v>217993</v>
      </c>
      <c r="L127" s="1692">
        <f t="shared" si="14"/>
        <v>336075</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95697</v>
      </c>
      <c r="D129" s="1699">
        <f t="shared" ref="D129:L129" si="15">SUM(D120,D127,D128)</f>
        <v>15633</v>
      </c>
      <c r="E129" s="1699">
        <f t="shared" si="15"/>
        <v>40696</v>
      </c>
      <c r="F129" s="1699">
        <f t="shared" si="15"/>
        <v>65967</v>
      </c>
      <c r="G129" s="1699">
        <f t="shared" si="15"/>
        <v>0</v>
      </c>
      <c r="H129" s="1699">
        <f t="shared" si="15"/>
        <v>0</v>
      </c>
      <c r="I129" s="1699">
        <f t="shared" si="15"/>
        <v>0</v>
      </c>
      <c r="J129" s="1699">
        <f t="shared" si="15"/>
        <v>0</v>
      </c>
      <c r="K129" s="1699">
        <f t="shared" si="15"/>
        <v>217993</v>
      </c>
      <c r="L129" s="1699">
        <f t="shared" si="15"/>
        <v>336075</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7" t="s">
        <v>641</v>
      </c>
      <c r="B151" s="2169"/>
      <c r="C151" s="1692">
        <f>SUM(C129,C130,C139,C149,C150)</f>
        <v>95697</v>
      </c>
      <c r="D151" s="1692">
        <f t="shared" ref="D151:K151" si="16">SUM(D129,D130,D139,D149,D150)</f>
        <v>15633</v>
      </c>
      <c r="E151" s="1692">
        <f t="shared" si="16"/>
        <v>40696</v>
      </c>
      <c r="F151" s="1692">
        <f t="shared" si="16"/>
        <v>65967</v>
      </c>
      <c r="G151" s="1692">
        <f t="shared" si="16"/>
        <v>0</v>
      </c>
      <c r="H151" s="1692">
        <f t="shared" si="16"/>
        <v>0</v>
      </c>
      <c r="I151" s="1692">
        <f t="shared" si="16"/>
        <v>0</v>
      </c>
      <c r="J151" s="1692">
        <f t="shared" si="16"/>
        <v>0</v>
      </c>
      <c r="K151" s="1692">
        <f t="shared" si="16"/>
        <v>217993</v>
      </c>
      <c r="L151" s="1692">
        <f>SUM(L129,L130,L139,L149,L150)</f>
        <v>336075</v>
      </c>
    </row>
    <row r="152" spans="1:14" ht="12.75" customHeight="1" thickTop="1" x14ac:dyDescent="0.2">
      <c r="A152" s="2190" t="s">
        <v>1240</v>
      </c>
      <c r="B152" s="2191"/>
      <c r="C152" s="619"/>
      <c r="D152" s="619"/>
      <c r="E152" s="619"/>
      <c r="F152" s="619"/>
      <c r="G152" s="619"/>
      <c r="H152" s="619"/>
      <c r="I152" s="619"/>
      <c r="J152" s="617"/>
      <c r="K152" s="1706">
        <f>'Revenues 9-14'!D275-'Expenditures 15-22'!K151</f>
        <v>84716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v>2625</v>
      </c>
      <c r="I166" s="617"/>
      <c r="J166" s="617"/>
      <c r="K166" s="1693">
        <f>SUM(C166:J166)</f>
        <v>2625</v>
      </c>
      <c r="L166" s="466">
        <v>4000</v>
      </c>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2625</v>
      </c>
      <c r="I168" s="617"/>
      <c r="J168" s="617"/>
      <c r="K168" s="1692">
        <f>SUM(K163:K167)</f>
        <v>2625</v>
      </c>
      <c r="L168" s="1692">
        <f>SUM(L163:L167)</f>
        <v>4000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v>100000</v>
      </c>
      <c r="I170" s="617"/>
      <c r="J170" s="617"/>
      <c r="K170" s="1693">
        <f>SUM(C170:J170)</f>
        <v>100000</v>
      </c>
      <c r="L170" s="569">
        <v>100000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102625</v>
      </c>
      <c r="I172" s="639"/>
      <c r="J172" s="617"/>
      <c r="K172" s="1699">
        <f>SUM(K168,K169,K170,K171)</f>
        <v>102625</v>
      </c>
      <c r="L172" s="1699">
        <f>SUM(L168,L169,L170,L171)</f>
        <v>104000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102625</v>
      </c>
      <c r="I174" s="639"/>
      <c r="J174" s="617"/>
      <c r="K174" s="1699">
        <f>SUM(K160,K172,K173)</f>
        <v>102625</v>
      </c>
      <c r="L174" s="1699">
        <f>SUM(L160,L172,L173)</f>
        <v>104000</v>
      </c>
    </row>
    <row r="175" spans="1:14" ht="13.5" thickTop="1" x14ac:dyDescent="0.2">
      <c r="A175" s="2197" t="s">
        <v>1053</v>
      </c>
      <c r="B175" s="2198"/>
      <c r="C175" s="617"/>
      <c r="D175" s="617"/>
      <c r="E175" s="617"/>
      <c r="F175" s="617"/>
      <c r="G175" s="617"/>
      <c r="H175" s="619"/>
      <c r="I175" s="617"/>
      <c r="J175" s="617"/>
      <c r="K175" s="1706">
        <f>'Revenues 9-14'!E275-'Expenditures 15-22'!K174</f>
        <v>10231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110144</v>
      </c>
      <c r="D182" s="466">
        <v>9929</v>
      </c>
      <c r="E182" s="466">
        <v>37980</v>
      </c>
      <c r="F182" s="466">
        <v>21078</v>
      </c>
      <c r="G182" s="466">
        <v>80773</v>
      </c>
      <c r="H182" s="466"/>
      <c r="I182" s="467"/>
      <c r="J182" s="467"/>
      <c r="K182" s="1693">
        <f>SUM(C182:J182)</f>
        <v>259904</v>
      </c>
      <c r="L182" s="466">
        <v>334742</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110144</v>
      </c>
      <c r="D184" s="1699">
        <f t="shared" ref="D184:J184" si="17">SUM(D180,D182,D183)</f>
        <v>9929</v>
      </c>
      <c r="E184" s="1699">
        <f t="shared" si="17"/>
        <v>37980</v>
      </c>
      <c r="F184" s="1699">
        <f t="shared" si="17"/>
        <v>21078</v>
      </c>
      <c r="G184" s="1699">
        <f t="shared" si="17"/>
        <v>80773</v>
      </c>
      <c r="H184" s="1699">
        <f t="shared" si="17"/>
        <v>0</v>
      </c>
      <c r="I184" s="1699">
        <f t="shared" si="17"/>
        <v>0</v>
      </c>
      <c r="J184" s="1699">
        <f t="shared" si="17"/>
        <v>0</v>
      </c>
      <c r="K184" s="1699">
        <f>SUM(K180,K182,K183)</f>
        <v>259904</v>
      </c>
      <c r="L184" s="1699">
        <f>SUM(L180, L182:L183)</f>
        <v>334742</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236</v>
      </c>
      <c r="I205" s="617"/>
      <c r="J205" s="617"/>
      <c r="K205" s="1707">
        <f>SUM(H205)</f>
        <v>236</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236</v>
      </c>
      <c r="I208" s="617"/>
      <c r="J208" s="617"/>
      <c r="K208" s="1699">
        <f>SUM(K204,K205,K206,K207)</f>
        <v>236</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110144</v>
      </c>
      <c r="D210" s="1692">
        <f>SUM(D184,D185)</f>
        <v>9929</v>
      </c>
      <c r="E210" s="1692">
        <f>SUM(E184,E185,E196)</f>
        <v>37980</v>
      </c>
      <c r="F210" s="1692">
        <f>SUM(F184,F185)</f>
        <v>21078</v>
      </c>
      <c r="G210" s="1692">
        <f>SUM(G184,G185)</f>
        <v>80773</v>
      </c>
      <c r="H210" s="1692">
        <f>SUM(H184,H185,H196,H208,H209)</f>
        <v>236</v>
      </c>
      <c r="I210" s="1692">
        <f>SUM(I184,I185)</f>
        <v>0</v>
      </c>
      <c r="J210" s="1692">
        <f>SUM(J184,J185)</f>
        <v>0</v>
      </c>
      <c r="K210" s="1693">
        <f>SUM(K184,K185,K196,K208,K209)</f>
        <v>260140</v>
      </c>
      <c r="L210" s="1692">
        <f>SUM(L184,L185,L196,L208,L209)</f>
        <v>334742</v>
      </c>
    </row>
    <row r="211" spans="1:14" ht="13.5" thickTop="1" x14ac:dyDescent="0.2">
      <c r="A211" s="2197" t="s">
        <v>1053</v>
      </c>
      <c r="B211" s="2198"/>
      <c r="C211" s="619"/>
      <c r="D211" s="619"/>
      <c r="E211" s="619"/>
      <c r="F211" s="619"/>
      <c r="G211" s="619"/>
      <c r="H211" s="619"/>
      <c r="I211" s="617"/>
      <c r="J211" s="617"/>
      <c r="K211" s="1706">
        <f>'Revenues 9-14'!F275-'Expenditures 15-22'!K210</f>
        <v>116864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24229</v>
      </c>
      <c r="E215" s="617"/>
      <c r="F215" s="617"/>
      <c r="G215" s="617"/>
      <c r="H215" s="617"/>
      <c r="I215" s="617"/>
      <c r="J215" s="617"/>
      <c r="K215" s="1693">
        <f>D215</f>
        <v>24229</v>
      </c>
      <c r="L215" s="466">
        <v>1650</v>
      </c>
    </row>
    <row r="216" spans="1:14" x14ac:dyDescent="0.2">
      <c r="A216" s="1526" t="s">
        <v>165</v>
      </c>
      <c r="B216" s="615" t="s">
        <v>1024</v>
      </c>
      <c r="C216" s="617"/>
      <c r="D216" s="467">
        <v>1074</v>
      </c>
      <c r="E216" s="617"/>
      <c r="F216" s="617"/>
      <c r="G216" s="617"/>
      <c r="H216" s="617"/>
      <c r="I216" s="617"/>
      <c r="J216" s="617"/>
      <c r="K216" s="1693">
        <f t="shared" ref="K216:K228" si="19">D216</f>
        <v>1074</v>
      </c>
      <c r="L216" s="466">
        <v>2540</v>
      </c>
    </row>
    <row r="217" spans="1:14" x14ac:dyDescent="0.2">
      <c r="A217" s="1526" t="s">
        <v>166</v>
      </c>
      <c r="B217" s="615">
        <v>1200</v>
      </c>
      <c r="C217" s="617"/>
      <c r="D217" s="466">
        <v>3709</v>
      </c>
      <c r="E217" s="617"/>
      <c r="F217" s="617"/>
      <c r="G217" s="617"/>
      <c r="H217" s="617"/>
      <c r="I217" s="617"/>
      <c r="J217" s="617"/>
      <c r="K217" s="1693">
        <f t="shared" si="19"/>
        <v>3709</v>
      </c>
      <c r="L217" s="466">
        <v>19500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484</v>
      </c>
      <c r="E219" s="617"/>
      <c r="F219" s="617"/>
      <c r="G219" s="617"/>
      <c r="H219" s="617"/>
      <c r="I219" s="617"/>
      <c r="J219" s="617"/>
      <c r="K219" s="1693">
        <f t="shared" si="19"/>
        <v>484</v>
      </c>
      <c r="L219" s="466">
        <v>600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876</v>
      </c>
      <c r="E223" s="617"/>
      <c r="F223" s="617"/>
      <c r="G223" s="617"/>
      <c r="H223" s="617"/>
      <c r="I223" s="617"/>
      <c r="J223" s="617"/>
      <c r="K223" s="1693">
        <f t="shared" si="19"/>
        <v>876</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30372</v>
      </c>
      <c r="E229" s="617"/>
      <c r="F229" s="617"/>
      <c r="G229" s="617"/>
      <c r="H229" s="617"/>
      <c r="I229" s="617"/>
      <c r="J229" s="617"/>
      <c r="K229" s="1692">
        <f>SUM(K215:K228)</f>
        <v>30372</v>
      </c>
      <c r="L229" s="1692">
        <f>SUM(L215:L228)</f>
        <v>24290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694</v>
      </c>
      <c r="E236" s="617"/>
      <c r="F236" s="617"/>
      <c r="G236" s="617"/>
      <c r="H236" s="617"/>
      <c r="I236" s="617"/>
      <c r="J236" s="617"/>
      <c r="K236" s="1693">
        <f t="shared" si="20"/>
        <v>694</v>
      </c>
      <c r="L236" s="466">
        <v>825</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694</v>
      </c>
      <c r="E238" s="617"/>
      <c r="F238" s="617"/>
      <c r="G238" s="617"/>
      <c r="H238" s="617"/>
      <c r="I238" s="617"/>
      <c r="J238" s="617"/>
      <c r="K238" s="1692">
        <f>SUM(K232:K237)</f>
        <v>694</v>
      </c>
      <c r="L238" s="1692">
        <f>SUM(L232:L237)</f>
        <v>825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v>614</v>
      </c>
      <c r="E241" s="617"/>
      <c r="F241" s="617"/>
      <c r="G241" s="617"/>
      <c r="H241" s="617"/>
      <c r="I241" s="617"/>
      <c r="J241" s="617"/>
      <c r="K241" s="1694">
        <f>D241</f>
        <v>614</v>
      </c>
      <c r="L241" s="466">
        <v>756</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614</v>
      </c>
      <c r="E243" s="617"/>
      <c r="F243" s="617"/>
      <c r="G243" s="617"/>
      <c r="H243" s="617"/>
      <c r="I243" s="617"/>
      <c r="J243" s="617"/>
      <c r="K243" s="1692">
        <f>SUM(K240:K242)</f>
        <v>614</v>
      </c>
      <c r="L243" s="1692">
        <f>SUM(L240:L242)</f>
        <v>756</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225</v>
      </c>
      <c r="E245" s="617"/>
      <c r="F245" s="617"/>
      <c r="G245" s="617"/>
      <c r="H245" s="617"/>
      <c r="I245" s="617"/>
      <c r="J245" s="617"/>
      <c r="K245" s="1694">
        <f>D245</f>
        <v>225</v>
      </c>
      <c r="L245" s="481">
        <v>969</v>
      </c>
    </row>
    <row r="246" spans="1:12" x14ac:dyDescent="0.2">
      <c r="A246" s="1526" t="s">
        <v>872</v>
      </c>
      <c r="B246" s="615">
        <v>2320</v>
      </c>
      <c r="C246" s="617"/>
      <c r="D246" s="466">
        <v>1286</v>
      </c>
      <c r="E246" s="617"/>
      <c r="F246" s="617"/>
      <c r="G246" s="617"/>
      <c r="H246" s="617"/>
      <c r="I246" s="617"/>
      <c r="J246" s="617"/>
      <c r="K246" s="1694">
        <f t="shared" ref="K246:K256" si="21">D246</f>
        <v>1286</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v>4317</v>
      </c>
      <c r="E252" s="617"/>
      <c r="F252" s="617"/>
      <c r="G252" s="617"/>
      <c r="H252" s="617"/>
      <c r="I252" s="617"/>
      <c r="J252" s="617"/>
      <c r="K252" s="1694">
        <f t="shared" si="21"/>
        <v>4317</v>
      </c>
      <c r="L252" s="466">
        <v>6504</v>
      </c>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5828</v>
      </c>
      <c r="E257" s="617"/>
      <c r="F257" s="617"/>
      <c r="G257" s="617"/>
      <c r="H257" s="617"/>
      <c r="I257" s="617"/>
      <c r="J257" s="617"/>
      <c r="K257" s="1692">
        <f>SUM(K245:K256)</f>
        <v>5828</v>
      </c>
      <c r="L257" s="1692">
        <f>SUM(L245:L256)</f>
        <v>7473</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3431</v>
      </c>
      <c r="E259" s="617"/>
      <c r="F259" s="617"/>
      <c r="G259" s="617"/>
      <c r="H259" s="617"/>
      <c r="I259" s="617"/>
      <c r="J259" s="617"/>
      <c r="K259" s="1694">
        <f>D259</f>
        <v>3431</v>
      </c>
      <c r="L259" s="481">
        <v>3696</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3431</v>
      </c>
      <c r="E261" s="617"/>
      <c r="F261" s="617"/>
      <c r="G261" s="617"/>
      <c r="H261" s="617"/>
      <c r="I261" s="617"/>
      <c r="J261" s="617"/>
      <c r="K261" s="1692">
        <f>SUM(K259:K260)</f>
        <v>3431</v>
      </c>
      <c r="L261" s="1692">
        <f>SUM(L259:L260)</f>
        <v>3696</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12818</v>
      </c>
      <c r="E264" s="617"/>
      <c r="F264" s="617"/>
      <c r="G264" s="617"/>
      <c r="H264" s="617"/>
      <c r="I264" s="617"/>
      <c r="J264" s="617"/>
      <c r="K264" s="1694">
        <f t="shared" ref="K264:K269" si="22">D264</f>
        <v>12818</v>
      </c>
      <c r="L264" s="466">
        <v>12586</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12302</v>
      </c>
      <c r="E266" s="617"/>
      <c r="F266" s="617"/>
      <c r="G266" s="617"/>
      <c r="H266" s="617"/>
      <c r="I266" s="617"/>
      <c r="J266" s="617"/>
      <c r="K266" s="1694">
        <f t="shared" si="22"/>
        <v>12302</v>
      </c>
      <c r="L266" s="466">
        <v>16450</v>
      </c>
    </row>
    <row r="267" spans="1:14" x14ac:dyDescent="0.2">
      <c r="A267" s="1526" t="s">
        <v>1010</v>
      </c>
      <c r="B267" s="615">
        <v>2550</v>
      </c>
      <c r="C267" s="617"/>
      <c r="D267" s="466">
        <v>11276</v>
      </c>
      <c r="E267" s="617"/>
      <c r="F267" s="617"/>
      <c r="G267" s="617"/>
      <c r="H267" s="617"/>
      <c r="I267" s="617"/>
      <c r="J267" s="617"/>
      <c r="K267" s="1694">
        <f t="shared" si="22"/>
        <v>11276</v>
      </c>
      <c r="L267" s="466">
        <v>8200</v>
      </c>
    </row>
    <row r="268" spans="1:14" x14ac:dyDescent="0.2">
      <c r="A268" s="1526" t="s">
        <v>102</v>
      </c>
      <c r="B268" s="615">
        <v>2560</v>
      </c>
      <c r="C268" s="617"/>
      <c r="D268" s="466">
        <v>5567</v>
      </c>
      <c r="E268" s="617"/>
      <c r="F268" s="617"/>
      <c r="G268" s="617"/>
      <c r="H268" s="617"/>
      <c r="I268" s="617"/>
      <c r="J268" s="617"/>
      <c r="K268" s="1694">
        <f t="shared" si="22"/>
        <v>5567</v>
      </c>
      <c r="L268" s="466">
        <v>7500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41963</v>
      </c>
      <c r="E270" s="617"/>
      <c r="F270" s="617"/>
      <c r="G270" s="617"/>
      <c r="H270" s="617"/>
      <c r="I270" s="617"/>
      <c r="J270" s="617"/>
      <c r="K270" s="1692">
        <f>SUM(K263:K269)</f>
        <v>41963</v>
      </c>
      <c r="L270" s="1692">
        <f>SUM(L263:L269)</f>
        <v>44736</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52530</v>
      </c>
      <c r="E279" s="617"/>
      <c r="F279" s="617"/>
      <c r="G279" s="617"/>
      <c r="H279" s="617"/>
      <c r="I279" s="617"/>
      <c r="J279" s="617"/>
      <c r="K279" s="1699">
        <f>SUM(K238,K243,K257,K261,K270,K277,K278)</f>
        <v>52530</v>
      </c>
      <c r="L279" s="1699">
        <f>SUM(L238,L243,L257,L261,L270,L277,L278)</f>
        <v>57486</v>
      </c>
    </row>
    <row r="280" spans="1:12" ht="15.75" customHeight="1" thickTop="1" thickBot="1" x14ac:dyDescent="0.25">
      <c r="A280" s="1646" t="s">
        <v>930</v>
      </c>
      <c r="B280" s="1635">
        <v>3000</v>
      </c>
      <c r="C280" s="617"/>
      <c r="D280" s="576">
        <v>102</v>
      </c>
      <c r="E280" s="617"/>
      <c r="F280" s="617"/>
      <c r="G280" s="617"/>
      <c r="H280" s="617"/>
      <c r="I280" s="617"/>
      <c r="J280" s="617"/>
      <c r="K280" s="1701">
        <f>D280</f>
        <v>102</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8" t="s">
        <v>526</v>
      </c>
      <c r="B295" s="2189"/>
      <c r="C295" s="617"/>
      <c r="D295" s="1692">
        <f>SUM(D229,D279,D280,D285)</f>
        <v>83004</v>
      </c>
      <c r="E295" s="617"/>
      <c r="F295" s="617"/>
      <c r="G295" s="617"/>
      <c r="H295" s="1692">
        <f>H293</f>
        <v>0</v>
      </c>
      <c r="I295" s="617"/>
      <c r="J295" s="617"/>
      <c r="K295" s="1692">
        <f>SUM(K229,K279,K280,K285,K293,K294)</f>
        <v>83004</v>
      </c>
      <c r="L295" s="1692">
        <f>SUM(L229,L279,L280,L285,L293,L294)</f>
        <v>81776</v>
      </c>
    </row>
    <row r="296" spans="1:14" ht="13.5" thickTop="1" x14ac:dyDescent="0.2">
      <c r="A296" s="2197" t="s">
        <v>1053</v>
      </c>
      <c r="B296" s="2198"/>
      <c r="C296" s="617"/>
      <c r="D296" s="619"/>
      <c r="E296" s="617"/>
      <c r="F296" s="617"/>
      <c r="G296" s="617"/>
      <c r="H296" s="688"/>
      <c r="I296" s="617"/>
      <c r="J296" s="617"/>
      <c r="K296" s="1706">
        <f>'Revenues 9-14'!G275-'Expenditures 15-22'!K295</f>
        <v>31256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5" t="s">
        <v>295</v>
      </c>
      <c r="B312" s="2186"/>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1" t="s">
        <v>1053</v>
      </c>
      <c r="B313" s="2182"/>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v>96435</v>
      </c>
      <c r="D323" s="467">
        <v>14081</v>
      </c>
      <c r="E323" s="467"/>
      <c r="F323" s="467"/>
      <c r="G323" s="467"/>
      <c r="H323" s="467"/>
      <c r="I323" s="467"/>
      <c r="J323" s="467"/>
      <c r="K323" s="1693">
        <f t="shared" si="24"/>
        <v>110516</v>
      </c>
      <c r="L323" s="467">
        <v>144860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13681</v>
      </c>
      <c r="F327" s="467"/>
      <c r="G327" s="467"/>
      <c r="H327" s="467"/>
      <c r="I327" s="467"/>
      <c r="J327" s="467"/>
      <c r="K327" s="1693">
        <f t="shared" si="24"/>
        <v>13681</v>
      </c>
      <c r="L327" s="467">
        <v>24060</v>
      </c>
      <c r="M327" s="666"/>
      <c r="N327" s="666"/>
    </row>
    <row r="328" spans="1:14" s="675" customFormat="1" x14ac:dyDescent="0.2">
      <c r="A328" s="1542" t="s">
        <v>492</v>
      </c>
      <c r="B328" s="691" t="s">
        <v>1194</v>
      </c>
      <c r="C328" s="474"/>
      <c r="D328" s="474"/>
      <c r="E328" s="474">
        <v>82840</v>
      </c>
      <c r="F328" s="474"/>
      <c r="G328" s="474"/>
      <c r="H328" s="474"/>
      <c r="I328" s="474"/>
      <c r="J328" s="474"/>
      <c r="K328" s="1721">
        <f>SUM(C328:J328)</f>
        <v>82840</v>
      </c>
      <c r="L328" s="474">
        <v>68564</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96435</v>
      </c>
      <c r="D330" s="1692">
        <f t="shared" ref="D330:J330" si="25">SUM(D319:D329)</f>
        <v>14081</v>
      </c>
      <c r="E330" s="1692">
        <f t="shared" si="25"/>
        <v>96521</v>
      </c>
      <c r="F330" s="1692">
        <f t="shared" si="25"/>
        <v>0</v>
      </c>
      <c r="G330" s="1692">
        <f t="shared" si="25"/>
        <v>0</v>
      </c>
      <c r="H330" s="1692">
        <f t="shared" si="25"/>
        <v>0</v>
      </c>
      <c r="I330" s="1692">
        <f t="shared" si="25"/>
        <v>0</v>
      </c>
      <c r="J330" s="1692">
        <f t="shared" si="25"/>
        <v>0</v>
      </c>
      <c r="K330" s="1692">
        <f>SUM(K319:K329)</f>
        <v>207037</v>
      </c>
      <c r="L330" s="1692">
        <f>SUM(L319:L329)</f>
        <v>237484</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96435</v>
      </c>
      <c r="D342" s="1692">
        <f>SUM(D330)</f>
        <v>14081</v>
      </c>
      <c r="E342" s="1692">
        <f>SUM(E330)</f>
        <v>96521</v>
      </c>
      <c r="F342" s="1692">
        <f>SUM(F330)</f>
        <v>0</v>
      </c>
      <c r="G342" s="1692">
        <f>SUM(G330)</f>
        <v>0</v>
      </c>
      <c r="H342" s="1692">
        <f>SUM(H330,H334,H340)</f>
        <v>0</v>
      </c>
      <c r="I342" s="1692">
        <f>SUM(I330)</f>
        <v>0</v>
      </c>
      <c r="J342" s="1692">
        <f>SUM(J330)</f>
        <v>0</v>
      </c>
      <c r="K342" s="1692">
        <f>SUM(K330,K334,K340)</f>
        <v>207037</v>
      </c>
      <c r="L342" s="1699">
        <f>SUM(L330,L340,L341)</f>
        <v>237484</v>
      </c>
    </row>
    <row r="343" spans="1:14" ht="12.75" customHeight="1" thickTop="1" x14ac:dyDescent="0.2">
      <c r="A343" s="2183" t="s">
        <v>1053</v>
      </c>
      <c r="B343" s="2184"/>
      <c r="C343" s="617"/>
      <c r="D343" s="617"/>
      <c r="E343" s="617"/>
      <c r="F343" s="617"/>
      <c r="G343" s="617"/>
      <c r="H343" s="617"/>
      <c r="I343" s="617"/>
      <c r="J343" s="617"/>
      <c r="K343" s="1706">
        <f>'Revenues 9-14'!J275-'Expenditures 15-22'!K342</f>
        <v>77743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12546</v>
      </c>
      <c r="F349" s="466"/>
      <c r="G349" s="466"/>
      <c r="H349" s="466"/>
      <c r="I349" s="467"/>
      <c r="J349" s="467"/>
      <c r="K349" s="1693">
        <f>SUM(C349:J349)</f>
        <v>12546</v>
      </c>
      <c r="L349" s="466">
        <v>25000</v>
      </c>
    </row>
    <row r="350" spans="1:14" ht="12.75" customHeight="1" thickBot="1" x14ac:dyDescent="0.25">
      <c r="A350" s="1690" t="s">
        <v>743</v>
      </c>
      <c r="B350" s="1691" t="s">
        <v>35</v>
      </c>
      <c r="C350" s="1692">
        <f>SUM(C348:C349)</f>
        <v>0</v>
      </c>
      <c r="D350" s="1692">
        <f t="shared" ref="D350:L350" si="26">SUM(D348:D349)</f>
        <v>0</v>
      </c>
      <c r="E350" s="1692">
        <f t="shared" si="26"/>
        <v>12546</v>
      </c>
      <c r="F350" s="1692">
        <f t="shared" si="26"/>
        <v>0</v>
      </c>
      <c r="G350" s="1692">
        <f t="shared" si="26"/>
        <v>0</v>
      </c>
      <c r="H350" s="1692">
        <f t="shared" si="26"/>
        <v>0</v>
      </c>
      <c r="I350" s="1692">
        <f t="shared" si="26"/>
        <v>0</v>
      </c>
      <c r="J350" s="1692">
        <f t="shared" si="26"/>
        <v>0</v>
      </c>
      <c r="K350" s="1692">
        <f t="shared" si="26"/>
        <v>12546</v>
      </c>
      <c r="L350" s="1692">
        <f t="shared" si="26"/>
        <v>25000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12546</v>
      </c>
      <c r="F352" s="1692">
        <f t="shared" si="27"/>
        <v>0</v>
      </c>
      <c r="G352" s="1692">
        <f t="shared" si="27"/>
        <v>0</v>
      </c>
      <c r="H352" s="1692">
        <f t="shared" si="27"/>
        <v>0</v>
      </c>
      <c r="I352" s="1692">
        <f t="shared" si="27"/>
        <v>0</v>
      </c>
      <c r="J352" s="1692">
        <f t="shared" si="27"/>
        <v>0</v>
      </c>
      <c r="K352" s="1692">
        <f t="shared" si="27"/>
        <v>12546</v>
      </c>
      <c r="L352" s="1692">
        <f t="shared" si="27"/>
        <v>25000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12546</v>
      </c>
      <c r="F367" s="1692">
        <f t="shared" si="28"/>
        <v>0</v>
      </c>
      <c r="G367" s="1692">
        <f t="shared" si="28"/>
        <v>0</v>
      </c>
      <c r="H367" s="1692">
        <f t="shared" si="28"/>
        <v>0</v>
      </c>
      <c r="I367" s="1692">
        <f t="shared" si="28"/>
        <v>0</v>
      </c>
      <c r="J367" s="1692">
        <f t="shared" si="28"/>
        <v>0</v>
      </c>
      <c r="K367" s="1692">
        <f t="shared" si="28"/>
        <v>12546</v>
      </c>
      <c r="L367" s="1692">
        <f t="shared" si="28"/>
        <v>25000</v>
      </c>
    </row>
    <row r="368" spans="1:14" ht="13.5" thickTop="1" x14ac:dyDescent="0.2">
      <c r="A368" s="2197" t="s">
        <v>1053</v>
      </c>
      <c r="B368" s="2198"/>
      <c r="C368" s="655"/>
      <c r="D368" s="655"/>
      <c r="E368" s="627"/>
      <c r="F368" s="627"/>
      <c r="G368" s="627"/>
      <c r="H368" s="627"/>
      <c r="I368" s="627"/>
      <c r="J368" s="624"/>
      <c r="K368" s="1693">
        <f>'Revenues 9-14'!K275-'Expenditures 15-22'!K367</f>
        <v>17477</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37" sqref="A37:F3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1905</v>
      </c>
      <c r="B2" s="1550" t="s">
        <v>2035</v>
      </c>
      <c r="C2" s="715" t="s">
        <v>1910</v>
      </c>
      <c r="D2" s="715" t="s">
        <v>1911</v>
      </c>
      <c r="E2" s="715" t="s">
        <v>1912</v>
      </c>
      <c r="F2" s="715" t="s">
        <v>1913</v>
      </c>
    </row>
    <row r="3" spans="1:6" ht="12" customHeight="1" x14ac:dyDescent="0.2">
      <c r="A3" s="2200"/>
      <c r="B3" s="1547"/>
      <c r="C3" s="1548"/>
      <c r="D3" s="1549" t="s">
        <v>274</v>
      </c>
      <c r="E3" s="1548"/>
      <c r="F3" s="1549" t="s">
        <v>275</v>
      </c>
    </row>
    <row r="4" spans="1:6" ht="13.7" customHeight="1" x14ac:dyDescent="0.2">
      <c r="A4" s="716" t="s">
        <v>1217</v>
      </c>
      <c r="B4" s="1771">
        <f>'Revenues 9-14'!C5</f>
        <v>1405636</v>
      </c>
      <c r="C4" s="1546"/>
      <c r="D4" s="1774">
        <f>B4-C4</f>
        <v>1405636</v>
      </c>
      <c r="E4" s="1546">
        <v>1462355</v>
      </c>
      <c r="F4" s="1774">
        <f>E4-C4</f>
        <v>1462355</v>
      </c>
    </row>
    <row r="5" spans="1:6" ht="13.7" customHeight="1" x14ac:dyDescent="0.2">
      <c r="A5" s="716" t="s">
        <v>925</v>
      </c>
      <c r="B5" s="1772">
        <f>'Revenues 9-14'!D5</f>
        <v>275616</v>
      </c>
      <c r="C5" s="585"/>
      <c r="D5" s="1775">
        <f t="shared" ref="D5:D18" si="0">B5-C5</f>
        <v>275616</v>
      </c>
      <c r="E5" s="585">
        <v>286736</v>
      </c>
      <c r="F5" s="1775">
        <f>E5-C5</f>
        <v>286736</v>
      </c>
    </row>
    <row r="6" spans="1:6" ht="13.7" customHeight="1" x14ac:dyDescent="0.2">
      <c r="A6" s="716" t="s">
        <v>431</v>
      </c>
      <c r="B6" s="1772">
        <f>'Revenues 9-14'!E5</f>
        <v>104002</v>
      </c>
      <c r="C6" s="585"/>
      <c r="D6" s="1775">
        <f t="shared" si="0"/>
        <v>104002</v>
      </c>
      <c r="E6" s="585"/>
      <c r="F6" s="1775">
        <f t="shared" ref="F6:F18" si="1">E6-C6</f>
        <v>0</v>
      </c>
    </row>
    <row r="7" spans="1:6" ht="13.7" customHeight="1" x14ac:dyDescent="0.2">
      <c r="A7" s="716" t="s">
        <v>157</v>
      </c>
      <c r="B7" s="1772">
        <f>'Revenues 9-14'!F5</f>
        <v>110247</v>
      </c>
      <c r="C7" s="585"/>
      <c r="D7" s="1775">
        <f t="shared" si="0"/>
        <v>110247</v>
      </c>
      <c r="E7" s="585">
        <v>114695</v>
      </c>
      <c r="F7" s="1775">
        <f t="shared" si="1"/>
        <v>114695</v>
      </c>
    </row>
    <row r="8" spans="1:6" ht="13.7" customHeight="1" x14ac:dyDescent="0.2">
      <c r="A8" s="716" t="s">
        <v>1241</v>
      </c>
      <c r="B8" s="1772">
        <f>'Revenues 9-14'!G5</f>
        <v>29953</v>
      </c>
      <c r="C8" s="585"/>
      <c r="D8" s="1775">
        <f t="shared" si="0"/>
        <v>29953</v>
      </c>
      <c r="E8" s="585">
        <v>30107</v>
      </c>
      <c r="F8" s="1775">
        <f t="shared" si="1"/>
        <v>30107</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27562</v>
      </c>
      <c r="C10" s="585"/>
      <c r="D10" s="1775">
        <f t="shared" si="0"/>
        <v>27562</v>
      </c>
      <c r="E10" s="585">
        <v>28674</v>
      </c>
      <c r="F10" s="1775">
        <f t="shared" si="1"/>
        <v>28674</v>
      </c>
    </row>
    <row r="11" spans="1:6" x14ac:dyDescent="0.2">
      <c r="A11" s="716" t="s">
        <v>429</v>
      </c>
      <c r="B11" s="1772">
        <f>'Revenues 9-14'!J5</f>
        <v>259574</v>
      </c>
      <c r="C11" s="585"/>
      <c r="D11" s="1775">
        <f t="shared" si="0"/>
        <v>259574</v>
      </c>
      <c r="E11" s="585">
        <v>219927</v>
      </c>
      <c r="F11" s="1775">
        <f t="shared" si="1"/>
        <v>219927</v>
      </c>
    </row>
    <row r="12" spans="1:6" ht="13.7" customHeight="1" x14ac:dyDescent="0.2">
      <c r="A12" s="716" t="s">
        <v>159</v>
      </c>
      <c r="B12" s="1772">
        <f>'Revenues 9-14'!K5</f>
        <v>27562</v>
      </c>
      <c r="C12" s="585"/>
      <c r="D12" s="1775">
        <f t="shared" si="0"/>
        <v>27562</v>
      </c>
      <c r="E12" s="585">
        <v>28674</v>
      </c>
      <c r="F12" s="1775">
        <f t="shared" si="1"/>
        <v>28674</v>
      </c>
    </row>
    <row r="13" spans="1:6" ht="13.7" customHeight="1" x14ac:dyDescent="0.2">
      <c r="A13" s="716" t="s">
        <v>993</v>
      </c>
      <c r="B13" s="1772">
        <f>SUM('Revenues 9-14'!C6:D6)</f>
        <v>27562</v>
      </c>
      <c r="C13" s="585"/>
      <c r="D13" s="1775">
        <f t="shared" si="0"/>
        <v>27562</v>
      </c>
      <c r="E13" s="585">
        <v>28674</v>
      </c>
      <c r="F13" s="1775">
        <f t="shared" si="1"/>
        <v>28674</v>
      </c>
    </row>
    <row r="14" spans="1:6" ht="13.7" customHeight="1" x14ac:dyDescent="0.2">
      <c r="A14" s="716" t="s">
        <v>430</v>
      </c>
      <c r="B14" s="1772">
        <f>SUM('Revenues 9-14'!C7:D7,'Revenues 9-14'!F7:H7)</f>
        <v>22050</v>
      </c>
      <c r="C14" s="585"/>
      <c r="D14" s="1775">
        <f t="shared" si="0"/>
        <v>22050</v>
      </c>
      <c r="E14" s="585">
        <v>22939</v>
      </c>
      <c r="F14" s="1775">
        <f t="shared" si="1"/>
        <v>22939</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74879</v>
      </c>
      <c r="C16" s="585"/>
      <c r="D16" s="1775">
        <f t="shared" si="0"/>
        <v>74879</v>
      </c>
      <c r="E16" s="585">
        <v>75268</v>
      </c>
      <c r="F16" s="1775">
        <f t="shared" si="1"/>
        <v>75268</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2364643</v>
      </c>
      <c r="C19" s="1773">
        <f>SUM(C4:C18)</f>
        <v>0</v>
      </c>
      <c r="D19" s="1773">
        <f>SUM(D4:D18)</f>
        <v>2364643</v>
      </c>
      <c r="E19" s="1773">
        <f>SUM(E4:E18)</f>
        <v>2298049</v>
      </c>
      <c r="F19" s="1773">
        <f>SUM(F4:F18)</f>
        <v>2298049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activeCell="A37" sqref="A37:F3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2"/>
    </row>
    <row r="2" spans="1:7" ht="33.75" x14ac:dyDescent="0.2">
      <c r="A2" s="2214" t="s">
        <v>1905</v>
      </c>
      <c r="B2" s="2215"/>
      <c r="C2" s="1909" t="s">
        <v>2036</v>
      </c>
      <c r="D2" s="724" t="s">
        <v>2043</v>
      </c>
      <c r="E2" s="724" t="s">
        <v>2044</v>
      </c>
      <c r="F2" s="1909" t="s">
        <v>2037</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77">
        <f>SUM(C4+D4)-E4</f>
        <v>0</v>
      </c>
    </row>
    <row r="5" spans="1:7" ht="15.75" customHeight="1" thickTop="1" x14ac:dyDescent="0.2">
      <c r="A5" s="2201" t="s">
        <v>1172</v>
      </c>
      <c r="B5" s="2202"/>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3" t="s">
        <v>652</v>
      </c>
      <c r="B15" s="2204"/>
      <c r="C15" s="1777">
        <f>SUM(C6:C14)</f>
        <v>0</v>
      </c>
      <c r="D15" s="1777">
        <f>SUM(D6:D14)</f>
        <v>0</v>
      </c>
      <c r="E15" s="1777">
        <f>SUM(E6:E14)</f>
        <v>0</v>
      </c>
      <c r="F15" s="1777">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7"/>
      <c r="D17" s="585"/>
      <c r="E17" s="727"/>
      <c r="F17" s="1777">
        <f>SUM(C17+D17)-E17</f>
        <v>0</v>
      </c>
    </row>
    <row r="18" spans="1:11" ht="12.75" customHeight="1" thickTop="1" thickBot="1" x14ac:dyDescent="0.25">
      <c r="A18" s="2226" t="s">
        <v>6</v>
      </c>
      <c r="B18" s="2227"/>
      <c r="C18" s="727"/>
      <c r="D18" s="585"/>
      <c r="E18" s="727"/>
      <c r="F18" s="1777">
        <f>SUM(C18+D18)-E18</f>
        <v>0</v>
      </c>
    </row>
    <row r="19" spans="1:11" ht="12.75" customHeight="1" thickTop="1" thickBot="1" x14ac:dyDescent="0.25">
      <c r="A19" s="2226" t="s">
        <v>406</v>
      </c>
      <c r="B19" s="2227"/>
      <c r="C19" s="727"/>
      <c r="D19" s="585"/>
      <c r="E19" s="727"/>
      <c r="F19" s="1777">
        <f>SUM(C19+D19)-E19</f>
        <v>0</v>
      </c>
    </row>
    <row r="20" spans="1:11" ht="12.75" customHeight="1" thickTop="1" thickBot="1" x14ac:dyDescent="0.25">
      <c r="A20" s="2226" t="s">
        <v>468</v>
      </c>
      <c r="B20" s="2227"/>
      <c r="C20" s="727"/>
      <c r="D20" s="585"/>
      <c r="E20" s="727"/>
      <c r="F20" s="1777">
        <f>SUM(C20+D20)-E20</f>
        <v>0</v>
      </c>
    </row>
    <row r="21" spans="1:11" ht="14.25" thickTop="1" thickBot="1" x14ac:dyDescent="0.25">
      <c r="A21" s="2203" t="s">
        <v>653</v>
      </c>
      <c r="B21" s="2204"/>
      <c r="C21" s="1777">
        <f>SUM(C17:C20)</f>
        <v>0</v>
      </c>
      <c r="D21" s="1777">
        <f>SUM(D17:D20)</f>
        <v>0</v>
      </c>
      <c r="E21" s="1777">
        <f>SUM(E17:E20)</f>
        <v>0</v>
      </c>
      <c r="F21" s="1777">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77">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77">
        <f>SUM(C25+D25)-E25</f>
        <v>0</v>
      </c>
      <c r="G25" s="552"/>
    </row>
    <row r="26" spans="1:11" ht="15.75" customHeight="1" thickTop="1" x14ac:dyDescent="0.2">
      <c r="A26" s="2201" t="s">
        <v>678</v>
      </c>
      <c r="B26" s="2202"/>
      <c r="C26" s="728"/>
      <c r="D26" s="728"/>
      <c r="E26" s="728"/>
      <c r="F26" s="729"/>
    </row>
    <row r="27" spans="1:11" ht="13.5" thickBot="1" x14ac:dyDescent="0.25">
      <c r="A27" s="2203" t="s">
        <v>1130</v>
      </c>
      <c r="B27" s="2204"/>
      <c r="C27" s="585"/>
      <c r="D27" s="585"/>
      <c r="E27" s="585"/>
      <c r="F27" s="1777">
        <f>SUM(C27+D27)-E27</f>
        <v>0</v>
      </c>
      <c r="G27" s="552"/>
    </row>
    <row r="28" spans="1:11" ht="7.5" customHeight="1" thickTop="1" x14ac:dyDescent="0.2">
      <c r="A28" s="594"/>
    </row>
    <row r="29" spans="1:11" ht="23.25" customHeight="1" x14ac:dyDescent="0.2">
      <c r="A29" s="2229" t="s">
        <v>603</v>
      </c>
      <c r="B29" s="2206"/>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2098</v>
      </c>
      <c r="B31" s="734">
        <v>41426</v>
      </c>
      <c r="C31" s="735">
        <v>600000</v>
      </c>
      <c r="D31" s="736">
        <v>1</v>
      </c>
      <c r="E31" s="735">
        <v>100000</v>
      </c>
      <c r="F31" s="735"/>
      <c r="G31" s="735"/>
      <c r="H31" s="735">
        <v>100000</v>
      </c>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600000</v>
      </c>
      <c r="D49" s="746"/>
      <c r="E49" s="1778">
        <f t="shared" ref="E49:J49" si="2">SUM(E31:E48)</f>
        <v>100000</v>
      </c>
      <c r="F49" s="1778">
        <f t="shared" si="2"/>
        <v>0</v>
      </c>
      <c r="G49" s="1778">
        <f t="shared" si="2"/>
        <v>0</v>
      </c>
      <c r="H49" s="1778">
        <f t="shared" si="2"/>
        <v>100000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c r="G52" s="2223"/>
      <c r="H52" s="737"/>
      <c r="I52" s="737"/>
      <c r="J52" s="747"/>
    </row>
    <row r="53" spans="1:11" ht="11.25" customHeight="1" x14ac:dyDescent="0.2">
      <c r="A53" s="751" t="s">
        <v>969</v>
      </c>
      <c r="B53" s="752" t="s">
        <v>1008</v>
      </c>
      <c r="C53" s="747"/>
      <c r="D53" s="738"/>
      <c r="E53" s="750" t="s">
        <v>518</v>
      </c>
      <c r="F53" s="2224"/>
      <c r="G53" s="2225"/>
      <c r="H53" s="737"/>
      <c r="I53" s="737"/>
      <c r="J53" s="747"/>
    </row>
    <row r="54" spans="1:11" ht="11.25" customHeight="1" x14ac:dyDescent="0.2">
      <c r="A54" s="753" t="s">
        <v>970</v>
      </c>
      <c r="B54" s="748" t="s">
        <v>1009</v>
      </c>
      <c r="C54" s="747"/>
      <c r="D54" s="738"/>
      <c r="E54" s="750" t="s">
        <v>519</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37" sqref="A37:F3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2"/>
      <c r="I1" s="761"/>
      <c r="J1" s="433"/>
    </row>
    <row r="2" spans="1:11" ht="26.25" x14ac:dyDescent="0.2">
      <c r="A2" s="2233" t="s">
        <v>1776</v>
      </c>
      <c r="B2" s="2234"/>
      <c r="C2" s="2234"/>
      <c r="D2" s="2234"/>
      <c r="E2" s="2235"/>
      <c r="F2" s="762" t="s">
        <v>960</v>
      </c>
      <c r="G2" s="763" t="s">
        <v>1773</v>
      </c>
      <c r="H2" s="763" t="s">
        <v>430</v>
      </c>
      <c r="I2" s="763" t="s">
        <v>1220</v>
      </c>
      <c r="J2" s="763" t="s">
        <v>1919</v>
      </c>
      <c r="K2" s="763" t="s">
        <v>140</v>
      </c>
    </row>
    <row r="3" spans="1:11" x14ac:dyDescent="0.2">
      <c r="A3" s="2236" t="s">
        <v>1698</v>
      </c>
      <c r="B3" s="2237"/>
      <c r="C3" s="2237"/>
      <c r="D3" s="2237"/>
      <c r="E3" s="2238"/>
      <c r="F3" s="764"/>
      <c r="G3" s="765"/>
      <c r="H3" s="765"/>
      <c r="I3" s="765"/>
      <c r="J3" s="766"/>
      <c r="K3" s="766"/>
    </row>
    <row r="4" spans="1:11" x14ac:dyDescent="0.2">
      <c r="A4" s="2239" t="s">
        <v>387</v>
      </c>
      <c r="B4" s="2240"/>
      <c r="C4" s="2240"/>
      <c r="D4" s="2240"/>
      <c r="E4" s="2221"/>
      <c r="F4" s="767"/>
      <c r="G4" s="768"/>
      <c r="H4" s="769"/>
      <c r="I4" s="768"/>
      <c r="J4" s="770"/>
      <c r="K4" s="770"/>
    </row>
    <row r="5" spans="1:11" x14ac:dyDescent="0.2">
      <c r="A5" s="2257" t="s">
        <v>1129</v>
      </c>
      <c r="B5" s="2230"/>
      <c r="C5" s="2230"/>
      <c r="D5" s="2230"/>
      <c r="E5" s="2258"/>
      <c r="F5" s="771" t="s">
        <v>903</v>
      </c>
      <c r="G5" s="772"/>
      <c r="H5" s="765">
        <v>22050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7" t="s">
        <v>1920</v>
      </c>
      <c r="B10" s="2230"/>
      <c r="C10" s="2230"/>
      <c r="D10" s="2230"/>
      <c r="E10" s="2259"/>
      <c r="F10" s="784" t="s">
        <v>917</v>
      </c>
      <c r="G10" s="783"/>
      <c r="H10" s="785"/>
      <c r="I10" s="765"/>
      <c r="J10" s="766"/>
      <c r="K10" s="766"/>
    </row>
    <row r="11" spans="1:11" x14ac:dyDescent="0.2">
      <c r="A11" s="2257" t="s">
        <v>162</v>
      </c>
      <c r="B11" s="2230"/>
      <c r="C11" s="2230"/>
      <c r="D11" s="2230"/>
      <c r="E11" s="2258"/>
      <c r="F11" s="771" t="s">
        <v>907</v>
      </c>
      <c r="G11" s="772"/>
      <c r="H11" s="765"/>
      <c r="I11" s="765"/>
      <c r="J11" s="766"/>
      <c r="K11" s="774"/>
    </row>
    <row r="12" spans="1:11" ht="13.5" thickBot="1" x14ac:dyDescent="0.25">
      <c r="A12" s="2247" t="s">
        <v>961</v>
      </c>
      <c r="B12" s="2248"/>
      <c r="C12" s="2248"/>
      <c r="D12" s="2248"/>
      <c r="E12" s="2249"/>
      <c r="F12" s="1779"/>
      <c r="G12" s="1780">
        <f>SUM(G5:G11)</f>
        <v>0</v>
      </c>
      <c r="H12" s="1780">
        <f>SUM(H5:H11)</f>
        <v>22050</v>
      </c>
      <c r="I12" s="1780">
        <f>SUM(I5:I11)</f>
        <v>0</v>
      </c>
      <c r="J12" s="1780">
        <f>SUM(J5:J11)</f>
        <v>0</v>
      </c>
      <c r="K12" s="1780">
        <f>SUM(K5:K11)</f>
        <v>0</v>
      </c>
    </row>
    <row r="13" spans="1:11" ht="13.5" thickTop="1" x14ac:dyDescent="0.2">
      <c r="A13" s="2241" t="s">
        <v>388</v>
      </c>
      <c r="B13" s="2242"/>
      <c r="C13" s="2242"/>
      <c r="D13" s="2242"/>
      <c r="E13" s="2243"/>
      <c r="F13" s="786"/>
      <c r="G13" s="787"/>
      <c r="H13" s="788"/>
      <c r="I13" s="789"/>
      <c r="J13" s="789"/>
      <c r="K13" s="789"/>
    </row>
    <row r="14" spans="1:11" x14ac:dyDescent="0.2">
      <c r="A14" s="2263" t="s">
        <v>476</v>
      </c>
      <c r="B14" s="2263"/>
      <c r="C14" s="2263"/>
      <c r="D14" s="2263"/>
      <c r="E14" s="2264"/>
      <c r="F14" s="790" t="s">
        <v>909</v>
      </c>
      <c r="G14" s="783"/>
      <c r="H14" s="765">
        <v>22050</v>
      </c>
      <c r="I14" s="772"/>
      <c r="J14" s="774"/>
      <c r="K14" s="766"/>
    </row>
    <row r="15" spans="1:11" x14ac:dyDescent="0.2">
      <c r="A15" s="2230" t="s">
        <v>4</v>
      </c>
      <c r="B15" s="2230"/>
      <c r="C15" s="2230"/>
      <c r="D15" s="2230"/>
      <c r="E15" s="2258"/>
      <c r="F15" s="790" t="s">
        <v>910</v>
      </c>
      <c r="G15" s="772"/>
      <c r="H15" s="765"/>
      <c r="I15" s="765"/>
      <c r="J15" s="766"/>
      <c r="K15" s="766"/>
    </row>
    <row r="16" spans="1:11" x14ac:dyDescent="0.2">
      <c r="A16" s="2230" t="s">
        <v>316</v>
      </c>
      <c r="B16" s="2230"/>
      <c r="C16" s="2230"/>
      <c r="D16" s="2230"/>
      <c r="E16" s="2258"/>
      <c r="F16" s="790" t="s">
        <v>980</v>
      </c>
      <c r="G16" s="773"/>
      <c r="H16" s="768"/>
      <c r="I16" s="768"/>
      <c r="J16" s="770"/>
      <c r="K16" s="770"/>
    </row>
    <row r="17" spans="1:11" x14ac:dyDescent="0.2">
      <c r="A17" s="2252" t="s">
        <v>992</v>
      </c>
      <c r="B17" s="2252"/>
      <c r="C17" s="2252"/>
      <c r="D17" s="2252"/>
      <c r="E17" s="2253"/>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65" t="s">
        <v>1916</v>
      </c>
      <c r="B19" s="2265"/>
      <c r="C19" s="2265"/>
      <c r="D19" s="2265"/>
      <c r="E19" s="2266"/>
      <c r="F19" s="790" t="s">
        <v>990</v>
      </c>
      <c r="G19" s="783"/>
      <c r="H19" s="783"/>
      <c r="I19" s="783"/>
      <c r="J19" s="766"/>
      <c r="K19" s="796"/>
    </row>
    <row r="20" spans="1:11" x14ac:dyDescent="0.2">
      <c r="A20" s="2244" t="s">
        <v>1921</v>
      </c>
      <c r="B20" s="2245"/>
      <c r="C20" s="2245"/>
      <c r="D20" s="2245"/>
      <c r="E20" s="2246"/>
      <c r="F20" s="790" t="s">
        <v>991</v>
      </c>
      <c r="G20" s="783"/>
      <c r="H20" s="783"/>
      <c r="I20" s="783"/>
      <c r="J20" s="766"/>
      <c r="K20" s="796"/>
    </row>
    <row r="21" spans="1:11" ht="13.5" thickBot="1" x14ac:dyDescent="0.25">
      <c r="A21" s="2250" t="s">
        <v>659</v>
      </c>
      <c r="B21" s="2250"/>
      <c r="C21" s="2250"/>
      <c r="D21" s="2250"/>
      <c r="E21" s="2250"/>
      <c r="F21" s="1781"/>
      <c r="G21" s="793"/>
      <c r="H21" s="797"/>
      <c r="I21" s="797"/>
      <c r="J21" s="1782">
        <f>SUM(J18:J20)</f>
        <v>0</v>
      </c>
      <c r="K21" s="794"/>
    </row>
    <row r="22" spans="1:11" ht="13.5" thickTop="1" x14ac:dyDescent="0.2">
      <c r="A22" s="2230" t="s">
        <v>1922</v>
      </c>
      <c r="B22" s="2230"/>
      <c r="C22" s="2230"/>
      <c r="D22" s="2230"/>
      <c r="E22" s="2258"/>
      <c r="F22" s="790" t="s">
        <v>917</v>
      </c>
      <c r="G22" s="783"/>
      <c r="H22" s="765"/>
      <c r="I22" s="765"/>
      <c r="J22" s="798"/>
      <c r="K22" s="766"/>
    </row>
    <row r="23" spans="1:11" ht="13.5" thickBot="1" x14ac:dyDescent="0.25">
      <c r="A23" s="2251" t="s">
        <v>962</v>
      </c>
      <c r="B23" s="2250"/>
      <c r="C23" s="2250"/>
      <c r="D23" s="2250"/>
      <c r="E23" s="2250"/>
      <c r="F23" s="1783"/>
      <c r="G23" s="1780">
        <f>SUM(G14:G16,G21,G22)</f>
        <v>0</v>
      </c>
      <c r="H23" s="1780">
        <f>SUM(H14:H16,H21,H22)</f>
        <v>22050</v>
      </c>
      <c r="I23" s="1780">
        <f>SUM(I14:I16,I21,I22)</f>
        <v>0</v>
      </c>
      <c r="J23" s="1780">
        <f>SUM(J14:J16,J21,J22)</f>
        <v>0</v>
      </c>
      <c r="K23" s="1780">
        <f>SUM(K14:K16,K21,K22)</f>
        <v>0</v>
      </c>
    </row>
    <row r="24" spans="1:11" ht="14.25" thickTop="1" thickBot="1" x14ac:dyDescent="0.25">
      <c r="A24" s="2251" t="s">
        <v>2024</v>
      </c>
      <c r="B24" s="2250"/>
      <c r="C24" s="2250"/>
      <c r="D24" s="2250"/>
      <c r="E24" s="2250"/>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0"/>
      <c r="I31" s="2261"/>
      <c r="J31" s="2261"/>
      <c r="K31" s="2261"/>
    </row>
    <row r="32" spans="1:11" x14ac:dyDescent="0.2">
      <c r="A32" s="810"/>
      <c r="B32" s="237"/>
      <c r="C32" s="237"/>
      <c r="D32" s="237"/>
      <c r="E32" s="806"/>
      <c r="F32" s="812" t="s">
        <v>561</v>
      </c>
      <c r="G32" s="765"/>
      <c r="H32" s="2262"/>
      <c r="I32" s="2261"/>
      <c r="J32" s="2261"/>
      <c r="K32" s="2261"/>
    </row>
    <row r="33" spans="1:11" ht="1.5" customHeight="1" x14ac:dyDescent="0.2">
      <c r="A33" s="813" t="s">
        <v>1231</v>
      </c>
      <c r="B33" s="364"/>
      <c r="C33" s="364"/>
      <c r="D33" s="364"/>
      <c r="E33" s="364"/>
      <c r="F33" s="364"/>
      <c r="G33" s="814"/>
      <c r="H33" s="2262"/>
      <c r="I33" s="2261"/>
      <c r="J33" s="2261"/>
      <c r="K33" s="226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0" t="s">
        <v>562</v>
      </c>
      <c r="B41" s="2231"/>
      <c r="C41" s="2231"/>
      <c r="D41" s="2231"/>
      <c r="E41" s="2231"/>
      <c r="F41" s="223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37" sqref="A37:F3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2033</v>
      </c>
      <c r="B1" s="2270"/>
      <c r="C1" s="2271"/>
      <c r="D1" s="827"/>
      <c r="E1" s="828"/>
      <c r="F1" s="828"/>
      <c r="G1" s="829"/>
      <c r="H1" s="830"/>
      <c r="I1" s="831"/>
      <c r="J1" s="2267"/>
      <c r="K1" s="2268"/>
      <c r="L1" s="2268"/>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29900</v>
      </c>
      <c r="D5" s="842"/>
      <c r="E5" s="842"/>
      <c r="F5" s="1782">
        <f>(C5+D5)-E5</f>
        <v>29900</v>
      </c>
      <c r="G5" s="838"/>
      <c r="H5" s="843"/>
      <c r="I5" s="843"/>
      <c r="J5" s="843"/>
      <c r="K5" s="794"/>
      <c r="L5" s="1791">
        <f>F5-K5</f>
        <v>29900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2331706</v>
      </c>
      <c r="D8" s="845"/>
      <c r="E8" s="845"/>
      <c r="F8" s="1782">
        <f>(C8+D8)-E8</f>
        <v>2331706</v>
      </c>
      <c r="G8" s="844">
        <v>50</v>
      </c>
      <c r="H8" s="766">
        <v>1373593</v>
      </c>
      <c r="I8" s="766">
        <v>34627</v>
      </c>
      <c r="J8" s="766"/>
      <c r="K8" s="1791">
        <f>(H8+I8)-J8</f>
        <v>1408220</v>
      </c>
      <c r="L8" s="1791">
        <f>F8-K8</f>
        <v>923486</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153192</v>
      </c>
      <c r="D10" s="847"/>
      <c r="E10" s="847"/>
      <c r="F10" s="1786">
        <f>(C10+D10)-E10</f>
        <v>153192</v>
      </c>
      <c r="G10" s="844">
        <v>20</v>
      </c>
      <c r="H10" s="848">
        <v>106141</v>
      </c>
      <c r="I10" s="848">
        <v>6128</v>
      </c>
      <c r="J10" s="848"/>
      <c r="K10" s="1791">
        <f>(H10+I10)-J10</f>
        <v>112269</v>
      </c>
      <c r="L10" s="1791">
        <f>F10-K10</f>
        <v>40923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164086</v>
      </c>
      <c r="D12" s="845">
        <f>38436+45000</f>
        <v>83436</v>
      </c>
      <c r="E12" s="845"/>
      <c r="F12" s="1782">
        <f>(C12+D12)-E12</f>
        <v>247522</v>
      </c>
      <c r="G12" s="844">
        <v>10</v>
      </c>
      <c r="H12" s="766">
        <v>21846</v>
      </c>
      <c r="I12" s="766">
        <f>6966+19731+25500</f>
        <v>52197</v>
      </c>
      <c r="J12" s="766"/>
      <c r="K12" s="1791">
        <f>(H12+I12)-J12</f>
        <v>74043</v>
      </c>
      <c r="L12" s="1791">
        <f>F12-K12</f>
        <v>173479</v>
      </c>
    </row>
    <row r="13" spans="1:14" ht="14.25" thickTop="1" thickBot="1" x14ac:dyDescent="0.25">
      <c r="A13" s="849" t="s">
        <v>1184</v>
      </c>
      <c r="B13" s="841">
        <v>252</v>
      </c>
      <c r="C13" s="845"/>
      <c r="D13" s="845">
        <f>431522+173061</f>
        <v>604583</v>
      </c>
      <c r="E13" s="845">
        <v>168526</v>
      </c>
      <c r="F13" s="1782">
        <f>(C13+D13)-E13</f>
        <v>436057</v>
      </c>
      <c r="G13" s="844">
        <v>5</v>
      </c>
      <c r="H13" s="766"/>
      <c r="I13" s="766">
        <f>143037+76914</f>
        <v>219951</v>
      </c>
      <c r="J13" s="766">
        <v>95001</v>
      </c>
      <c r="K13" s="1791">
        <f>(H13+I13)-J13</f>
        <v>124950</v>
      </c>
      <c r="L13" s="1791">
        <f>F13-K13</f>
        <v>311107</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2678884</v>
      </c>
      <c r="D16" s="1782">
        <f>SUM(D3,D5:D6,D8:D10,D12:D15)</f>
        <v>688019</v>
      </c>
      <c r="E16" s="1782">
        <f>SUM(E3,E5:E6,E8:E10,E12:E15)</f>
        <v>168526</v>
      </c>
      <c r="F16" s="1782">
        <f>SUM(F3,F5:F6,F8:F10,F12:F15)</f>
        <v>3198377</v>
      </c>
      <c r="G16" s="844"/>
      <c r="H16" s="1782">
        <f>SUM(H3,H6,H8:H10,H12:H14,)</f>
        <v>1501580</v>
      </c>
      <c r="I16" s="1782">
        <f>SUM(I3,I6,I8:I10,I12:I14,)</f>
        <v>312903</v>
      </c>
      <c r="J16" s="1782">
        <f>SUM(J3,J6,J8:J10,J12:J14,)</f>
        <v>95001</v>
      </c>
      <c r="K16" s="1782">
        <f>(H16+I16)-J16</f>
        <v>1719482</v>
      </c>
      <c r="L16" s="1782">
        <f>F16-K16</f>
        <v>1478895</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312903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37" sqref="A37:F37"/>
      <selection pane="bottomLeft" activeCell="A37" sqref="A37:F3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2757607</v>
      </c>
      <c r="G8" s="866"/>
    </row>
    <row r="9" spans="1:7" x14ac:dyDescent="0.2">
      <c r="A9" s="870" t="s">
        <v>480</v>
      </c>
      <c r="B9" s="871" t="s">
        <v>1988</v>
      </c>
      <c r="C9" s="872"/>
      <c r="D9" s="870" t="s">
        <v>522</v>
      </c>
      <c r="E9" s="869"/>
      <c r="F9" s="1935">
        <f>'Expenditures 15-22'!K151</f>
        <v>217993</v>
      </c>
      <c r="G9" s="873"/>
    </row>
    <row r="10" spans="1:7" x14ac:dyDescent="0.2">
      <c r="A10" s="870" t="s">
        <v>520</v>
      </c>
      <c r="B10" s="871" t="s">
        <v>1989</v>
      </c>
      <c r="C10" s="872"/>
      <c r="D10" s="870" t="s">
        <v>522</v>
      </c>
      <c r="E10" s="869"/>
      <c r="F10" s="1935">
        <f>'Expenditures 15-22'!K174</f>
        <v>102625</v>
      </c>
      <c r="G10" s="873"/>
    </row>
    <row r="11" spans="1:7" x14ac:dyDescent="0.2">
      <c r="A11" s="870" t="s">
        <v>481</v>
      </c>
      <c r="B11" s="871" t="s">
        <v>1990</v>
      </c>
      <c r="C11" s="872"/>
      <c r="D11" s="870" t="s">
        <v>522</v>
      </c>
      <c r="E11" s="869"/>
      <c r="F11" s="1935">
        <f>'Expenditures 15-22'!K210</f>
        <v>260140</v>
      </c>
      <c r="G11" s="873"/>
    </row>
    <row r="12" spans="1:7" x14ac:dyDescent="0.2">
      <c r="A12" s="870" t="s">
        <v>482</v>
      </c>
      <c r="B12" s="871" t="s">
        <v>1991</v>
      </c>
      <c r="C12" s="872"/>
      <c r="D12" s="870" t="s">
        <v>522</v>
      </c>
      <c r="E12" s="869"/>
      <c r="F12" s="1935">
        <f>'Expenditures 15-22'!K295</f>
        <v>83004</v>
      </c>
      <c r="G12" s="873"/>
    </row>
    <row r="13" spans="1:7" x14ac:dyDescent="0.2">
      <c r="A13" s="870" t="s">
        <v>108</v>
      </c>
      <c r="B13" s="871" t="s">
        <v>1992</v>
      </c>
      <c r="C13" s="872"/>
      <c r="D13" s="870" t="s">
        <v>522</v>
      </c>
      <c r="E13" s="869"/>
      <c r="F13" s="1935">
        <f>'Expenditures 15-22'!K342</f>
        <v>207037</v>
      </c>
      <c r="G13" s="874"/>
    </row>
    <row r="14" spans="1:7" ht="12" customHeight="1" thickBot="1" x14ac:dyDescent="0.25">
      <c r="A14" s="1792"/>
      <c r="B14" s="1793"/>
      <c r="C14" s="1794"/>
      <c r="D14" s="1795" t="s">
        <v>522</v>
      </c>
      <c r="E14" s="1796" t="s">
        <v>1015</v>
      </c>
      <c r="F14" s="1797">
        <f>SUM(F8:F13)</f>
        <v>3628406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126298</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10700</v>
      </c>
      <c r="G52" s="866"/>
    </row>
    <row r="53" spans="1:7" x14ac:dyDescent="0.2">
      <c r="A53" s="870" t="s">
        <v>479</v>
      </c>
      <c r="B53" s="870" t="s">
        <v>1551</v>
      </c>
      <c r="C53" s="890">
        <f>'Expenditures 15-22'!B102</f>
        <v>4000</v>
      </c>
      <c r="D53" s="889" t="str">
        <f>'Expenditures 15-22'!A102</f>
        <v>Total Payments to Other Govt Units</v>
      </c>
      <c r="E53" s="869"/>
      <c r="F53" s="1939">
        <f>'Expenditures 15-22'!K102</f>
        <v>587407</v>
      </c>
      <c r="G53" s="866"/>
    </row>
    <row r="54" spans="1:7" x14ac:dyDescent="0.2">
      <c r="A54" s="870" t="s">
        <v>479</v>
      </c>
      <c r="B54" s="870" t="s">
        <v>1552</v>
      </c>
      <c r="C54" s="890" t="s">
        <v>1039</v>
      </c>
      <c r="D54" s="886" t="s">
        <v>1157</v>
      </c>
      <c r="E54" s="869"/>
      <c r="F54" s="1939">
        <f>'Expenditures 15-22'!G114</f>
        <v>25890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100000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80773</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1074</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102</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932244</v>
      </c>
      <c r="G76" s="866"/>
    </row>
    <row r="77" spans="1:8" s="894" customFormat="1" ht="12" customHeight="1" thickTop="1" thickBot="1" x14ac:dyDescent="0.25">
      <c r="A77" s="1801"/>
      <c r="B77" s="1798"/>
      <c r="C77" s="1794"/>
      <c r="D77" s="1799" t="s">
        <v>2011</v>
      </c>
      <c r="E77" s="1796"/>
      <c r="F77" s="1802">
        <f>(F14-F76)</f>
        <v>2696162</v>
      </c>
      <c r="G77" s="870"/>
    </row>
    <row r="78" spans="1:8" s="894" customFormat="1" ht="12" customHeight="1" thickTop="1" x14ac:dyDescent="0.2">
      <c r="A78" s="1803"/>
      <c r="B78" s="1798"/>
      <c r="C78" s="1794"/>
      <c r="D78" s="1799" t="s">
        <v>2057</v>
      </c>
      <c r="E78" s="1796"/>
      <c r="F78" s="899">
        <v>227.82</v>
      </c>
      <c r="G78" s="900"/>
      <c r="H78" s="870"/>
    </row>
    <row r="79" spans="1:8" s="894" customFormat="1" ht="12" customHeight="1" thickBot="1" x14ac:dyDescent="0.25">
      <c r="A79" s="1804"/>
      <c r="B79" s="1798"/>
      <c r="C79" s="1794"/>
      <c r="D79" s="1799" t="s">
        <v>2012</v>
      </c>
      <c r="E79" s="1796" t="s">
        <v>1015</v>
      </c>
      <c r="F79" s="1805">
        <f>IF(F78&gt;0,F77/F78," Complete Line 78")</f>
        <v>11834.615046966905</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47821</v>
      </c>
      <c r="G94" s="913"/>
    </row>
    <row r="95" spans="1:7" x14ac:dyDescent="0.2">
      <c r="A95" s="909" t="s">
        <v>142</v>
      </c>
      <c r="B95" s="909" t="s">
        <v>177</v>
      </c>
      <c r="C95" s="911">
        <v>1700</v>
      </c>
      <c r="D95" s="919" t="str">
        <f>'Revenues 9-14'!A82</f>
        <v>Total District/School Activity Income</v>
      </c>
      <c r="E95" s="907"/>
      <c r="F95" s="1811">
        <f>SUM('Revenues 9-14'!C82,'Revenues 9-14'!D82)</f>
        <v>20870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16169</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30294</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40979</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922</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255118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38345</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72631</v>
      </c>
      <c r="G129" s="931"/>
    </row>
    <row r="130" spans="1:7" x14ac:dyDescent="0.2">
      <c r="A130" s="928" t="s">
        <v>689</v>
      </c>
      <c r="B130" s="928" t="s">
        <v>804</v>
      </c>
      <c r="C130" s="933">
        <v>4300</v>
      </c>
      <c r="D130" s="934" t="str">
        <f>'Revenues 9-14'!A211</f>
        <v>Total Title I</v>
      </c>
      <c r="E130" s="907"/>
      <c r="F130" s="1811">
        <f>SUM('Revenues 9-14'!C211,'Revenues 9-14'!D211,'Revenues 9-14'!F211,'Revenues 9-14'!G211)</f>
        <v>77908</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359</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11474</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612890</v>
      </c>
    </row>
    <row r="179" spans="1:7" ht="12" customHeight="1" x14ac:dyDescent="0.2">
      <c r="A179" s="1792"/>
      <c r="B179" s="1806"/>
      <c r="C179" s="1807"/>
      <c r="D179" s="1808" t="s">
        <v>2014</v>
      </c>
      <c r="E179" s="1809"/>
      <c r="F179" s="1811">
        <f>'PCTC-OEPP 27-28'!F77-F178</f>
        <v>2083272</v>
      </c>
    </row>
    <row r="180" spans="1:7" ht="12" customHeight="1" x14ac:dyDescent="0.2">
      <c r="A180" s="1792"/>
      <c r="B180" s="1806"/>
      <c r="C180" s="1807"/>
      <c r="D180" s="1808" t="s">
        <v>1924</v>
      </c>
      <c r="E180" s="1809"/>
      <c r="F180" s="1811">
        <f>'Cap Outlay Deprec 26'!I18</f>
        <v>312903</v>
      </c>
    </row>
    <row r="181" spans="1:7" ht="12" customHeight="1" x14ac:dyDescent="0.2">
      <c r="A181" s="1792"/>
      <c r="B181" s="1806"/>
      <c r="C181" s="1807"/>
      <c r="D181" s="1808" t="s">
        <v>2015</v>
      </c>
      <c r="E181" s="1809"/>
      <c r="F181" s="1811">
        <f>F179+F180</f>
        <v>2396175</v>
      </c>
    </row>
    <row r="182" spans="1:7" ht="12" customHeight="1" x14ac:dyDescent="0.2">
      <c r="A182" s="1792"/>
      <c r="B182" s="1812"/>
      <c r="C182" s="1807"/>
      <c r="D182" s="1808" t="str">
        <f>D78</f>
        <v>9 Month ADA from District Average Daily Attendance/Prior General State Aid Inquiry 2017-2018</v>
      </c>
      <c r="E182" s="1809"/>
      <c r="F182" s="1813">
        <f>'PCTC-OEPP 27-28'!F78</f>
        <v>227.82</v>
      </c>
      <c r="G182" s="931"/>
    </row>
    <row r="183" spans="1:7" ht="12" customHeight="1" thickBot="1" x14ac:dyDescent="0.25">
      <c r="A183" s="1792"/>
      <c r="B183" s="1812"/>
      <c r="C183" s="1807"/>
      <c r="D183" s="1808" t="s">
        <v>2016</v>
      </c>
      <c r="E183" s="1809" t="s">
        <v>1626</v>
      </c>
      <c r="F183" s="1814">
        <f>F181/F182</f>
        <v>10517.84303397419</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37" sqref="A37:F37"/>
      <selection pane="bottomLeft" activeCell="A37" sqref="A37:F3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6" t="s">
        <v>1926</v>
      </c>
      <c r="B6" s="1557"/>
      <c r="C6" s="1557"/>
      <c r="D6" s="1557"/>
      <c r="E6" s="1557"/>
      <c r="F6" s="1557"/>
      <c r="G6" s="1558"/>
    </row>
    <row r="7" spans="1:7" ht="30.75" customHeight="1" x14ac:dyDescent="0.25">
      <c r="A7" s="2292" t="s">
        <v>2073</v>
      </c>
      <c r="B7" s="2293"/>
      <c r="C7" s="2293"/>
      <c r="D7" s="2293"/>
      <c r="E7" s="2293"/>
      <c r="F7" s="2293"/>
      <c r="G7" s="2294"/>
    </row>
    <row r="8" spans="1:7" ht="15.75" customHeight="1" x14ac:dyDescent="0.25">
      <c r="A8" s="2295" t="s">
        <v>2022</v>
      </c>
      <c r="B8" s="2296"/>
      <c r="C8" s="2296"/>
      <c r="D8" s="2296"/>
      <c r="E8" s="2296"/>
      <c r="F8" s="2296"/>
      <c r="G8" s="2297"/>
    </row>
    <row r="9" spans="1:7" ht="35.25" customHeight="1" x14ac:dyDescent="0.25">
      <c r="A9" s="2292" t="s">
        <v>2076</v>
      </c>
      <c r="B9" s="2293"/>
      <c r="C9" s="2293"/>
      <c r="D9" s="2293"/>
      <c r="E9" s="2293"/>
      <c r="F9" s="2293"/>
      <c r="G9" s="2294"/>
    </row>
    <row r="10" spans="1:7" ht="15" customHeight="1" x14ac:dyDescent="0.25">
      <c r="A10" s="1559" t="s">
        <v>1927</v>
      </c>
      <c r="B10" s="1560"/>
      <c r="C10" s="1560"/>
      <c r="D10" s="1560"/>
      <c r="E10" s="1560"/>
      <c r="F10" s="1560"/>
      <c r="G10" s="1561"/>
    </row>
    <row r="11" spans="1:7" ht="17.25" customHeight="1" x14ac:dyDescent="0.25">
      <c r="A11" s="2292" t="s">
        <v>2075</v>
      </c>
      <c r="B11" s="2293"/>
      <c r="C11" s="2293"/>
      <c r="D11" s="2293"/>
      <c r="E11" s="2293"/>
      <c r="F11" s="2293"/>
      <c r="G11" s="2294"/>
    </row>
    <row r="12" spans="1:7" ht="15" customHeight="1" x14ac:dyDescent="0.25">
      <c r="A12" s="1559" t="s">
        <v>1932</v>
      </c>
      <c r="B12" s="1560"/>
      <c r="C12" s="1560"/>
      <c r="D12" s="1560"/>
      <c r="E12" s="1560"/>
      <c r="F12" s="1560"/>
      <c r="G12" s="1561"/>
    </row>
    <row r="13" spans="1:7" ht="32.25" customHeight="1" x14ac:dyDescent="0.25">
      <c r="A13" s="2283" t="s">
        <v>1933</v>
      </c>
      <c r="B13" s="2284"/>
      <c r="C13" s="2284"/>
      <c r="D13" s="2284"/>
      <c r="E13" s="2284"/>
      <c r="F13" s="2284"/>
      <c r="G13" s="2285"/>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956" t="s">
        <v>2105</v>
      </c>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A37" sqref="A37:F3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3" t="s">
        <v>1944</v>
      </c>
      <c r="B11" s="2304"/>
      <c r="C11" s="2304"/>
      <c r="D11" s="2305"/>
      <c r="E11" s="978">
        <v>12893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1457387</v>
      </c>
      <c r="F19" s="1822"/>
      <c r="G19" s="1824">
        <f>'Expenditures 15-22'!K33-SUM('Expenditures 15-22'!G33,'Expenditures 15-22'!I33)+'Expenditures 15-22'!D229</f>
        <v>1457387</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155148</v>
      </c>
      <c r="F21" s="1825"/>
      <c r="G21" s="1828">
        <f>'Expenditures 15-22'!K42-SUM('Expenditures 15-22'!G42,'Expenditures 15-22'!I42)+'Expenditures 15-22'!K120-SUM('Expenditures 15-22'!G120,'Expenditures 15-22'!I120)+'Expenditures 15-22'!K180-SUM('Expenditures 15-22'!G180,'Expenditures 15-22'!I180)+'Expenditures 15-22'!D238</f>
        <v>155148</v>
      </c>
      <c r="H21" s="988"/>
      <c r="I21" s="162"/>
    </row>
    <row r="22" spans="1:9" s="669" customFormat="1" ht="12" customHeight="1" x14ac:dyDescent="0.2">
      <c r="A22" s="995" t="s">
        <v>585</v>
      </c>
      <c r="B22" s="996"/>
      <c r="C22" s="994">
        <v>2200</v>
      </c>
      <c r="D22" s="1825"/>
      <c r="E22" s="1827">
        <f>'Expenditures 15-22'!K47-SUM('Expenditures 15-22'!G47,'Expenditures 15-22'!I47)+'Expenditures 15-22'!D243</f>
        <v>53470</v>
      </c>
      <c r="F22" s="1825"/>
      <c r="G22" s="1828">
        <f>'Expenditures 15-22'!K47-SUM('Expenditures 15-22'!G47,'Expenditures 15-22'!I47)+'Expenditures 15-22'!D243</f>
        <v>53470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378906</v>
      </c>
      <c r="F23" s="1825"/>
      <c r="G23" s="1827">
        <f>'Expenditures 15-22'!K53-SUM('Expenditures 15-22'!G53,'Expenditures 15-22'!I53)+'Expenditures 15-22'!D257+'Expenditures 15-22'!K330-SUM('Expenditures 15-22'!G330,'Expenditures 15-22'!I330)</f>
        <v>378906</v>
      </c>
      <c r="H23" s="988"/>
      <c r="I23" s="162"/>
    </row>
    <row r="24" spans="1:9" s="669" customFormat="1" ht="12" customHeight="1" x14ac:dyDescent="0.2">
      <c r="A24" s="995" t="s">
        <v>587</v>
      </c>
      <c r="B24" s="996"/>
      <c r="C24" s="994">
        <v>2400</v>
      </c>
      <c r="D24" s="1825"/>
      <c r="E24" s="1827">
        <f>'Expenditures 15-22'!K57-SUM('Expenditures 15-22'!G57,'Expenditures 15-22'!I57)+'Expenditures 15-22'!D261</f>
        <v>98098</v>
      </c>
      <c r="F24" s="1825"/>
      <c r="G24" s="1828">
        <f>'Expenditures 15-22'!K57-SUM('Expenditures 15-22'!G57,'Expenditures 15-22'!I57)+'Expenditures 15-22'!D261</f>
        <v>98098</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323</v>
      </c>
      <c r="E26" s="1827">
        <f>'Expenditures 15-22'!K122-SUM('Expenditures 15-22'!G122,'Expenditures 15-22'!I122)+E7</f>
        <v>0</v>
      </c>
      <c r="F26" s="1827">
        <f>'Expenditures 15-22'!K59-SUM('Expenditures 15-22'!G59,'Expenditures 15-22'!I59)+'Expenditures 15-22'!D263-E7</f>
        <v>323</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97247</v>
      </c>
      <c r="E27" s="1827">
        <f>E8</f>
        <v>0</v>
      </c>
      <c r="F27" s="1827">
        <f>'Expenditures 15-22'!K60-SUM('Expenditures 15-22'!G60,'Expenditures 15-22'!I60)+'Expenditures 15-22'!D264-E8</f>
        <v>97247</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230295</v>
      </c>
      <c r="F28" s="1829">
        <f>'Expenditures 15-22'!K61-SUM('Expenditures 15-22'!G61,'Expenditures 15-22'!I61)+'Expenditures 15-22'!K124-SUM('Expenditures 15-22'!G124,'Expenditures 15-22'!I124)+'Expenditures 15-22'!D266-E9</f>
        <v>230295</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190407</v>
      </c>
      <c r="F29" s="1825"/>
      <c r="G29" s="1828">
        <f>'Expenditures 15-22'!K62-SUM('Expenditures 15-22'!G62,'Expenditures 15-22'!I62)+'Expenditures 15-22'!K125-SUM('Expenditures 15-22'!G125,'Expenditures 15-22'!I125)+'Expenditures 15-22'!K182-SUM('Expenditures 15-22'!G182,'Expenditures 15-22'!I182)+'Expenditures 15-22'!D267</f>
        <v>190407</v>
      </c>
      <c r="H29" s="986"/>
    </row>
    <row r="30" spans="1:9" ht="12" customHeight="1" x14ac:dyDescent="0.2">
      <c r="A30" s="995" t="s">
        <v>102</v>
      </c>
      <c r="B30" s="998"/>
      <c r="C30" s="994">
        <v>2560</v>
      </c>
      <c r="D30" s="1825"/>
      <c r="E30" s="1827">
        <f>'Expenditures 15-22'!K63-SUM('Expenditures 15-22'!G63,'Expenditures 15-22'!I63)+'Expenditures 15-22'!D268-E10</f>
        <v>134249</v>
      </c>
      <c r="F30" s="1825"/>
      <c r="G30" s="1827">
        <f>'Expenditures 15-22'!K63-SUM('Expenditures 15-22'!G63,'Expenditures 15-22'!I63)+'Expenditures 15-22'!D268-E10</f>
        <v>134249</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25143</v>
      </c>
      <c r="F35" s="1825"/>
      <c r="G35" s="1827">
        <f>'Expenditures 15-22'!K69-SUM('Expenditures 15-22'!G69,'Expenditures 15-22'!I69)+'Expenditures 15-22'!D274</f>
        <v>25143</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10802</v>
      </c>
      <c r="F39" s="1825"/>
      <c r="G39" s="1827">
        <f>'Expenditures 15-22'!K75-SUM('Expenditures 15-22'!G75,'Expenditures 15-22'!I75)+'Expenditures 15-22'!K130-SUM('Expenditures 15-22'!G130,'Expenditures 15-22'!I130)+'Expenditures 15-22'!K185-SUM('Expenditures 15-22'!G185,'Expenditures 15-22'!I185)+'Expenditures 15-22'!D280</f>
        <v>10802</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97570</v>
      </c>
      <c r="E41" s="1829">
        <f>SUM(E19:E40)</f>
        <v>2733905</v>
      </c>
      <c r="F41" s="1829">
        <f>SUM(F19:F39)</f>
        <v>327865</v>
      </c>
      <c r="G41" s="1829">
        <f>SUM(G19:G40)</f>
        <v>2503610</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97570</v>
      </c>
      <c r="F43" s="1830" t="s">
        <v>495</v>
      </c>
      <c r="G43" s="1831">
        <f>F41</f>
        <v>327865</v>
      </c>
    </row>
    <row r="44" spans="1:7" ht="12" customHeight="1" x14ac:dyDescent="0.2">
      <c r="A44" s="988"/>
      <c r="B44" s="162"/>
      <c r="C44" s="1002"/>
      <c r="D44" s="1830" t="s">
        <v>494</v>
      </c>
      <c r="E44" s="1831">
        <f>E41</f>
        <v>2733905</v>
      </c>
      <c r="F44" s="1830" t="s">
        <v>494</v>
      </c>
      <c r="G44" s="1831">
        <f>G41</f>
        <v>2503610</v>
      </c>
    </row>
    <row r="45" spans="1:7" ht="12" customHeight="1" x14ac:dyDescent="0.2">
      <c r="A45" s="988"/>
      <c r="B45" s="162"/>
      <c r="C45" s="162"/>
      <c r="D45" s="1832" t="s">
        <v>1063</v>
      </c>
      <c r="E45" s="1833">
        <f>(E43/E44)</f>
        <v>3.5688877265303662E-2</v>
      </c>
      <c r="F45" s="1832" t="s">
        <v>1063</v>
      </c>
      <c r="G45" s="1833">
        <f>(G43/G44)</f>
        <v>0.13095689823894296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9" firstPageNumber="30" fitToWidth="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37" sqref="A37:F37"/>
      <selection pane="bottomLeft" activeCell="A37" sqref="A37:F37"/>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09" t="s">
        <v>1446</v>
      </c>
      <c r="B1" s="2309"/>
      <c r="C1" s="2309"/>
      <c r="D1" s="2309"/>
      <c r="E1" s="2309"/>
      <c r="F1" s="2309"/>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0" t="s">
        <v>1627</v>
      </c>
      <c r="B5" s="2311"/>
      <c r="C5" s="2312"/>
      <c r="D5" s="2312"/>
      <c r="E5" s="2312"/>
      <c r="F5" s="2312"/>
    </row>
    <row r="6" spans="1:10" ht="12" customHeight="1" x14ac:dyDescent="0.25">
      <c r="A6" s="1875"/>
      <c r="B6" s="1876"/>
      <c r="C6" s="2313" t="str">
        <f>COVER!A17</f>
        <v>Nauvoo-Colusa CUSD 325</v>
      </c>
      <c r="D6" s="2313"/>
      <c r="E6" s="2313"/>
      <c r="F6" s="1877"/>
    </row>
    <row r="7" spans="1:10" ht="11.25" customHeight="1" thickBot="1" x14ac:dyDescent="0.3">
      <c r="A7" s="1875"/>
      <c r="B7" s="1876"/>
      <c r="C7" s="2314">
        <f>COVER!A13</f>
        <v>26034325026</v>
      </c>
      <c r="D7" s="2314"/>
      <c r="E7" s="2314"/>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t="s">
        <v>2077</v>
      </c>
      <c r="D13" s="1890" t="s">
        <v>2077</v>
      </c>
      <c r="E13" s="1893"/>
      <c r="F13" s="1892" t="s">
        <v>2099</v>
      </c>
      <c r="H13" s="1903">
        <f t="shared" si="0"/>
        <v>5</v>
      </c>
      <c r="I13" s="1903">
        <f t="shared" si="1"/>
        <v>5</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t="s">
        <v>2077</v>
      </c>
      <c r="D24" s="1890" t="s">
        <v>2077</v>
      </c>
      <c r="E24" s="1893"/>
      <c r="F24" s="1892" t="s">
        <v>2100</v>
      </c>
      <c r="H24" s="1903">
        <f t="shared" si="0"/>
        <v>5</v>
      </c>
      <c r="I24" s="1903">
        <f t="shared" si="1"/>
        <v>5</v>
      </c>
      <c r="J24" s="1903">
        <f t="shared" si="2"/>
        <v>0</v>
      </c>
    </row>
    <row r="25" spans="1:12" ht="12" customHeight="1" x14ac:dyDescent="0.2">
      <c r="A25" s="1888" t="s">
        <v>1614</v>
      </c>
      <c r="B25" s="1889"/>
      <c r="C25" s="1890" t="s">
        <v>2077</v>
      </c>
      <c r="D25" s="1890" t="s">
        <v>2077</v>
      </c>
      <c r="E25" s="1893"/>
      <c r="F25" s="1892" t="s">
        <v>2101</v>
      </c>
      <c r="H25" s="1903">
        <f t="shared" si="0"/>
        <v>5</v>
      </c>
      <c r="I25" s="1903">
        <f t="shared" si="1"/>
        <v>5</v>
      </c>
      <c r="J25" s="1903">
        <f t="shared" si="2"/>
        <v>0</v>
      </c>
    </row>
    <row r="26" spans="1:12" ht="12" customHeight="1" x14ac:dyDescent="0.2">
      <c r="A26" s="1888" t="s">
        <v>1615</v>
      </c>
      <c r="B26" s="1889"/>
      <c r="C26" s="1890" t="s">
        <v>2077</v>
      </c>
      <c r="D26" s="1890" t="s">
        <v>2077</v>
      </c>
      <c r="E26" s="1893"/>
      <c r="F26" s="1892" t="s">
        <v>2102</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t="s">
        <v>2077</v>
      </c>
      <c r="D28" s="1890" t="s">
        <v>2077</v>
      </c>
      <c r="E28" s="1893"/>
      <c r="F28" s="1892" t="s">
        <v>2103</v>
      </c>
      <c r="H28" s="1903">
        <f t="shared" si="0"/>
        <v>5</v>
      </c>
      <c r="I28" s="1903">
        <f t="shared" si="1"/>
        <v>5</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25</v>
      </c>
      <c r="I34" s="1903">
        <f>SUM(I11:I32)</f>
        <v>25</v>
      </c>
      <c r="J34" s="1903">
        <f>SUM(J11:J32)</f>
        <v>0</v>
      </c>
      <c r="K34" s="1903">
        <f>SUM(H34:J34)</f>
        <v>50</v>
      </c>
    </row>
    <row r="35" spans="1:11" ht="12" customHeight="1" x14ac:dyDescent="0.2">
      <c r="A35" s="1896" t="s">
        <v>1459</v>
      </c>
      <c r="B35" s="1897"/>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8"/>
      <c r="B39" s="1898"/>
      <c r="C39" s="1898"/>
      <c r="D39" s="1898"/>
      <c r="E39" s="1898"/>
      <c r="F39" s="1898"/>
    </row>
    <row r="40" spans="1:11" s="1895" customFormat="1" ht="12" customHeight="1" x14ac:dyDescent="0.25">
      <c r="A40" s="1899" t="s">
        <v>1458</v>
      </c>
      <c r="B40" s="1900"/>
      <c r="C40" s="2323"/>
      <c r="D40" s="2323"/>
      <c r="E40" s="2323"/>
      <c r="F40" s="2324"/>
      <c r="H40" s="1904"/>
      <c r="I40" s="1904"/>
      <c r="J40" s="1904"/>
      <c r="K40" s="1904"/>
    </row>
    <row r="41" spans="1:11" s="1895" customFormat="1" ht="12" customHeight="1" x14ac:dyDescent="0.25">
      <c r="A41" s="2325"/>
      <c r="B41" s="2326"/>
      <c r="C41" s="2326"/>
      <c r="D41" s="2326"/>
      <c r="E41" s="2326"/>
      <c r="F41" s="2327"/>
      <c r="H41" s="1904"/>
      <c r="I41" s="1904"/>
      <c r="J41" s="1904"/>
      <c r="K41" s="1904"/>
    </row>
    <row r="42" spans="1:11" s="1895" customFormat="1" ht="12" customHeight="1" x14ac:dyDescent="0.25">
      <c r="A42" s="2325"/>
      <c r="B42" s="2326"/>
      <c r="C42" s="2326"/>
      <c r="D42" s="2326"/>
      <c r="E42" s="2326"/>
      <c r="F42" s="2327"/>
      <c r="H42" s="1904"/>
      <c r="I42" s="1904"/>
      <c r="J42" s="1904"/>
      <c r="K42" s="1904"/>
    </row>
    <row r="43" spans="1:11" s="1895" customFormat="1" ht="15" x14ac:dyDescent="0.25">
      <c r="A43" s="2317"/>
      <c r="B43" s="2318"/>
      <c r="C43" s="2318"/>
      <c r="D43" s="2318"/>
      <c r="E43" s="2318"/>
      <c r="F43" s="2319"/>
      <c r="H43" s="1904"/>
      <c r="I43" s="1904"/>
      <c r="J43" s="1904"/>
      <c r="K43" s="1904"/>
    </row>
    <row r="44" spans="1:11" s="1895" customFormat="1" ht="12" hidden="1" customHeight="1" x14ac:dyDescent="0.25">
      <c r="A44" s="2317"/>
      <c r="B44" s="2318"/>
      <c r="C44" s="2318"/>
      <c r="D44" s="2318"/>
      <c r="E44" s="2318"/>
      <c r="F44" s="231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7" sqref="H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Nauvoo-Colusa CUSD 325</v>
      </c>
      <c r="J6" s="2334"/>
      <c r="Q6" s="1686"/>
    </row>
    <row r="7" spans="1:17" x14ac:dyDescent="0.2">
      <c r="A7" s="2335" t="s">
        <v>924</v>
      </c>
      <c r="B7" s="2336"/>
      <c r="C7" s="2336"/>
      <c r="D7" s="2336"/>
      <c r="E7" s="2337"/>
      <c r="F7" s="1018"/>
      <c r="G7" s="1010"/>
      <c r="H7" s="1017" t="s">
        <v>390</v>
      </c>
      <c r="I7" s="2338">
        <f>COVER!A13</f>
        <v>26034325026</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134330</v>
      </c>
      <c r="F12" s="1040"/>
      <c r="G12" s="1834">
        <f t="shared" ref="G12:G18" si="0">SUM(E12:F12)</f>
        <v>134330</v>
      </c>
      <c r="H12" s="1041">
        <v>141390</v>
      </c>
      <c r="I12" s="1040"/>
      <c r="J12" s="1834">
        <f t="shared" ref="J12:J18" si="1">SUM(H12:I12)</f>
        <v>141390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323</v>
      </c>
      <c r="F15" s="1834">
        <f>'Expenditures 15-22'!K122</f>
        <v>0</v>
      </c>
      <c r="G15" s="1834">
        <f t="shared" si="0"/>
        <v>323</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134653</v>
      </c>
      <c r="F19" s="1836">
        <f t="shared" si="2"/>
        <v>0</v>
      </c>
      <c r="G19" s="1836">
        <f t="shared" si="2"/>
        <v>134653</v>
      </c>
      <c r="H19" s="1836">
        <f t="shared" si="2"/>
        <v>141390</v>
      </c>
      <c r="I19" s="1836">
        <f t="shared" si="2"/>
        <v>0</v>
      </c>
      <c r="J19" s="1836">
        <f t="shared" si="2"/>
        <v>141390</v>
      </c>
    </row>
    <row r="20" spans="1:10" ht="13.5" thickTop="1" x14ac:dyDescent="0.2">
      <c r="A20" s="1036">
        <v>9</v>
      </c>
      <c r="B20" s="2345" t="s">
        <v>1703</v>
      </c>
      <c r="C20" s="2345"/>
      <c r="D20" s="2346"/>
      <c r="E20" s="1047"/>
      <c r="F20" s="1047"/>
      <c r="G20" s="1047"/>
      <c r="H20" s="1047"/>
      <c r="I20" s="1047"/>
      <c r="J20" s="1837">
        <f>IF(AND(G19&gt;0,J19&gt;0),(((J19-G19)/G19)),"Enter Budget Data")</f>
        <v>5.0032305258701996E-2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1943</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H7" sqref="H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2106</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Nauvoo-Colusa CUSD 325</v>
      </c>
    </row>
    <row r="65" spans="2:2" x14ac:dyDescent="0.2">
      <c r="B65" s="1071">
        <f>COVER!A13</f>
        <v>26034325026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H7" sqref="H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342900</xdr:colOff>
                <xdr:row>2</xdr:row>
                <xdr:rowOff>76200</xdr:rowOff>
              </from>
              <to>
                <xdr:col>1</xdr:col>
                <xdr:colOff>1257300</xdr:colOff>
                <xdr:row>7</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H7" sqref="H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2054</v>
      </c>
      <c r="B4" s="2373"/>
      <c r="C4" s="2373"/>
      <c r="D4" s="2373"/>
      <c r="E4" s="2373"/>
      <c r="F4" s="2374"/>
      <c r="G4" s="1075"/>
      <c r="H4" s="1075"/>
    </row>
    <row r="5" spans="1:8" ht="14.25" customHeight="1" x14ac:dyDescent="0.2">
      <c r="A5" s="2375" t="s">
        <v>2055</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2749483</v>
      </c>
      <c r="C8" s="1838">
        <f>'Acct Summary 7-8'!D8</f>
        <v>302709</v>
      </c>
      <c r="D8" s="1838">
        <f>'Acct Summary 7-8'!F8</f>
        <v>377004</v>
      </c>
      <c r="E8" s="1838">
        <f>'Acct Summary 7-8'!I8</f>
        <v>30130</v>
      </c>
      <c r="F8" s="1838">
        <f>SUM(B8:E8)</f>
        <v>3459326</v>
      </c>
    </row>
    <row r="9" spans="1:8" s="1080" customFormat="1" ht="14.25" customHeight="1" thickBot="1" x14ac:dyDescent="0.25">
      <c r="A9" s="1079" t="s">
        <v>1436</v>
      </c>
      <c r="B9" s="1839">
        <f>'Acct Summary 7-8'!C17</f>
        <v>2757607</v>
      </c>
      <c r="C9" s="1839">
        <f>'Acct Summary 7-8'!D17</f>
        <v>217993</v>
      </c>
      <c r="D9" s="1839">
        <f>'Acct Summary 7-8'!F17</f>
        <v>260140</v>
      </c>
      <c r="E9" s="1838"/>
      <c r="F9" s="1838">
        <f>SUM(B9:E9)</f>
        <v>3235740</v>
      </c>
    </row>
    <row r="10" spans="1:8" s="1080" customFormat="1" ht="14.25" thickTop="1" thickBot="1" x14ac:dyDescent="0.25">
      <c r="A10" s="1081" t="s">
        <v>1437</v>
      </c>
      <c r="B10" s="1840">
        <f>(B8-B9)</f>
        <v>-8124</v>
      </c>
      <c r="C10" s="1840">
        <f>(C8-C9)</f>
        <v>84716</v>
      </c>
      <c r="D10" s="1840">
        <f>(D8-D9)</f>
        <v>116864</v>
      </c>
      <c r="E10" s="1839">
        <f>(E8-E9)</f>
        <v>30130</v>
      </c>
      <c r="F10" s="1841">
        <f>SUM(F8-F9)</f>
        <v>223586</v>
      </c>
    </row>
    <row r="11" spans="1:8" s="1080" customFormat="1" ht="14.25" thickTop="1" thickBot="1" x14ac:dyDescent="0.25">
      <c r="A11" s="1082" t="s">
        <v>1785</v>
      </c>
      <c r="B11" s="1842">
        <f>'Acct Summary 7-8'!C81</f>
        <v>624797</v>
      </c>
      <c r="C11" s="1842">
        <f>'Acct Summary 7-8'!D81</f>
        <v>429328</v>
      </c>
      <c r="D11" s="1842">
        <f>'Acct Summary 7-8'!F81</f>
        <v>307404</v>
      </c>
      <c r="E11" s="1842">
        <f>'Acct Summary 7-8'!I81</f>
        <v>176381</v>
      </c>
      <c r="F11" s="1843">
        <f>SUM(B11:E11)</f>
        <v>1537910</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4" colorId="8" zoomScale="110" zoomScaleNormal="110" workbookViewId="0">
      <selection activeCell="D80" sqref="D80"/>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26034325026</v>
      </c>
    </row>
    <row r="3" spans="1:2" x14ac:dyDescent="0.2">
      <c r="A3" t="s">
        <v>1013</v>
      </c>
      <c r="B3" s="138" t="str">
        <f>COVER!A15</f>
        <v>Hancock</v>
      </c>
    </row>
    <row r="4" spans="1:2" x14ac:dyDescent="0.2">
      <c r="A4" t="s">
        <v>1064</v>
      </c>
      <c r="B4" s="138" t="str">
        <f>COVER!A17</f>
        <v>Nauvoo-Colusa CUSD 325</v>
      </c>
    </row>
    <row r="5" spans="1:2" x14ac:dyDescent="0.2">
      <c r="A5" t="s">
        <v>728</v>
      </c>
      <c r="B5" s="138" t="str">
        <f>COVER!A38</f>
        <v>Kent Young</v>
      </c>
    </row>
    <row r="6" spans="1:2" x14ac:dyDescent="0.2">
      <c r="A6" t="s">
        <v>733</v>
      </c>
      <c r="B6" s="138">
        <f>COVER!P35</f>
        <v>0</v>
      </c>
    </row>
    <row r="7" spans="1:2" x14ac:dyDescent="0.2">
      <c r="A7" t="s">
        <v>729</v>
      </c>
      <c r="B7" s="138">
        <f>COVER!I38</f>
        <v>0</v>
      </c>
    </row>
    <row r="8" spans="1:2" x14ac:dyDescent="0.2">
      <c r="A8" t="s">
        <v>730</v>
      </c>
      <c r="B8" s="138" t="str">
        <f>COVER!T38</f>
        <v>John Meixner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066-004856</v>
      </c>
    </row>
    <row r="16" spans="1:2" x14ac:dyDescent="0.2">
      <c r="A16" t="s">
        <v>442</v>
      </c>
      <c r="B16" s="138" t="str">
        <f>COVER!T13</f>
        <v>Dennis G Koch &amp; Associates LLC</v>
      </c>
    </row>
    <row r="17" spans="1:2" x14ac:dyDescent="0.2">
      <c r="A17" t="s">
        <v>939</v>
      </c>
      <c r="B17" s="138" t="str">
        <f>COVER!T15</f>
        <v>Dennis G Koch</v>
      </c>
    </row>
    <row r="18" spans="1:2" x14ac:dyDescent="0.2">
      <c r="A18" t="s">
        <v>1212</v>
      </c>
      <c r="B18" s="138" t="str">
        <f>COVER!T17</f>
        <v>1706 N 16th Street</v>
      </c>
    </row>
    <row r="19" spans="1:2" x14ac:dyDescent="0.2">
      <c r="A19" t="s">
        <v>941</v>
      </c>
      <c r="B19" s="138" t="str">
        <f>COVER!T25</f>
        <v>dgkoch@dgkochcpa.com</v>
      </c>
    </row>
    <row r="20" spans="1:2" x14ac:dyDescent="0.2">
      <c r="A20" t="s">
        <v>942</v>
      </c>
      <c r="B20" s="138" t="str">
        <f>COVER!T19</f>
        <v>Quincy</v>
      </c>
    </row>
    <row r="21" spans="1:2" x14ac:dyDescent="0.2">
      <c r="A21" t="s">
        <v>500</v>
      </c>
      <c r="B21" s="138" t="str">
        <f>COVER!X19</f>
        <v>IL</v>
      </c>
    </row>
    <row r="22" spans="1:2" x14ac:dyDescent="0.2">
      <c r="A22" t="s">
        <v>943</v>
      </c>
      <c r="B22" s="138">
        <f>COVER!Z19</f>
        <v>62301</v>
      </c>
    </row>
    <row r="23" spans="1:2" x14ac:dyDescent="0.2">
      <c r="A23" t="s">
        <v>1214</v>
      </c>
      <c r="B23" s="138" t="str">
        <f>COVER!T21</f>
        <v>217-224-8484</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624797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624797</v>
      </c>
      <c r="D92" s="2" t="str">
        <f t="shared" si="0"/>
        <v>Error?</v>
      </c>
    </row>
    <row r="93" spans="1:4" x14ac:dyDescent="0.2">
      <c r="A93" s="5">
        <v>32</v>
      </c>
      <c r="B93" s="138">
        <f>'Assets-Liab 5-6'!C41</f>
        <v>624797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429328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429328</v>
      </c>
      <c r="D123" s="2" t="str">
        <f t="shared" si="0"/>
        <v>Error?</v>
      </c>
    </row>
    <row r="124" spans="1:4" x14ac:dyDescent="0.2">
      <c r="A124" s="5">
        <v>63</v>
      </c>
      <c r="B124" s="138">
        <f>'Assets-Liab 5-6'!D41</f>
        <v>429328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307404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307404</v>
      </c>
      <c r="D170" s="2" t="str">
        <f t="shared" si="1"/>
        <v>Error?</v>
      </c>
    </row>
    <row r="171" spans="1:4" x14ac:dyDescent="0.2">
      <c r="A171" s="5">
        <v>110</v>
      </c>
      <c r="B171" s="138">
        <f>'Assets-Liab 5-6'!F41</f>
        <v>307404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316504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316504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29900</v>
      </c>
      <c r="D273" s="2" t="str">
        <f t="shared" si="3"/>
        <v>Error?</v>
      </c>
    </row>
    <row r="274" spans="1:4" x14ac:dyDescent="0.2">
      <c r="A274" s="5">
        <v>213</v>
      </c>
      <c r="B274" s="138">
        <f>'Assets-Liab 5-6'!M17</f>
        <v>923486</v>
      </c>
      <c r="D274" s="2" t="str">
        <f t="shared" si="3"/>
        <v>Error?</v>
      </c>
    </row>
    <row r="275" spans="1:4" x14ac:dyDescent="0.2">
      <c r="A275" s="5">
        <v>214</v>
      </c>
      <c r="B275" s="138">
        <f>'Assets-Liab 5-6'!M18</f>
        <v>40924</v>
      </c>
      <c r="D275" s="2" t="str">
        <f t="shared" si="3"/>
        <v>Error?</v>
      </c>
    </row>
    <row r="276" spans="1:4" x14ac:dyDescent="0.2">
      <c r="A276" s="5">
        <v>215</v>
      </c>
      <c r="B276" s="138">
        <f>'Assets-Liab 5-6'!M19</f>
        <v>484585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1478895</v>
      </c>
      <c r="C279" s="2" t="s">
        <v>594</v>
      </c>
      <c r="D279" s="2" t="str">
        <f t="shared" si="3"/>
        <v>Error?</v>
      </c>
    </row>
    <row r="280" spans="1:4" x14ac:dyDescent="0.2">
      <c r="A280" s="5">
        <v>219</v>
      </c>
      <c r="B280" s="138">
        <f>'Assets-Liab 5-6'!M40</f>
        <v>1478895</v>
      </c>
      <c r="D280" s="2" t="str">
        <f t="shared" si="3"/>
        <v>Error?</v>
      </c>
    </row>
    <row r="281" spans="1:4" x14ac:dyDescent="0.2">
      <c r="A281" s="5">
        <v>220</v>
      </c>
      <c r="B281" s="138">
        <f>'Assets-Liab 5-6'!M41</f>
        <v>1478895</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683858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24360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928887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574</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48773</v>
      </c>
      <c r="D725" s="2" t="str">
        <f t="shared" si="10"/>
        <v>Error?</v>
      </c>
    </row>
    <row r="726" spans="1:4" x14ac:dyDescent="0.2">
      <c r="A726" s="5">
        <v>665</v>
      </c>
      <c r="B726" s="138">
        <f>'Expenditures 15-22'!C41</f>
        <v>67439</v>
      </c>
      <c r="D726" s="2" t="str">
        <f t="shared" si="10"/>
        <v>Error?</v>
      </c>
    </row>
    <row r="727" spans="1:4" x14ac:dyDescent="0.2">
      <c r="A727" s="5">
        <v>666</v>
      </c>
      <c r="B727" s="138">
        <f>'Expenditures 15-22'!C42</f>
        <v>116786</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42321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42321</v>
      </c>
      <c r="C731" s="2" t="s">
        <v>594</v>
      </c>
      <c r="D731" s="2" t="str">
        <f t="shared" si="10"/>
        <v>Error?</v>
      </c>
    </row>
    <row r="732" spans="1:4" x14ac:dyDescent="0.2">
      <c r="A732" s="5">
        <v>671</v>
      </c>
      <c r="B732" s="138">
        <f>'Expenditures 15-22'!C49</f>
        <v>2946</v>
      </c>
      <c r="D732" s="2" t="str">
        <f t="shared" si="10"/>
        <v>Error?</v>
      </c>
    </row>
    <row r="733" spans="1:4" x14ac:dyDescent="0.2">
      <c r="A733" s="5">
        <v>672</v>
      </c>
      <c r="B733" s="138">
        <f>'Expenditures 15-22'!C50</f>
        <v>89403</v>
      </c>
      <c r="D733" s="2" t="str">
        <f t="shared" si="10"/>
        <v>Error?</v>
      </c>
    </row>
    <row r="734" spans="1:4" x14ac:dyDescent="0.2">
      <c r="A734" s="5">
        <v>673</v>
      </c>
      <c r="B734" s="138">
        <f>'Expenditures 15-22'!C53</f>
        <v>92349</v>
      </c>
      <c r="C734" s="2" t="s">
        <v>594</v>
      </c>
      <c r="D734" s="2" t="str">
        <f t="shared" si="10"/>
        <v>Error?</v>
      </c>
    </row>
    <row r="735" spans="1:4" x14ac:dyDescent="0.2">
      <c r="A735" s="5">
        <v>674</v>
      </c>
      <c r="B735" s="138">
        <f>'Expenditures 15-22'!C55</f>
        <v>80324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80324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69664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43107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112771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444551</v>
      </c>
      <c r="C755" s="2" t="s">
        <v>594</v>
      </c>
      <c r="D755" s="2" t="str">
        <f t="shared" si="10"/>
        <v>Error?</v>
      </c>
    </row>
    <row r="756" spans="1:4" x14ac:dyDescent="0.2">
      <c r="A756" s="5">
        <v>695</v>
      </c>
      <c r="B756" s="138">
        <f>'Expenditures 15-22'!C75</f>
        <v>7217</v>
      </c>
      <c r="D756" s="2" t="str">
        <f t="shared" si="10"/>
        <v>Error?</v>
      </c>
    </row>
    <row r="757" spans="1:4" x14ac:dyDescent="0.2">
      <c r="A757" s="5">
        <v>696</v>
      </c>
      <c r="B757" s="138">
        <f>'Expenditures 15-22'!C114</f>
        <v>1380655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129251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245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164002</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9136</v>
      </c>
      <c r="D783" s="2" t="str">
        <f t="shared" si="11"/>
        <v>Error?</v>
      </c>
    </row>
    <row r="784" spans="1:4" x14ac:dyDescent="0.2">
      <c r="A784" s="5">
        <v>723</v>
      </c>
      <c r="B784" s="138">
        <f>'Expenditures 15-22'!D41</f>
        <v>679</v>
      </c>
      <c r="D784" s="2" t="str">
        <f t="shared" si="11"/>
        <v>Error?</v>
      </c>
    </row>
    <row r="785" spans="1:4" x14ac:dyDescent="0.2">
      <c r="A785" s="5">
        <v>724</v>
      </c>
      <c r="B785" s="138">
        <f>'Expenditures 15-22'!D42</f>
        <v>9815</v>
      </c>
      <c r="C785" s="2" t="s">
        <v>594</v>
      </c>
      <c r="D785" s="2" t="str">
        <f t="shared" si="11"/>
        <v>Error?</v>
      </c>
    </row>
    <row r="786" spans="1:4" x14ac:dyDescent="0.2">
      <c r="A786" s="5">
        <v>725</v>
      </c>
      <c r="B786" s="138">
        <f>'Expenditures 15-22'!D44</f>
        <v>5200</v>
      </c>
      <c r="D786" s="2" t="str">
        <f t="shared" si="11"/>
        <v>Error?</v>
      </c>
    </row>
    <row r="787" spans="1:4" x14ac:dyDescent="0.2">
      <c r="A787" s="5">
        <v>726</v>
      </c>
      <c r="B787" s="138">
        <f>'Expenditures 15-22'!D45</f>
        <v>635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5835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38341</v>
      </c>
      <c r="D791" s="2" t="str">
        <f t="shared" si="11"/>
        <v>Error?</v>
      </c>
    </row>
    <row r="792" spans="1:4" x14ac:dyDescent="0.2">
      <c r="A792" s="5">
        <v>731</v>
      </c>
      <c r="B792" s="138">
        <f>'Expenditures 15-22'!D53</f>
        <v>38341</v>
      </c>
      <c r="C792" s="2" t="s">
        <v>594</v>
      </c>
      <c r="D792" s="2" t="str">
        <f t="shared" si="11"/>
        <v>Error?</v>
      </c>
    </row>
    <row r="793" spans="1:4" x14ac:dyDescent="0.2">
      <c r="A793" s="5">
        <v>732</v>
      </c>
      <c r="B793" s="138">
        <f>'Expenditures 15-22'!D55</f>
        <v>14343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14343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306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24974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25280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93614</v>
      </c>
      <c r="C813" s="2" t="s">
        <v>594</v>
      </c>
      <c r="D813" s="2" t="str">
        <f t="shared" si="11"/>
        <v>Error?</v>
      </c>
    </row>
    <row r="814" spans="1:4" x14ac:dyDescent="0.2">
      <c r="A814" s="5">
        <v>753</v>
      </c>
      <c r="B814" s="138">
        <f>'Expenditures 15-22'!D75</f>
        <v>2308</v>
      </c>
      <c r="D814" s="2" t="str">
        <f t="shared" si="11"/>
        <v>Error?</v>
      </c>
    </row>
    <row r="815" spans="1:4" x14ac:dyDescent="0.2">
      <c r="A815" s="5">
        <v>754</v>
      </c>
      <c r="B815" s="138">
        <f>'Expenditures 15-22'!D114</f>
        <v>259924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80016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8193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169016</v>
      </c>
      <c r="C836" s="2" t="s">
        <v>594</v>
      </c>
      <c r="D836" s="2" t="str">
        <f t="shared" si="12"/>
        <v>Error?</v>
      </c>
    </row>
    <row r="837" spans="1:4" x14ac:dyDescent="0.2">
      <c r="A837" s="5">
        <v>776</v>
      </c>
      <c r="B837" s="138">
        <f>'Expenditures 15-22'!E36</f>
        <v>13228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14625</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27853</v>
      </c>
      <c r="C843" s="2" t="s">
        <v>594</v>
      </c>
      <c r="D843" s="2" t="str">
        <f t="shared" si="12"/>
        <v>Error?</v>
      </c>
    </row>
    <row r="844" spans="1:4" x14ac:dyDescent="0.2">
      <c r="A844" s="5">
        <v>783</v>
      </c>
      <c r="B844" s="138">
        <f>'Expenditures 15-22'!E44</f>
        <v>4700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4700</v>
      </c>
      <c r="C847" s="2" t="s">
        <v>594</v>
      </c>
      <c r="D847" s="2" t="str">
        <f t="shared" si="12"/>
        <v>Error?</v>
      </c>
    </row>
    <row r="848" spans="1:4" x14ac:dyDescent="0.2">
      <c r="A848" s="5">
        <v>787</v>
      </c>
      <c r="B848" s="138">
        <f>'Expenditures 15-22'!E49</f>
        <v>25181</v>
      </c>
      <c r="D848" s="2" t="str">
        <f t="shared" si="12"/>
        <v>Error?</v>
      </c>
    </row>
    <row r="849" spans="1:4" x14ac:dyDescent="0.2">
      <c r="A849" s="5">
        <v>788</v>
      </c>
      <c r="B849" s="138">
        <f>'Expenditures 15-22'!E50</f>
        <v>6066</v>
      </c>
      <c r="D849" s="2" t="str">
        <f t="shared" si="12"/>
        <v>Error?</v>
      </c>
    </row>
    <row r="850" spans="1:4" x14ac:dyDescent="0.2">
      <c r="A850" s="5">
        <v>789</v>
      </c>
      <c r="B850" s="138">
        <f>'Expenditures 15-22'!E53</f>
        <v>31247</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323</v>
      </c>
      <c r="D854" s="2" t="str">
        <f t="shared" si="12"/>
        <v>Error?</v>
      </c>
    </row>
    <row r="855" spans="1:4" x14ac:dyDescent="0.2">
      <c r="A855" s="5">
        <v>794</v>
      </c>
      <c r="B855" s="138">
        <f>'Expenditures 15-22'!E60</f>
        <v>14136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1956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16415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15240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15240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95455</v>
      </c>
      <c r="C871" s="2" t="s">
        <v>594</v>
      </c>
      <c r="D871" s="2" t="str">
        <f t="shared" si="12"/>
        <v>Error?</v>
      </c>
    </row>
    <row r="872" spans="1:4" x14ac:dyDescent="0.2">
      <c r="A872" s="5">
        <v>811</v>
      </c>
      <c r="B872" s="138">
        <f>'Expenditures 15-22'!E75</f>
        <v>1175</v>
      </c>
      <c r="D872" s="2" t="str">
        <f t="shared" si="12"/>
        <v>Error?</v>
      </c>
    </row>
    <row r="873" spans="1:4" x14ac:dyDescent="0.2">
      <c r="A873" s="5">
        <v>812</v>
      </c>
      <c r="B873" s="138">
        <f>'Expenditures 15-22'!E114</f>
        <v>265646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112873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2087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163027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323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58375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58698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9903</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9903</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68601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231628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25890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25890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25890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1403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2083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3584</v>
      </c>
      <c r="D1022" s="2" t="str">
        <f t="shared" si="14"/>
        <v>Error?</v>
      </c>
    </row>
    <row r="1023" spans="1:4" x14ac:dyDescent="0.2">
      <c r="A1023" s="5">
        <v>962</v>
      </c>
      <c r="B1023" s="138">
        <f>'Expenditures 15-22'!H50</f>
        <v>520</v>
      </c>
      <c r="D1023" s="2" t="str">
        <f t="shared" ref="D1023:D1086" si="15">IF(ISBLANK(B1023),"OK",IF(A1023-B1023=0,"OK","Error?"))</f>
        <v>Error?</v>
      </c>
    </row>
    <row r="1024" spans="1:4" x14ac:dyDescent="0.2">
      <c r="A1024" s="5">
        <v>963</v>
      </c>
      <c r="B1024" s="138">
        <f>'Expenditures 15-22'!H53</f>
        <v>4104</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270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270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4374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587407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593864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1033291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35565</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1452905</v>
      </c>
      <c r="C1108" s="2" t="s">
        <v>594</v>
      </c>
      <c r="D1108" s="2" t="str">
        <f t="shared" si="16"/>
        <v>Error?</v>
      </c>
    </row>
    <row r="1109" spans="1:4" x14ac:dyDescent="0.2">
      <c r="A1109" s="5">
        <v>1048</v>
      </c>
      <c r="B1109" s="138">
        <f>'Expenditures 15-22'!K36</f>
        <v>13228</v>
      </c>
      <c r="C1109" s="2" t="s">
        <v>594</v>
      </c>
      <c r="D1109" s="2" t="str">
        <f t="shared" si="16"/>
        <v>Error?</v>
      </c>
    </row>
    <row r="1110" spans="1:4" x14ac:dyDescent="0.2">
      <c r="A1110" s="5">
        <v>1049</v>
      </c>
      <c r="B1110" s="138">
        <f>'Expenditures 15-22'!K37</f>
        <v>574</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14625</v>
      </c>
      <c r="C1112" s="2" t="s">
        <v>594</v>
      </c>
      <c r="D1112" s="2" t="str">
        <f t="shared" si="16"/>
        <v>Error?</v>
      </c>
    </row>
    <row r="1113" spans="1:4" x14ac:dyDescent="0.2">
      <c r="A1113" s="5">
        <v>1052</v>
      </c>
      <c r="B1113" s="138">
        <f>'Expenditures 15-22'!K40</f>
        <v>57909</v>
      </c>
      <c r="C1113" s="2" t="s">
        <v>594</v>
      </c>
      <c r="D1113" s="2" t="str">
        <f t="shared" si="16"/>
        <v>Error?</v>
      </c>
    </row>
    <row r="1114" spans="1:4" x14ac:dyDescent="0.2">
      <c r="A1114" s="5">
        <v>1053</v>
      </c>
      <c r="B1114" s="138">
        <f>'Expenditures 15-22'!K41</f>
        <v>68118</v>
      </c>
      <c r="C1114" s="2" t="s">
        <v>594</v>
      </c>
      <c r="D1114" s="2" t="str">
        <f t="shared" si="16"/>
        <v>Error?</v>
      </c>
    </row>
    <row r="1115" spans="1:4" x14ac:dyDescent="0.2">
      <c r="A1115" s="5">
        <v>1054</v>
      </c>
      <c r="B1115" s="138">
        <f>'Expenditures 15-22'!K42</f>
        <v>154454</v>
      </c>
      <c r="C1115" s="2" t="s">
        <v>594</v>
      </c>
      <c r="D1115" s="2" t="str">
        <f t="shared" si="16"/>
        <v>Error?</v>
      </c>
    </row>
    <row r="1116" spans="1:4" x14ac:dyDescent="0.2">
      <c r="A1116" s="5">
        <v>1055</v>
      </c>
      <c r="B1116" s="138">
        <f>'Expenditures 15-22'!K44</f>
        <v>9900</v>
      </c>
      <c r="C1116" s="2" t="s">
        <v>594</v>
      </c>
      <c r="D1116" s="2" t="str">
        <f t="shared" si="16"/>
        <v>Error?</v>
      </c>
    </row>
    <row r="1117" spans="1:4" x14ac:dyDescent="0.2">
      <c r="A1117" s="5">
        <v>1056</v>
      </c>
      <c r="B1117" s="138">
        <f>'Expenditures 15-22'!K45</f>
        <v>42956</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52856</v>
      </c>
      <c r="C1119" s="2" t="s">
        <v>594</v>
      </c>
      <c r="D1119" s="2" t="str">
        <f t="shared" si="16"/>
        <v>Error?</v>
      </c>
    </row>
    <row r="1120" spans="1:4" x14ac:dyDescent="0.2">
      <c r="A1120" s="5">
        <v>1059</v>
      </c>
      <c r="B1120" s="138">
        <f>'Expenditures 15-22'!K49</f>
        <v>31711</v>
      </c>
      <c r="C1120" s="2" t="s">
        <v>594</v>
      </c>
      <c r="D1120" s="2" t="str">
        <f t="shared" si="16"/>
        <v>Error?</v>
      </c>
    </row>
    <row r="1121" spans="1:4" x14ac:dyDescent="0.2">
      <c r="A1121" s="5">
        <v>1060</v>
      </c>
      <c r="B1121" s="138">
        <f>'Expenditures 15-22'!K50</f>
        <v>134330</v>
      </c>
      <c r="C1121" s="2" t="s">
        <v>594</v>
      </c>
      <c r="D1121" s="2" t="str">
        <f t="shared" si="16"/>
        <v>Error?</v>
      </c>
    </row>
    <row r="1122" spans="1:4" x14ac:dyDescent="0.2">
      <c r="A1122" s="5">
        <v>1061</v>
      </c>
      <c r="B1122" s="138">
        <f>'Expenditures 15-22'!K53</f>
        <v>166041</v>
      </c>
      <c r="C1122" s="2" t="s">
        <v>594</v>
      </c>
      <c r="D1122" s="2" t="str">
        <f t="shared" si="16"/>
        <v>Error?</v>
      </c>
    </row>
    <row r="1123" spans="1:4" x14ac:dyDescent="0.2">
      <c r="A1123" s="5">
        <v>1062</v>
      </c>
      <c r="B1123" s="138">
        <f>'Expenditures 15-22'!K55</f>
        <v>94667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94667</v>
      </c>
      <c r="C1125" s="2" t="s">
        <v>594</v>
      </c>
      <c r="D1125" s="2" t="str">
        <f t="shared" si="16"/>
        <v>Error?</v>
      </c>
    </row>
    <row r="1126" spans="1:4" x14ac:dyDescent="0.2">
      <c r="A1126" s="5">
        <v>1065</v>
      </c>
      <c r="B1126" s="138">
        <f>'Expenditures 15-22'!K59</f>
        <v>323</v>
      </c>
      <c r="C1126" s="2" t="s">
        <v>594</v>
      </c>
      <c r="D1126" s="2" t="str">
        <f t="shared" si="16"/>
        <v>Error?</v>
      </c>
    </row>
    <row r="1127" spans="1:4" x14ac:dyDescent="0.2">
      <c r="A1127" s="5">
        <v>1066</v>
      </c>
      <c r="B1127" s="138">
        <f>'Expenditures 15-22'!K60</f>
        <v>84429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128682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213434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25143</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25143</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706595</v>
      </c>
      <c r="C1143" s="2" t="s">
        <v>594</v>
      </c>
      <c r="D1143" s="2" t="str">
        <f t="shared" si="16"/>
        <v>Error?</v>
      </c>
    </row>
    <row r="1144" spans="1:4" x14ac:dyDescent="0.2">
      <c r="A1144" s="5">
        <v>1083</v>
      </c>
      <c r="B1144" s="138">
        <f>'Expenditures 15-22'!K75</f>
        <v>10700</v>
      </c>
      <c r="C1144" s="2" t="s">
        <v>594</v>
      </c>
      <c r="D1144" s="2" t="str">
        <f t="shared" si="16"/>
        <v>Error?</v>
      </c>
    </row>
    <row r="1145" spans="1:4" x14ac:dyDescent="0.2">
      <c r="A1145" s="5">
        <v>1084</v>
      </c>
      <c r="B1145" s="138">
        <f>'Expenditures 15-22'!K102</f>
        <v>587407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2757607</v>
      </c>
      <c r="C1152" s="2" t="s">
        <v>594</v>
      </c>
      <c r="D1152" s="2" t="str">
        <f t="shared" si="17"/>
        <v>Error?</v>
      </c>
    </row>
    <row r="1153" spans="1:4" x14ac:dyDescent="0.2">
      <c r="A1153" s="5">
        <v>1092</v>
      </c>
      <c r="B1153" s="138">
        <f>'Expenditures 15-22'!K115</f>
        <v>-8124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95697</v>
      </c>
      <c r="D1221" s="2" t="str">
        <f t="shared" si="18"/>
        <v>Error?</v>
      </c>
    </row>
    <row r="1222" spans="1:4" x14ac:dyDescent="0.2">
      <c r="A1222" s="10">
        <v>1161</v>
      </c>
      <c r="D1222" s="2" t="str">
        <f t="shared" si="18"/>
        <v>OK</v>
      </c>
    </row>
    <row r="1223" spans="1:4" x14ac:dyDescent="0.2">
      <c r="A1223" s="5">
        <v>1162</v>
      </c>
      <c r="B1223" s="138">
        <f>'Expenditures 15-22'!C127</f>
        <v>95697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95697</v>
      </c>
      <c r="C1225" s="2" t="s">
        <v>594</v>
      </c>
      <c r="D1225" s="2" t="str">
        <f t="shared" si="18"/>
        <v>Error?</v>
      </c>
    </row>
    <row r="1226" spans="1:4" x14ac:dyDescent="0.2">
      <c r="A1226" s="5">
        <v>1165</v>
      </c>
      <c r="B1226" s="138">
        <f>'Expenditures 15-22'!C151</f>
        <v>95697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15633</v>
      </c>
      <c r="D1229" s="2" t="str">
        <f t="shared" si="18"/>
        <v>Error?</v>
      </c>
    </row>
    <row r="1230" spans="1:4" x14ac:dyDescent="0.2">
      <c r="A1230" s="10">
        <v>1169</v>
      </c>
      <c r="D1230" s="2" t="str">
        <f t="shared" si="18"/>
        <v>OK</v>
      </c>
    </row>
    <row r="1231" spans="1:4" x14ac:dyDescent="0.2">
      <c r="A1231" s="5">
        <v>1170</v>
      </c>
      <c r="B1231" s="138">
        <f>'Expenditures 15-22'!D127</f>
        <v>15633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15633</v>
      </c>
      <c r="C1233" s="2" t="s">
        <v>594</v>
      </c>
      <c r="D1233" s="2" t="str">
        <f t="shared" si="18"/>
        <v>Error?</v>
      </c>
    </row>
    <row r="1234" spans="1:4" x14ac:dyDescent="0.2">
      <c r="A1234" s="5">
        <v>1173</v>
      </c>
      <c r="B1234" s="138">
        <f>'Expenditures 15-22'!D151</f>
        <v>15633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40696</v>
      </c>
      <c r="D1237" s="2" t="str">
        <f t="shared" si="18"/>
        <v>Error?</v>
      </c>
    </row>
    <row r="1238" spans="1:4" x14ac:dyDescent="0.2">
      <c r="A1238" s="10">
        <v>1177</v>
      </c>
      <c r="D1238" s="2" t="str">
        <f t="shared" si="18"/>
        <v>OK</v>
      </c>
    </row>
    <row r="1239" spans="1:4" x14ac:dyDescent="0.2">
      <c r="A1239" s="5">
        <v>1178</v>
      </c>
      <c r="B1239" s="138">
        <f>'Expenditures 15-22'!E127</f>
        <v>40696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40696</v>
      </c>
      <c r="C1241" s="2" t="s">
        <v>594</v>
      </c>
      <c r="D1241" s="2" t="str">
        <f t="shared" si="18"/>
        <v>Error?</v>
      </c>
    </row>
    <row r="1242" spans="1:4" x14ac:dyDescent="0.2">
      <c r="A1242" s="5">
        <v>1181</v>
      </c>
      <c r="B1242" s="138">
        <f>'Expenditures 15-22'!E151</f>
        <v>40696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65967</v>
      </c>
      <c r="D1245" s="2" t="str">
        <f t="shared" si="18"/>
        <v>Error?</v>
      </c>
    </row>
    <row r="1246" spans="1:4" x14ac:dyDescent="0.2">
      <c r="A1246" s="10">
        <v>1185</v>
      </c>
      <c r="D1246" s="2" t="str">
        <f t="shared" si="18"/>
        <v>OK</v>
      </c>
    </row>
    <row r="1247" spans="1:4" x14ac:dyDescent="0.2">
      <c r="A1247" s="5">
        <v>1186</v>
      </c>
      <c r="B1247" s="138">
        <f>'Expenditures 15-22'!F127</f>
        <v>65967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65967</v>
      </c>
      <c r="C1249" s="2" t="s">
        <v>594</v>
      </c>
      <c r="D1249" s="2" t="str">
        <f t="shared" si="18"/>
        <v>Error?</v>
      </c>
    </row>
    <row r="1250" spans="1:4" x14ac:dyDescent="0.2">
      <c r="A1250" s="5">
        <v>1189</v>
      </c>
      <c r="B1250" s="138">
        <f>'Expenditures 15-22'!F151</f>
        <v>65967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217993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217993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217993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217993</v>
      </c>
      <c r="C1288" s="2" t="s">
        <v>594</v>
      </c>
      <c r="D1288" s="2" t="str">
        <f t="shared" si="19"/>
        <v>Error?</v>
      </c>
    </row>
    <row r="1289" spans="1:4" x14ac:dyDescent="0.2">
      <c r="A1289" s="5">
        <v>1228</v>
      </c>
      <c r="B1289" s="138">
        <f>'Expenditures 15-22'!K152</f>
        <v>84716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2625</v>
      </c>
      <c r="C1314" s="2" t="s">
        <v>594</v>
      </c>
      <c r="D1314" s="2" t="str">
        <f t="shared" si="19"/>
        <v>Error?</v>
      </c>
    </row>
    <row r="1315" spans="1:4" x14ac:dyDescent="0.2">
      <c r="A1315" s="5">
        <v>1254</v>
      </c>
      <c r="B1315" s="138">
        <f>'Expenditures 15-22'!H170</f>
        <v>100000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102625</v>
      </c>
      <c r="C1317" s="2" t="s">
        <v>594</v>
      </c>
      <c r="D1317" s="2" t="str">
        <f t="shared" si="19"/>
        <v>Error?</v>
      </c>
    </row>
    <row r="1318" spans="1:4" x14ac:dyDescent="0.2">
      <c r="A1318" s="5">
        <v>1257</v>
      </c>
      <c r="B1318" s="138">
        <f>'Expenditures 15-22'!H174</f>
        <v>102625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2625</v>
      </c>
      <c r="C1328" s="2" t="s">
        <v>594</v>
      </c>
      <c r="D1328" s="2" t="str">
        <f t="shared" si="19"/>
        <v>Error?</v>
      </c>
    </row>
    <row r="1329" spans="1:4" x14ac:dyDescent="0.2">
      <c r="A1329" s="5">
        <v>1268</v>
      </c>
      <c r="B1329" s="138">
        <f>'Expenditures 15-22'!K170</f>
        <v>100000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102625</v>
      </c>
      <c r="C1331" s="2" t="s">
        <v>594</v>
      </c>
      <c r="D1331" s="2" t="str">
        <f t="shared" si="19"/>
        <v>Error?</v>
      </c>
    </row>
    <row r="1332" spans="1:4" x14ac:dyDescent="0.2">
      <c r="A1332" s="5">
        <v>1271</v>
      </c>
      <c r="B1332" s="138">
        <f>'Expenditures 15-22'!K174</f>
        <v>102625</v>
      </c>
      <c r="C1332" s="2" t="s">
        <v>594</v>
      </c>
      <c r="D1332" s="2" t="str">
        <f t="shared" si="19"/>
        <v>Error?</v>
      </c>
    </row>
    <row r="1333" spans="1:4" x14ac:dyDescent="0.2">
      <c r="A1333" s="5">
        <v>1272</v>
      </c>
      <c r="B1333" s="138">
        <f>'Expenditures 15-22'!K175</f>
        <v>10231</v>
      </c>
      <c r="C1333" s="2" t="s">
        <v>594</v>
      </c>
      <c r="D1333" s="2" t="str">
        <f t="shared" si="19"/>
        <v>Error?</v>
      </c>
    </row>
    <row r="1334" spans="1:4" x14ac:dyDescent="0.2">
      <c r="A1334" s="10">
        <v>1273</v>
      </c>
      <c r="D1334" s="2" t="str">
        <f t="shared" si="19"/>
        <v>OK</v>
      </c>
    </row>
    <row r="1335" spans="1:4" x14ac:dyDescent="0.2">
      <c r="A1335" s="5">
        <v>1274</v>
      </c>
      <c r="B1335" s="138">
        <f>'Expenditures 15-22'!C182</f>
        <v>110144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110144</v>
      </c>
      <c r="C1339" s="2" t="s">
        <v>594</v>
      </c>
      <c r="D1339" s="2" t="str">
        <f t="shared" si="19"/>
        <v>Error?</v>
      </c>
    </row>
    <row r="1340" spans="1:4" x14ac:dyDescent="0.2">
      <c r="A1340" s="5">
        <v>1279</v>
      </c>
      <c r="B1340" s="138">
        <f>'Expenditures 15-22'!C210</f>
        <v>110144</v>
      </c>
      <c r="C1340" s="2" t="s">
        <v>594</v>
      </c>
      <c r="D1340" s="2" t="str">
        <f t="shared" si="19"/>
        <v>Error?</v>
      </c>
    </row>
    <row r="1341" spans="1:4" x14ac:dyDescent="0.2">
      <c r="A1341" s="5">
        <v>1280</v>
      </c>
      <c r="B1341" s="138">
        <f>'Expenditures 15-22'!D182</f>
        <v>9929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9929</v>
      </c>
      <c r="C1345" s="2" t="s">
        <v>594</v>
      </c>
      <c r="D1345" s="2" t="str">
        <f t="shared" si="20"/>
        <v>Error?</v>
      </c>
    </row>
    <row r="1346" spans="1:4" x14ac:dyDescent="0.2">
      <c r="A1346" s="5">
        <v>1285</v>
      </c>
      <c r="B1346" s="138">
        <f>'Expenditures 15-22'!D210</f>
        <v>9929</v>
      </c>
      <c r="C1346" s="2" t="s">
        <v>594</v>
      </c>
      <c r="D1346" s="2" t="str">
        <f t="shared" si="20"/>
        <v>Error?</v>
      </c>
    </row>
    <row r="1347" spans="1:4" x14ac:dyDescent="0.2">
      <c r="A1347" s="5">
        <v>1286</v>
      </c>
      <c r="B1347" s="138">
        <f>'Expenditures 15-22'!E182</f>
        <v>37980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37980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37980</v>
      </c>
      <c r="C1353" s="2" t="s">
        <v>594</v>
      </c>
      <c r="D1353" s="2" t="str">
        <f t="shared" si="20"/>
        <v>Error?</v>
      </c>
    </row>
    <row r="1354" spans="1:4" x14ac:dyDescent="0.2">
      <c r="A1354" s="5">
        <v>1293</v>
      </c>
      <c r="B1354" s="138">
        <f>'Expenditures 15-22'!F182</f>
        <v>21078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21078</v>
      </c>
      <c r="C1358" s="2" t="s">
        <v>594</v>
      </c>
      <c r="D1358" s="2" t="str">
        <f t="shared" si="20"/>
        <v>Error?</v>
      </c>
    </row>
    <row r="1359" spans="1:4" x14ac:dyDescent="0.2">
      <c r="A1359" s="5">
        <v>1298</v>
      </c>
      <c r="B1359" s="138">
        <f>'Expenditures 15-22'!F210</f>
        <v>21078</v>
      </c>
      <c r="C1359" s="2" t="s">
        <v>594</v>
      </c>
      <c r="D1359" s="2" t="str">
        <f t="shared" si="20"/>
        <v>Error?</v>
      </c>
    </row>
    <row r="1360" spans="1:4" x14ac:dyDescent="0.2">
      <c r="A1360" s="5">
        <v>1299</v>
      </c>
      <c r="B1360" s="138">
        <f>'Expenditures 15-22'!G182</f>
        <v>80773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80773</v>
      </c>
      <c r="C1364" s="2" t="s">
        <v>594</v>
      </c>
      <c r="D1364" s="2" t="str">
        <f t="shared" si="20"/>
        <v>Error?</v>
      </c>
    </row>
    <row r="1365" spans="1:4" x14ac:dyDescent="0.2">
      <c r="A1365" s="5">
        <v>1304</v>
      </c>
      <c r="B1365" s="138">
        <f>'Expenditures 15-22'!G210</f>
        <v>80773</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236</v>
      </c>
      <c r="C1375" s="2" t="s">
        <v>594</v>
      </c>
      <c r="D1375" s="2" t="str">
        <f t="shared" si="20"/>
        <v>Error?</v>
      </c>
    </row>
    <row r="1376" spans="1:4" x14ac:dyDescent="0.2">
      <c r="A1376" s="5">
        <v>1315</v>
      </c>
      <c r="B1376" s="138">
        <f>'Expenditures 15-22'!H210</f>
        <v>236</v>
      </c>
      <c r="C1376" s="2" t="s">
        <v>594</v>
      </c>
      <c r="D1376" s="2" t="str">
        <f t="shared" si="20"/>
        <v>Error?</v>
      </c>
    </row>
    <row r="1377" spans="1:4" x14ac:dyDescent="0.2">
      <c r="A1377" s="5">
        <v>1316</v>
      </c>
      <c r="B1377" s="138">
        <f>'Expenditures 15-22'!K182</f>
        <v>259904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259904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236</v>
      </c>
      <c r="C1387" s="2" t="s">
        <v>594</v>
      </c>
      <c r="D1387" s="2" t="str">
        <f t="shared" si="20"/>
        <v>Error?</v>
      </c>
    </row>
    <row r="1388" spans="1:4" x14ac:dyDescent="0.2">
      <c r="A1388" s="5">
        <v>1327</v>
      </c>
      <c r="B1388" s="138">
        <f>'Expenditures 15-22'!K210</f>
        <v>260140</v>
      </c>
      <c r="C1388" s="2" t="s">
        <v>594</v>
      </c>
      <c r="D1388" s="2" t="str">
        <f t="shared" si="20"/>
        <v>Error?</v>
      </c>
    </row>
    <row r="1389" spans="1:4" x14ac:dyDescent="0.2">
      <c r="A1389" s="5">
        <v>1328</v>
      </c>
      <c r="B1389" s="138">
        <f>'Expenditures 15-22'!K211</f>
        <v>116864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876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30372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694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694</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614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614</v>
      </c>
      <c r="C1421" s="2" t="s">
        <v>594</v>
      </c>
      <c r="D1421" s="2" t="str">
        <f t="shared" si="21"/>
        <v>Error?</v>
      </c>
    </row>
    <row r="1422" spans="1:4" x14ac:dyDescent="0.2">
      <c r="A1422" s="5">
        <v>1361</v>
      </c>
      <c r="B1422" s="138">
        <f>'Expenditures 15-22'!D245</f>
        <v>225</v>
      </c>
      <c r="D1422" s="2" t="str">
        <f t="shared" si="21"/>
        <v>Error?</v>
      </c>
    </row>
    <row r="1423" spans="1:4" x14ac:dyDescent="0.2">
      <c r="A1423" s="5">
        <v>1362</v>
      </c>
      <c r="B1423" s="138">
        <f>'Expenditures 15-22'!D246</f>
        <v>1286</v>
      </c>
      <c r="D1423" s="2" t="str">
        <f t="shared" si="21"/>
        <v>Error?</v>
      </c>
    </row>
    <row r="1424" spans="1:4" x14ac:dyDescent="0.2">
      <c r="A1424" s="5">
        <v>1363</v>
      </c>
      <c r="B1424" s="138">
        <f>'Expenditures 15-22'!D257</f>
        <v>5828</v>
      </c>
      <c r="C1424" s="2" t="s">
        <v>594</v>
      </c>
      <c r="D1424" s="2" t="str">
        <f t="shared" si="21"/>
        <v>Error?</v>
      </c>
    </row>
    <row r="1425" spans="1:4" x14ac:dyDescent="0.2">
      <c r="A1425" s="5">
        <v>1364</v>
      </c>
      <c r="B1425" s="138">
        <f>'Expenditures 15-22'!D259</f>
        <v>3431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3431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12818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12302</v>
      </c>
      <c r="D1431" s="2" t="str">
        <f t="shared" si="21"/>
        <v>Error?</v>
      </c>
    </row>
    <row r="1432" spans="1:4" x14ac:dyDescent="0.2">
      <c r="A1432" s="5">
        <v>1371</v>
      </c>
      <c r="B1432" s="138">
        <f>'Expenditures 15-22'!D267</f>
        <v>11276</v>
      </c>
      <c r="D1432" s="2" t="str">
        <f t="shared" si="21"/>
        <v>Error?</v>
      </c>
    </row>
    <row r="1433" spans="1:4" x14ac:dyDescent="0.2">
      <c r="A1433" s="5">
        <v>1372</v>
      </c>
      <c r="B1433" s="138">
        <f>'Expenditures 15-22'!D268</f>
        <v>5567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41963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52530</v>
      </c>
      <c r="C1446" s="2" t="s">
        <v>594</v>
      </c>
      <c r="D1446" s="2" t="str">
        <f t="shared" si="21"/>
        <v>Error?</v>
      </c>
    </row>
    <row r="1447" spans="1:4" x14ac:dyDescent="0.2">
      <c r="A1447" s="5">
        <v>1386</v>
      </c>
      <c r="B1447" s="138">
        <f>'Expenditures 15-22'!D280</f>
        <v>102</v>
      </c>
      <c r="D1447" s="2" t="str">
        <f t="shared" si="21"/>
        <v>Error?</v>
      </c>
    </row>
    <row r="1448" spans="1:4" x14ac:dyDescent="0.2">
      <c r="A1448" s="5">
        <v>1387</v>
      </c>
      <c r="B1448" s="138">
        <f>'Expenditures 15-22'!D295</f>
        <v>83004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876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30372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694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694</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614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614</v>
      </c>
      <c r="C1485" s="2" t="s">
        <v>594</v>
      </c>
      <c r="D1485" s="2" t="str">
        <f t="shared" si="22"/>
        <v>Error?</v>
      </c>
    </row>
    <row r="1486" spans="1:4" x14ac:dyDescent="0.2">
      <c r="A1486" s="5">
        <v>1425</v>
      </c>
      <c r="B1486" s="138">
        <f>'Expenditures 15-22'!K245</f>
        <v>225</v>
      </c>
      <c r="C1486" s="2" t="s">
        <v>594</v>
      </c>
      <c r="D1486" s="2" t="str">
        <f t="shared" si="22"/>
        <v>Error?</v>
      </c>
    </row>
    <row r="1487" spans="1:4" x14ac:dyDescent="0.2">
      <c r="A1487" s="5">
        <v>1426</v>
      </c>
      <c r="B1487" s="138">
        <f>'Expenditures 15-22'!K246</f>
        <v>1286</v>
      </c>
      <c r="C1487" s="2" t="s">
        <v>594</v>
      </c>
      <c r="D1487" s="2" t="str">
        <f t="shared" si="22"/>
        <v>Error?</v>
      </c>
    </row>
    <row r="1488" spans="1:4" x14ac:dyDescent="0.2">
      <c r="A1488" s="5">
        <v>1427</v>
      </c>
      <c r="B1488" s="138">
        <f>'Expenditures 15-22'!K257</f>
        <v>5828</v>
      </c>
      <c r="C1488" s="2" t="s">
        <v>594</v>
      </c>
      <c r="D1488" s="2" t="str">
        <f t="shared" si="22"/>
        <v>Error?</v>
      </c>
    </row>
    <row r="1489" spans="1:4" x14ac:dyDescent="0.2">
      <c r="A1489" s="5">
        <v>1428</v>
      </c>
      <c r="B1489" s="138">
        <f>'Expenditures 15-22'!K259</f>
        <v>3431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3431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12818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12302</v>
      </c>
      <c r="C1495" s="2" t="s">
        <v>594</v>
      </c>
      <c r="D1495" s="2" t="str">
        <f t="shared" si="22"/>
        <v>Error?</v>
      </c>
    </row>
    <row r="1496" spans="1:4" x14ac:dyDescent="0.2">
      <c r="A1496" s="5">
        <v>1435</v>
      </c>
      <c r="B1496" s="138">
        <f>'Expenditures 15-22'!K267</f>
        <v>11276</v>
      </c>
      <c r="C1496" s="2" t="s">
        <v>594</v>
      </c>
      <c r="D1496" s="2" t="str">
        <f t="shared" si="22"/>
        <v>Error?</v>
      </c>
    </row>
    <row r="1497" spans="1:4" x14ac:dyDescent="0.2">
      <c r="A1497" s="5">
        <v>1436</v>
      </c>
      <c r="B1497" s="138">
        <f>'Expenditures 15-22'!K268</f>
        <v>5567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41963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52530</v>
      </c>
      <c r="C1510" s="2" t="s">
        <v>594</v>
      </c>
      <c r="D1510" s="2" t="str">
        <f t="shared" si="22"/>
        <v>Error?</v>
      </c>
    </row>
    <row r="1511" spans="1:4" x14ac:dyDescent="0.2">
      <c r="A1511" s="5">
        <v>1450</v>
      </c>
      <c r="B1511" s="138">
        <f>'Expenditures 15-22'!K280</f>
        <v>102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83004</v>
      </c>
      <c r="C1517" s="2" t="s">
        <v>594</v>
      </c>
      <c r="D1517" s="2" t="str">
        <f t="shared" si="22"/>
        <v>Error?</v>
      </c>
    </row>
    <row r="1518" spans="1:4" x14ac:dyDescent="0.2">
      <c r="A1518" s="5">
        <v>1457</v>
      </c>
      <c r="B1518" s="138">
        <f>'Expenditures 15-22'!K296</f>
        <v>31256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524503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624797</v>
      </c>
      <c r="C1630" s="2" t="s">
        <v>594</v>
      </c>
      <c r="D1630" s="2" t="str">
        <f t="shared" si="24"/>
        <v>Error?</v>
      </c>
    </row>
    <row r="1631" spans="1:4" x14ac:dyDescent="0.2">
      <c r="A1631" s="5">
        <v>1570</v>
      </c>
      <c r="B1631" s="138">
        <f>'Acct Summary 7-8'!D79</f>
        <v>344612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429328</v>
      </c>
      <c r="C1644" s="2" t="s">
        <v>594</v>
      </c>
      <c r="D1644" s="2" t="str">
        <f t="shared" si="24"/>
        <v>Error?</v>
      </c>
    </row>
    <row r="1645" spans="1:4" x14ac:dyDescent="0.2">
      <c r="A1645" s="5">
        <v>1584</v>
      </c>
      <c r="B1645" s="138">
        <f>'Acct Summary 7-8'!E79</f>
        <v>98187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190540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307404</v>
      </c>
      <c r="C1672" s="2" t="s">
        <v>594</v>
      </c>
      <c r="D1672" s="2" t="str">
        <f t="shared" si="25"/>
        <v>Error?</v>
      </c>
    </row>
    <row r="1673" spans="1:4" x14ac:dyDescent="0.2">
      <c r="A1673" s="5">
        <v>1612</v>
      </c>
      <c r="B1673" s="138">
        <f>'Acct Summary 7-8'!G79</f>
        <v>285248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316504</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1405636</v>
      </c>
      <c r="C1744" s="2" t="s">
        <v>594</v>
      </c>
      <c r="D1744" s="2" t="str">
        <f t="shared" si="26"/>
        <v>Error?</v>
      </c>
    </row>
    <row r="1745" spans="1:5" x14ac:dyDescent="0.2">
      <c r="A1745" s="5">
        <v>1684</v>
      </c>
      <c r="B1745" s="138">
        <f>'Tax Sched 23'!B5</f>
        <v>275616</v>
      </c>
      <c r="C1745" s="2" t="s">
        <v>594</v>
      </c>
      <c r="D1745" s="2" t="str">
        <f t="shared" si="26"/>
        <v>Error?</v>
      </c>
    </row>
    <row r="1746" spans="1:5" x14ac:dyDescent="0.2">
      <c r="A1746" s="5">
        <v>1685</v>
      </c>
      <c r="B1746" s="138">
        <f>'Tax Sched 23'!B6</f>
        <v>104002</v>
      </c>
      <c r="C1746" s="2" t="s">
        <v>594</v>
      </c>
      <c r="D1746" s="2" t="str">
        <f t="shared" si="26"/>
        <v>Error?</v>
      </c>
    </row>
    <row r="1747" spans="1:5" x14ac:dyDescent="0.2">
      <c r="A1747" s="5">
        <v>1686</v>
      </c>
      <c r="B1747" s="138">
        <f>'Tax Sched 23'!B7</f>
        <v>110247</v>
      </c>
      <c r="C1747" s="2" t="s">
        <v>594</v>
      </c>
      <c r="D1747" s="2" t="str">
        <f t="shared" si="26"/>
        <v>Error?</v>
      </c>
    </row>
    <row r="1748" spans="1:5" x14ac:dyDescent="0.2">
      <c r="A1748" s="5">
        <v>1687</v>
      </c>
      <c r="B1748" s="138">
        <f>'Tax Sched 23'!B8</f>
        <v>29953</v>
      </c>
      <c r="C1748" s="2" t="s">
        <v>594</v>
      </c>
      <c r="D1748" s="2" t="str">
        <f t="shared" si="26"/>
        <v>Error?</v>
      </c>
    </row>
    <row r="1749" spans="1:5" x14ac:dyDescent="0.2">
      <c r="A1749" s="5">
        <v>1688</v>
      </c>
      <c r="B1749" s="138">
        <f>'Tax Sched 23'!B10</f>
        <v>27562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259574</v>
      </c>
      <c r="C1752" s="2" t="s">
        <v>594</v>
      </c>
      <c r="D1752" s="2" t="str">
        <f t="shared" si="26"/>
        <v>Error?</v>
      </c>
    </row>
    <row r="1753" spans="1:5" x14ac:dyDescent="0.2">
      <c r="A1753" s="5">
        <v>1692</v>
      </c>
      <c r="B1753" s="138">
        <f>'Tax Sched 23'!B12</f>
        <v>27562</v>
      </c>
      <c r="C1753" s="2" t="s">
        <v>594</v>
      </c>
      <c r="D1753" s="2" t="str">
        <f t="shared" si="26"/>
        <v>Error?</v>
      </c>
    </row>
    <row r="1754" spans="1:5" x14ac:dyDescent="0.2">
      <c r="A1754" s="5">
        <v>1693</v>
      </c>
      <c r="B1754" s="138">
        <f>'Tax Sched 23'!B14</f>
        <v>22050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2364643</v>
      </c>
      <c r="C1759" s="2" t="s">
        <v>594</v>
      </c>
      <c r="D1759" s="2" t="str">
        <f t="shared" si="26"/>
        <v>Error?</v>
      </c>
    </row>
    <row r="1760" spans="1:5" x14ac:dyDescent="0.2">
      <c r="A1760" s="5">
        <v>1699</v>
      </c>
      <c r="B1760" s="138">
        <f>'Tax Sched 23'!D4</f>
        <v>1405636</v>
      </c>
      <c r="C1760" s="2" t="s">
        <v>594</v>
      </c>
      <c r="D1760" s="2" t="str">
        <f t="shared" si="26"/>
        <v>Error?</v>
      </c>
    </row>
    <row r="1761" spans="1:5" x14ac:dyDescent="0.2">
      <c r="A1761" s="5">
        <v>1700</v>
      </c>
      <c r="B1761" s="138">
        <f>'Tax Sched 23'!D5</f>
        <v>275616</v>
      </c>
      <c r="C1761" s="2" t="s">
        <v>594</v>
      </c>
      <c r="D1761" s="2" t="str">
        <f t="shared" si="26"/>
        <v>Error?</v>
      </c>
    </row>
    <row r="1762" spans="1:5" s="8" customFormat="1" x14ac:dyDescent="0.2">
      <c r="A1762" s="5">
        <v>1701</v>
      </c>
      <c r="B1762" s="138">
        <f>'Tax Sched 23'!D6</f>
        <v>104002</v>
      </c>
      <c r="C1762" s="2" t="s">
        <v>594</v>
      </c>
      <c r="D1762" s="2" t="str">
        <f t="shared" si="26"/>
        <v>Error?</v>
      </c>
      <c r="E1762" s="9"/>
    </row>
    <row r="1763" spans="1:5" x14ac:dyDescent="0.2">
      <c r="A1763" s="5">
        <v>1702</v>
      </c>
      <c r="B1763" s="138">
        <f>'Tax Sched 23'!D7</f>
        <v>110247</v>
      </c>
      <c r="C1763" s="2" t="s">
        <v>594</v>
      </c>
      <c r="D1763" s="2" t="str">
        <f t="shared" si="26"/>
        <v>Error?</v>
      </c>
    </row>
    <row r="1764" spans="1:5" x14ac:dyDescent="0.2">
      <c r="A1764" s="5">
        <v>1703</v>
      </c>
      <c r="B1764" s="138">
        <f>'Tax Sched 23'!D8</f>
        <v>29953</v>
      </c>
      <c r="C1764" s="2" t="s">
        <v>594</v>
      </c>
      <c r="D1764" s="2" t="str">
        <f t="shared" si="26"/>
        <v>Error?</v>
      </c>
    </row>
    <row r="1765" spans="1:5" x14ac:dyDescent="0.2">
      <c r="A1765" s="5">
        <v>1704</v>
      </c>
      <c r="B1765" s="138">
        <f>'Tax Sched 23'!D10</f>
        <v>27562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259574</v>
      </c>
      <c r="C1768" s="2" t="s">
        <v>594</v>
      </c>
      <c r="D1768" s="2" t="str">
        <f t="shared" si="26"/>
        <v>Error?</v>
      </c>
    </row>
    <row r="1769" spans="1:5" x14ac:dyDescent="0.2">
      <c r="A1769" s="5">
        <v>1708</v>
      </c>
      <c r="B1769" s="138">
        <f>'Tax Sched 23'!D12</f>
        <v>27562</v>
      </c>
      <c r="C1769" s="2" t="s">
        <v>594</v>
      </c>
      <c r="D1769" s="2" t="str">
        <f t="shared" si="26"/>
        <v>Error?</v>
      </c>
    </row>
    <row r="1770" spans="1:5" x14ac:dyDescent="0.2">
      <c r="A1770" s="5">
        <v>1709</v>
      </c>
      <c r="B1770" s="138">
        <f>'Tax Sched 23'!D14</f>
        <v>22050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2364643</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1462355</v>
      </c>
      <c r="C1792" s="2" t="s">
        <v>594</v>
      </c>
      <c r="D1792" s="2" t="str">
        <f t="shared" si="27"/>
        <v>Error?</v>
      </c>
    </row>
    <row r="1793" spans="1:4" x14ac:dyDescent="0.2">
      <c r="A1793" s="5">
        <v>1732</v>
      </c>
      <c r="B1793" s="138">
        <f>'Tax Sched 23'!F5</f>
        <v>286736</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114695</v>
      </c>
      <c r="C1795" s="2" t="s">
        <v>594</v>
      </c>
      <c r="D1795" s="2" t="str">
        <f t="shared" si="27"/>
        <v>Error?</v>
      </c>
    </row>
    <row r="1796" spans="1:4" x14ac:dyDescent="0.2">
      <c r="A1796" s="5">
        <v>1735</v>
      </c>
      <c r="B1796" s="138">
        <f>'Tax Sched 23'!F8</f>
        <v>30107</v>
      </c>
      <c r="C1796" s="2" t="s">
        <v>594</v>
      </c>
      <c r="D1796" s="2" t="str">
        <f t="shared" si="27"/>
        <v>Error?</v>
      </c>
    </row>
    <row r="1797" spans="1:4" x14ac:dyDescent="0.2">
      <c r="A1797" s="5">
        <v>1736</v>
      </c>
      <c r="B1797" s="138">
        <f>'Tax Sched 23'!F10</f>
        <v>28674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219927</v>
      </c>
      <c r="C1800" s="2" t="s">
        <v>594</v>
      </c>
      <c r="D1800" s="2" t="str">
        <f t="shared" si="27"/>
        <v>Error?</v>
      </c>
    </row>
    <row r="1801" spans="1:4" x14ac:dyDescent="0.2">
      <c r="A1801" s="5">
        <v>1740</v>
      </c>
      <c r="B1801" s="138">
        <f>'Tax Sched 23'!F12</f>
        <v>28674</v>
      </c>
      <c r="C1801" s="2" t="s">
        <v>594</v>
      </c>
      <c r="D1801" s="2" t="str">
        <f t="shared" si="27"/>
        <v>Error?</v>
      </c>
    </row>
    <row r="1802" spans="1:4" x14ac:dyDescent="0.2">
      <c r="A1802" s="5">
        <v>1741</v>
      </c>
      <c r="B1802" s="138">
        <f>'Tax Sched 23'!F14</f>
        <v>22939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2298049</v>
      </c>
      <c r="C1807" s="2" t="s">
        <v>594</v>
      </c>
      <c r="D1807" s="2" t="str">
        <f t="shared" si="27"/>
        <v>Error?</v>
      </c>
    </row>
    <row r="1808" spans="1:4" x14ac:dyDescent="0.2">
      <c r="A1808" s="5">
        <v>1747</v>
      </c>
      <c r="B1808" s="138">
        <f>'Tax Sched 23'!E4</f>
        <v>1462355</v>
      </c>
      <c r="D1808" s="2" t="str">
        <f t="shared" si="27"/>
        <v>Error?</v>
      </c>
    </row>
    <row r="1809" spans="1:4" x14ac:dyDescent="0.2">
      <c r="A1809" s="5">
        <v>1748</v>
      </c>
      <c r="B1809" s="138">
        <f>'Tax Sched 23'!E5</f>
        <v>286736</v>
      </c>
      <c r="D1809" s="2" t="str">
        <f t="shared" si="27"/>
        <v>Error?</v>
      </c>
    </row>
    <row r="1810" spans="1:4" x14ac:dyDescent="0.2">
      <c r="A1810" s="5">
        <v>1749</v>
      </c>
      <c r="B1810" s="138">
        <f>'Tax Sched 23'!E6</f>
        <v>0</v>
      </c>
      <c r="D1810" s="2" t="str">
        <f t="shared" si="27"/>
        <v>Error?</v>
      </c>
    </row>
    <row r="1811" spans="1:4" x14ac:dyDescent="0.2">
      <c r="A1811" s="5">
        <v>1750</v>
      </c>
      <c r="B1811" s="138">
        <f>'Tax Sched 23'!E7</f>
        <v>114695</v>
      </c>
      <c r="D1811" s="2" t="str">
        <f t="shared" si="27"/>
        <v>Error?</v>
      </c>
    </row>
    <row r="1812" spans="1:4" x14ac:dyDescent="0.2">
      <c r="A1812" s="5">
        <v>1751</v>
      </c>
      <c r="B1812" s="138">
        <f>'Tax Sched 23'!E8</f>
        <v>30107</v>
      </c>
      <c r="D1812" s="2" t="str">
        <f t="shared" si="27"/>
        <v>Error?</v>
      </c>
    </row>
    <row r="1813" spans="1:4" x14ac:dyDescent="0.2">
      <c r="A1813" s="5">
        <v>1752</v>
      </c>
      <c r="B1813" s="138">
        <f>'Tax Sched 23'!E10</f>
        <v>28674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219927</v>
      </c>
      <c r="D1816" s="2" t="str">
        <f t="shared" si="27"/>
        <v>Error?</v>
      </c>
    </row>
    <row r="1817" spans="1:4" x14ac:dyDescent="0.2">
      <c r="A1817" s="5">
        <v>1756</v>
      </c>
      <c r="B1817" s="138">
        <f>'Tax Sched 23'!E12</f>
        <v>28674</v>
      </c>
      <c r="D1817" s="2" t="str">
        <f t="shared" si="27"/>
        <v>Error?</v>
      </c>
    </row>
    <row r="1818" spans="1:4" x14ac:dyDescent="0.2">
      <c r="A1818" s="5">
        <v>1757</v>
      </c>
      <c r="B1818" s="138">
        <f>'Tax Sched 23'!E14</f>
        <v>22939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2298049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22050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22050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22050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29900</v>
      </c>
      <c r="D2008" s="2" t="str">
        <f t="shared" si="30"/>
        <v>Error?</v>
      </c>
    </row>
    <row r="2009" spans="1:4" x14ac:dyDescent="0.2">
      <c r="A2009" s="5">
        <v>1948</v>
      </c>
      <c r="B2009" s="138">
        <f>'Cap Outlay Deprec 26'!C8</f>
        <v>2331706</v>
      </c>
      <c r="D2009" s="2" t="str">
        <f t="shared" si="30"/>
        <v>Error?</v>
      </c>
    </row>
    <row r="2010" spans="1:4" x14ac:dyDescent="0.2">
      <c r="A2010" s="5">
        <v>1949</v>
      </c>
      <c r="B2010" s="138">
        <f>'Cap Outlay Deprec 26'!C10</f>
        <v>153192</v>
      </c>
      <c r="D2010" s="2" t="str">
        <f t="shared" si="30"/>
        <v>Error?</v>
      </c>
    </row>
    <row r="2011" spans="1:4" x14ac:dyDescent="0.2">
      <c r="A2011" s="5">
        <v>1950</v>
      </c>
      <c r="B2011" s="138">
        <f>'Cap Outlay Deprec 26'!C12</f>
        <v>164086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2678884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83436</v>
      </c>
      <c r="D2017" s="2" t="str">
        <f t="shared" si="30"/>
        <v>Error?</v>
      </c>
    </row>
    <row r="2018" spans="1:4" x14ac:dyDescent="0.2">
      <c r="A2018" s="5">
        <v>1957</v>
      </c>
      <c r="B2018" s="138">
        <f>'Cap Outlay Deprec 26'!D13</f>
        <v>604583</v>
      </c>
      <c r="D2018" s="2" t="str">
        <f t="shared" si="30"/>
        <v>Error?</v>
      </c>
    </row>
    <row r="2019" spans="1:4" x14ac:dyDescent="0.2">
      <c r="A2019" s="5">
        <v>1958</v>
      </c>
      <c r="B2019" s="138">
        <f>'Cap Outlay Deprec 26'!D16</f>
        <v>688019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168526</v>
      </c>
      <c r="D2024" s="2" t="str">
        <f t="shared" si="30"/>
        <v>Error?</v>
      </c>
    </row>
    <row r="2025" spans="1:4" x14ac:dyDescent="0.2">
      <c r="A2025" s="5">
        <v>1964</v>
      </c>
      <c r="B2025" s="138">
        <f>'Cap Outlay Deprec 26'!E16</f>
        <v>168526</v>
      </c>
      <c r="C2025" s="2" t="s">
        <v>594</v>
      </c>
      <c r="D2025" s="2" t="str">
        <f t="shared" si="30"/>
        <v>Error?</v>
      </c>
    </row>
    <row r="2026" spans="1:4" x14ac:dyDescent="0.2">
      <c r="A2026" s="5">
        <v>1965</v>
      </c>
      <c r="B2026" s="138">
        <f>'Cap Outlay Deprec 26'!F5</f>
        <v>29900</v>
      </c>
      <c r="C2026" s="2" t="s">
        <v>594</v>
      </c>
      <c r="D2026" s="2" t="str">
        <f t="shared" si="30"/>
        <v>Error?</v>
      </c>
    </row>
    <row r="2027" spans="1:4" x14ac:dyDescent="0.2">
      <c r="A2027" s="5">
        <v>1966</v>
      </c>
      <c r="B2027" s="138">
        <f>'Cap Outlay Deprec 26'!F8</f>
        <v>2331706</v>
      </c>
      <c r="C2027" s="2" t="s">
        <v>594</v>
      </c>
      <c r="D2027" s="2" t="str">
        <f t="shared" si="30"/>
        <v>Error?</v>
      </c>
    </row>
    <row r="2028" spans="1:4" x14ac:dyDescent="0.2">
      <c r="A2028" s="5">
        <v>1967</v>
      </c>
      <c r="B2028" s="138">
        <f>'Cap Outlay Deprec 26'!F10</f>
        <v>153192</v>
      </c>
      <c r="C2028" s="2" t="s">
        <v>594</v>
      </c>
      <c r="D2028" s="2" t="str">
        <f t="shared" si="30"/>
        <v>Error?</v>
      </c>
    </row>
    <row r="2029" spans="1:4" x14ac:dyDescent="0.2">
      <c r="A2029" s="5">
        <v>1968</v>
      </c>
      <c r="B2029" s="138">
        <f>'Cap Outlay Deprec 26'!F12</f>
        <v>247522</v>
      </c>
      <c r="C2029" s="2" t="s">
        <v>594</v>
      </c>
      <c r="D2029" s="2" t="str">
        <f t="shared" si="30"/>
        <v>Error?</v>
      </c>
    </row>
    <row r="2030" spans="1:4" x14ac:dyDescent="0.2">
      <c r="A2030" s="5">
        <v>1969</v>
      </c>
      <c r="B2030" s="138">
        <f>'Cap Outlay Deprec 26'!F13</f>
        <v>436057</v>
      </c>
      <c r="C2030" s="2" t="s">
        <v>594</v>
      </c>
      <c r="D2030" s="2" t="str">
        <f t="shared" si="30"/>
        <v>Error?</v>
      </c>
    </row>
    <row r="2031" spans="1:4" x14ac:dyDescent="0.2">
      <c r="A2031" s="5">
        <v>1970</v>
      </c>
      <c r="B2031" s="138">
        <f>'Cap Outlay Deprec 26'!F16</f>
        <v>3198377</v>
      </c>
      <c r="C2031" s="2" t="s">
        <v>594</v>
      </c>
      <c r="D2031" s="2" t="str">
        <f t="shared" si="30"/>
        <v>Error?</v>
      </c>
    </row>
    <row r="2032" spans="1:4" x14ac:dyDescent="0.2">
      <c r="A2032" s="10">
        <v>1971</v>
      </c>
      <c r="D2032" s="2" t="str">
        <f t="shared" si="30"/>
        <v>OK</v>
      </c>
    </row>
    <row r="2033" spans="1:4" x14ac:dyDescent="0.2">
      <c r="A2033" s="5">
        <v>1972</v>
      </c>
      <c r="B2033" s="138">
        <f>'Cap Outlay Deprec 26'!H8</f>
        <v>1373593</v>
      </c>
      <c r="D2033" s="2" t="str">
        <f t="shared" si="30"/>
        <v>Error?</v>
      </c>
    </row>
    <row r="2034" spans="1:4" x14ac:dyDescent="0.2">
      <c r="A2034" s="5">
        <v>1973</v>
      </c>
      <c r="B2034" s="138">
        <f>'Cap Outlay Deprec 26'!H10</f>
        <v>106141</v>
      </c>
      <c r="D2034" s="2" t="str">
        <f t="shared" si="30"/>
        <v>Error?</v>
      </c>
    </row>
    <row r="2035" spans="1:4" x14ac:dyDescent="0.2">
      <c r="A2035" s="5">
        <v>1974</v>
      </c>
      <c r="B2035" s="138">
        <f>'Cap Outlay Deprec 26'!H12</f>
        <v>21846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1501580</v>
      </c>
      <c r="C2037" s="2" t="s">
        <v>594</v>
      </c>
      <c r="D2037" s="2" t="str">
        <f t="shared" si="30"/>
        <v>Error?</v>
      </c>
    </row>
    <row r="2038" spans="1:4" x14ac:dyDescent="0.2">
      <c r="A2038" s="10">
        <v>1977</v>
      </c>
      <c r="D2038" s="2" t="str">
        <f t="shared" si="30"/>
        <v>OK</v>
      </c>
    </row>
    <row r="2039" spans="1:4" x14ac:dyDescent="0.2">
      <c r="A2039" s="5">
        <v>1978</v>
      </c>
      <c r="B2039" s="138">
        <f>'Cap Outlay Deprec 26'!I8</f>
        <v>34627</v>
      </c>
      <c r="D2039" s="2" t="str">
        <f t="shared" si="30"/>
        <v>Error?</v>
      </c>
    </row>
    <row r="2040" spans="1:4" x14ac:dyDescent="0.2">
      <c r="A2040" s="5">
        <v>1979</v>
      </c>
      <c r="B2040" s="138">
        <f>'Cap Outlay Deprec 26'!I10</f>
        <v>6128</v>
      </c>
      <c r="D2040" s="2" t="str">
        <f t="shared" si="30"/>
        <v>Error?</v>
      </c>
    </row>
    <row r="2041" spans="1:4" x14ac:dyDescent="0.2">
      <c r="A2041" s="5">
        <v>1980</v>
      </c>
      <c r="B2041" s="138">
        <f>'Cap Outlay Deprec 26'!I12</f>
        <v>52197</v>
      </c>
      <c r="D2041" s="2" t="str">
        <f t="shared" si="30"/>
        <v>Error?</v>
      </c>
    </row>
    <row r="2042" spans="1:4" x14ac:dyDescent="0.2">
      <c r="A2042" s="5">
        <v>1981</v>
      </c>
      <c r="B2042" s="138">
        <f>'Cap Outlay Deprec 26'!I13</f>
        <v>219951</v>
      </c>
      <c r="D2042" s="2" t="str">
        <f t="shared" si="30"/>
        <v>Error?</v>
      </c>
    </row>
    <row r="2043" spans="1:4" x14ac:dyDescent="0.2">
      <c r="A2043" s="5">
        <v>1982</v>
      </c>
      <c r="B2043" s="138">
        <f>'Cap Outlay Deprec 26'!I16</f>
        <v>312903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95001</v>
      </c>
      <c r="D2048" s="2" t="str">
        <f t="shared" si="31"/>
        <v>Error?</v>
      </c>
    </row>
    <row r="2049" spans="1:4" x14ac:dyDescent="0.2">
      <c r="A2049" s="5">
        <v>1988</v>
      </c>
      <c r="B2049" s="138">
        <f>'Cap Outlay Deprec 26'!J16</f>
        <v>95001</v>
      </c>
      <c r="C2049" s="2" t="s">
        <v>594</v>
      </c>
      <c r="D2049" s="2" t="str">
        <f t="shared" si="31"/>
        <v>Error?</v>
      </c>
    </row>
    <row r="2050" spans="1:4" x14ac:dyDescent="0.2">
      <c r="A2050" s="10">
        <v>1989</v>
      </c>
      <c r="D2050" s="2" t="str">
        <f t="shared" si="31"/>
        <v>OK</v>
      </c>
    </row>
    <row r="2051" spans="1:4" x14ac:dyDescent="0.2">
      <c r="A2051" s="5">
        <v>1990</v>
      </c>
      <c r="B2051" s="138">
        <f>'Cap Outlay Deprec 26'!K8</f>
        <v>1408220</v>
      </c>
      <c r="C2051" s="2" t="s">
        <v>594</v>
      </c>
      <c r="D2051" s="2" t="str">
        <f t="shared" si="31"/>
        <v>Error?</v>
      </c>
    </row>
    <row r="2052" spans="1:4" x14ac:dyDescent="0.2">
      <c r="A2052" s="5">
        <v>1991</v>
      </c>
      <c r="B2052" s="138">
        <f>'Cap Outlay Deprec 26'!K10</f>
        <v>112269</v>
      </c>
      <c r="C2052" s="2" t="s">
        <v>594</v>
      </c>
      <c r="D2052" s="2" t="str">
        <f t="shared" si="31"/>
        <v>Error?</v>
      </c>
    </row>
    <row r="2053" spans="1:4" x14ac:dyDescent="0.2">
      <c r="A2053" s="5">
        <v>1992</v>
      </c>
      <c r="B2053" s="138">
        <f>'Cap Outlay Deprec 26'!K12</f>
        <v>74043</v>
      </c>
      <c r="C2053" s="2" t="s">
        <v>594</v>
      </c>
      <c r="D2053" s="2" t="str">
        <f t="shared" si="31"/>
        <v>Error?</v>
      </c>
    </row>
    <row r="2054" spans="1:4" x14ac:dyDescent="0.2">
      <c r="A2054" s="5">
        <v>1993</v>
      </c>
      <c r="B2054" s="138">
        <f>'Cap Outlay Deprec 26'!K13</f>
        <v>124950</v>
      </c>
      <c r="C2054" s="2" t="s">
        <v>594</v>
      </c>
      <c r="D2054" s="2" t="str">
        <f t="shared" si="31"/>
        <v>Error?</v>
      </c>
    </row>
    <row r="2055" spans="1:4" x14ac:dyDescent="0.2">
      <c r="A2055" s="5">
        <v>1994</v>
      </c>
      <c r="B2055" s="138">
        <f>'Cap Outlay Deprec 26'!K16</f>
        <v>1719482</v>
      </c>
      <c r="C2055" s="2" t="s">
        <v>594</v>
      </c>
      <c r="D2055" s="2" t="str">
        <f t="shared" si="31"/>
        <v>Error?</v>
      </c>
    </row>
    <row r="2056" spans="1:4" x14ac:dyDescent="0.2">
      <c r="A2056" s="5">
        <v>1995</v>
      </c>
      <c r="B2056" s="138">
        <f>'Cap Outlay Deprec 26'!L5</f>
        <v>29900</v>
      </c>
      <c r="C2056" s="2" t="s">
        <v>594</v>
      </c>
      <c r="D2056" s="2" t="str">
        <f t="shared" si="31"/>
        <v>Error?</v>
      </c>
    </row>
    <row r="2057" spans="1:4" x14ac:dyDescent="0.2">
      <c r="A2057" s="5">
        <v>1996</v>
      </c>
      <c r="B2057" s="138">
        <f>'Cap Outlay Deprec 26'!L8</f>
        <v>923486</v>
      </c>
      <c r="C2057" s="2" t="s">
        <v>594</v>
      </c>
      <c r="D2057" s="2" t="str">
        <f t="shared" si="31"/>
        <v>Error?</v>
      </c>
    </row>
    <row r="2058" spans="1:4" x14ac:dyDescent="0.2">
      <c r="A2058" s="5">
        <v>1997</v>
      </c>
      <c r="B2058" s="138">
        <f>'Cap Outlay Deprec 26'!L10</f>
        <v>40923</v>
      </c>
      <c r="C2058" s="2" t="s">
        <v>594</v>
      </c>
      <c r="D2058" s="2" t="str">
        <f t="shared" si="31"/>
        <v>Error?</v>
      </c>
    </row>
    <row r="2059" spans="1:4" x14ac:dyDescent="0.2">
      <c r="A2059" s="5">
        <v>1998</v>
      </c>
      <c r="B2059" s="138">
        <f>'Cap Outlay Deprec 26'!L12</f>
        <v>173479</v>
      </c>
      <c r="C2059" s="2" t="s">
        <v>594</v>
      </c>
      <c r="D2059" s="2" t="str">
        <f t="shared" si="31"/>
        <v>Error?</v>
      </c>
    </row>
    <row r="2060" spans="1:4" x14ac:dyDescent="0.2">
      <c r="A2060" s="5">
        <v>1999</v>
      </c>
      <c r="B2060" s="138">
        <f>'Cap Outlay Deprec 26'!L13</f>
        <v>311107</v>
      </c>
      <c r="C2060" s="2" t="s">
        <v>594</v>
      </c>
      <c r="D2060" s="2" t="str">
        <f t="shared" si="31"/>
        <v>Error?</v>
      </c>
    </row>
    <row r="2061" spans="1:4" x14ac:dyDescent="0.2">
      <c r="A2061" s="5">
        <v>2000</v>
      </c>
      <c r="B2061" s="138">
        <f>'Cap Outlay Deprec 26'!L16</f>
        <v>1478895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587407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587407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316504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2133823</v>
      </c>
      <c r="C2551" s="2" t="s">
        <v>594</v>
      </c>
      <c r="D2551" s="2" t="str">
        <f t="shared" si="38"/>
        <v>Error?</v>
      </c>
    </row>
    <row r="2552" spans="1:4" x14ac:dyDescent="0.2">
      <c r="A2552" s="10">
        <v>2491</v>
      </c>
      <c r="D2552" s="2" t="str">
        <f t="shared" si="38"/>
        <v>OK</v>
      </c>
    </row>
    <row r="2553" spans="1:4" x14ac:dyDescent="0.2">
      <c r="A2553" s="5">
        <v>2492</v>
      </c>
      <c r="B2553" s="138">
        <f>'Acct Summary 7-8'!C6</f>
        <v>414943</v>
      </c>
      <c r="C2553" s="2" t="s">
        <v>594</v>
      </c>
      <c r="D2553" s="2" t="str">
        <f t="shared" si="38"/>
        <v>Error?</v>
      </c>
    </row>
    <row r="2554" spans="1:4" x14ac:dyDescent="0.2">
      <c r="A2554" s="5">
        <v>2493</v>
      </c>
      <c r="B2554" s="138">
        <f>'Acct Summary 7-8'!C7</f>
        <v>200717</v>
      </c>
      <c r="C2554" s="2" t="s">
        <v>594</v>
      </c>
      <c r="D2554" s="2" t="str">
        <f t="shared" si="38"/>
        <v>Error?</v>
      </c>
    </row>
    <row r="2555" spans="1:4" x14ac:dyDescent="0.2">
      <c r="A2555" s="5">
        <v>2494</v>
      </c>
      <c r="B2555" s="138">
        <f>'Acct Summary 7-8'!C8</f>
        <v>2749483</v>
      </c>
      <c r="C2555" s="2" t="s">
        <v>594</v>
      </c>
      <c r="D2555" s="2" t="str">
        <f t="shared" si="38"/>
        <v>Error?</v>
      </c>
    </row>
    <row r="2556" spans="1:4" x14ac:dyDescent="0.2">
      <c r="A2556" s="5">
        <v>2495</v>
      </c>
      <c r="B2556" s="138">
        <f>'Acct Summary 7-8'!C12</f>
        <v>1452905</v>
      </c>
      <c r="C2556" s="2" t="s">
        <v>594</v>
      </c>
      <c r="D2556" s="2" t="str">
        <f t="shared" si="38"/>
        <v>Error?</v>
      </c>
    </row>
    <row r="2557" spans="1:4" x14ac:dyDescent="0.2">
      <c r="A2557" s="5">
        <v>2496</v>
      </c>
      <c r="B2557" s="138">
        <f>'Acct Summary 7-8'!C13</f>
        <v>706595</v>
      </c>
      <c r="C2557" s="2" t="s">
        <v>594</v>
      </c>
      <c r="D2557" s="2" t="str">
        <f t="shared" si="38"/>
        <v>Error?</v>
      </c>
    </row>
    <row r="2558" spans="1:4" x14ac:dyDescent="0.2">
      <c r="A2558" s="5">
        <v>2497</v>
      </c>
      <c r="B2558" s="138">
        <f>'Acct Summary 7-8'!C14</f>
        <v>10700</v>
      </c>
      <c r="C2558" s="2" t="s">
        <v>594</v>
      </c>
      <c r="D2558" s="2" t="str">
        <f t="shared" si="38"/>
        <v>Error?</v>
      </c>
    </row>
    <row r="2559" spans="1:4" x14ac:dyDescent="0.2">
      <c r="A2559" s="5">
        <v>2498</v>
      </c>
      <c r="B2559" s="138">
        <f>'Acct Summary 7-8'!C15</f>
        <v>587407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2757607</v>
      </c>
      <c r="C2561" s="2" t="s">
        <v>594</v>
      </c>
      <c r="D2561" s="2" t="str">
        <f t="shared" si="39"/>
        <v>Error?</v>
      </c>
    </row>
    <row r="2562" spans="1:4" x14ac:dyDescent="0.2">
      <c r="A2562" s="5">
        <v>2501</v>
      </c>
      <c r="B2562" s="138">
        <f>'Acct Summary 7-8'!C20</f>
        <v>-8124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302709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302709</v>
      </c>
      <c r="C2568" s="2" t="s">
        <v>594</v>
      </c>
      <c r="D2568" s="2" t="str">
        <f t="shared" si="39"/>
        <v>Error?</v>
      </c>
    </row>
    <row r="2569" spans="1:4" x14ac:dyDescent="0.2">
      <c r="A2569" s="5">
        <v>2508</v>
      </c>
      <c r="B2569" s="138">
        <f>'Acct Summary 7-8'!D13</f>
        <v>217993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217993</v>
      </c>
      <c r="C2573" s="2" t="s">
        <v>594</v>
      </c>
      <c r="D2573" s="2" t="str">
        <f t="shared" si="39"/>
        <v>Error?</v>
      </c>
    </row>
    <row r="2574" spans="1:4" x14ac:dyDescent="0.2">
      <c r="A2574" s="5">
        <v>2513</v>
      </c>
      <c r="B2574" s="138">
        <f>'Acct Summary 7-8'!D20</f>
        <v>84716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121886</v>
      </c>
      <c r="C2591" s="2" t="s">
        <v>594</v>
      </c>
      <c r="D2591" s="2" t="str">
        <f t="shared" si="39"/>
        <v>Error?</v>
      </c>
    </row>
    <row r="2592" spans="1:4" x14ac:dyDescent="0.2">
      <c r="A2592" s="10">
        <v>2531</v>
      </c>
      <c r="D2592" s="2" t="str">
        <f t="shared" si="39"/>
        <v>OK</v>
      </c>
    </row>
    <row r="2593" spans="1:4" x14ac:dyDescent="0.2">
      <c r="A2593" s="5">
        <v>2532</v>
      </c>
      <c r="B2593" s="138">
        <f>'Acct Summary 7-8'!F6</f>
        <v>255118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377004</v>
      </c>
      <c r="C2595" s="2" t="s">
        <v>594</v>
      </c>
      <c r="D2595" s="2" t="str">
        <f t="shared" si="39"/>
        <v>Error?</v>
      </c>
    </row>
    <row r="2596" spans="1:4" x14ac:dyDescent="0.2">
      <c r="A2596" s="5">
        <v>2535</v>
      </c>
      <c r="B2596" s="138">
        <f>'Acct Summary 7-8'!F13</f>
        <v>259904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236</v>
      </c>
      <c r="C2599" s="2" t="s">
        <v>594</v>
      </c>
      <c r="D2599" s="2" t="str">
        <f t="shared" si="39"/>
        <v>Error?</v>
      </c>
    </row>
    <row r="2600" spans="1:4" x14ac:dyDescent="0.2">
      <c r="A2600" s="5">
        <v>2539</v>
      </c>
      <c r="B2600" s="138">
        <f>'Acct Summary 7-8'!F17</f>
        <v>260140</v>
      </c>
      <c r="C2600" s="2" t="s">
        <v>594</v>
      </c>
      <c r="D2600" s="2" t="str">
        <f t="shared" si="39"/>
        <v>Error?</v>
      </c>
    </row>
    <row r="2601" spans="1:4" x14ac:dyDescent="0.2">
      <c r="A2601" s="5">
        <v>2540</v>
      </c>
      <c r="B2601" s="138">
        <f>'Acct Summary 7-8'!F20</f>
        <v>116864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114260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114260</v>
      </c>
      <c r="C2606" s="2" t="s">
        <v>594</v>
      </c>
      <c r="D2606" s="2" t="str">
        <f t="shared" si="39"/>
        <v>Error?</v>
      </c>
    </row>
    <row r="2607" spans="1:4" x14ac:dyDescent="0.2">
      <c r="A2607" s="5">
        <v>2546</v>
      </c>
      <c r="B2607" s="138">
        <f>'Acct Summary 7-8'!G12</f>
        <v>30372</v>
      </c>
      <c r="C2607" s="2" t="s">
        <v>594</v>
      </c>
      <c r="D2607" s="2" t="str">
        <f t="shared" si="39"/>
        <v>Error?</v>
      </c>
    </row>
    <row r="2608" spans="1:4" x14ac:dyDescent="0.2">
      <c r="A2608" s="5">
        <v>2547</v>
      </c>
      <c r="B2608" s="138">
        <f>'Acct Summary 7-8'!G13</f>
        <v>52530</v>
      </c>
      <c r="C2608" s="2" t="s">
        <v>594</v>
      </c>
      <c r="D2608" s="2" t="str">
        <f t="shared" si="39"/>
        <v>Error?</v>
      </c>
    </row>
    <row r="2609" spans="1:4" x14ac:dyDescent="0.2">
      <c r="A2609" s="5">
        <v>2548</v>
      </c>
      <c r="B2609" s="138">
        <f>'Acct Summary 7-8'!G14</f>
        <v>102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83004</v>
      </c>
      <c r="C2612" s="2" t="s">
        <v>594</v>
      </c>
      <c r="D2612" s="2" t="str">
        <f t="shared" si="39"/>
        <v>Error?</v>
      </c>
    </row>
    <row r="2613" spans="1:4" x14ac:dyDescent="0.2">
      <c r="A2613" s="5">
        <v>2552</v>
      </c>
      <c r="B2613" s="138">
        <f>'Acct Summary 7-8'!G20</f>
        <v>31256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112856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112856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102625</v>
      </c>
      <c r="C2634" s="2" t="s">
        <v>594</v>
      </c>
      <c r="D2634" s="2" t="str">
        <f t="shared" si="40"/>
        <v>Error?</v>
      </c>
    </row>
    <row r="2635" spans="1:4" x14ac:dyDescent="0.2">
      <c r="A2635" s="5">
        <v>2574</v>
      </c>
      <c r="B2635" s="138">
        <f>'Acct Summary 7-8'!E17</f>
        <v>102625</v>
      </c>
      <c r="C2635" s="2" t="s">
        <v>594</v>
      </c>
      <c r="D2635" s="2" t="str">
        <f t="shared" si="40"/>
        <v>Error?</v>
      </c>
    </row>
    <row r="2636" spans="1:4" x14ac:dyDescent="0.2">
      <c r="A2636" s="5">
        <v>2575</v>
      </c>
      <c r="B2636" s="138">
        <f>'Acct Summary 7-8'!E20</f>
        <v>10231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108418</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2625</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108418</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2625</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176381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38734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176381</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176381</v>
      </c>
      <c r="C2913" s="2" t="s">
        <v>594</v>
      </c>
      <c r="D2913" s="2" t="str">
        <f t="shared" si="44"/>
        <v>Error?</v>
      </c>
    </row>
    <row r="2914" spans="1:4" x14ac:dyDescent="0.2">
      <c r="A2914" s="5">
        <v>2853</v>
      </c>
      <c r="B2914" s="138">
        <f>'Assets-Liab 5-6'!L33</f>
        <v>38734</v>
      </c>
      <c r="D2914" s="2" t="str">
        <f t="shared" si="44"/>
        <v>Error?</v>
      </c>
    </row>
    <row r="2915" spans="1:4" x14ac:dyDescent="0.2">
      <c r="A2915" s="10">
        <v>2854</v>
      </c>
      <c r="D2915" s="2" t="str">
        <f t="shared" si="44"/>
        <v>OK</v>
      </c>
    </row>
    <row r="2916" spans="1:4" x14ac:dyDescent="0.2">
      <c r="A2916" s="5">
        <v>2855</v>
      </c>
      <c r="B2916" s="138">
        <f>'Assets-Liab 5-6'!L34</f>
        <v>38734</v>
      </c>
      <c r="C2916" s="2" t="s">
        <v>594</v>
      </c>
      <c r="D2916" s="2" t="str">
        <f t="shared" si="44"/>
        <v>Error?</v>
      </c>
    </row>
    <row r="2917" spans="1:4" x14ac:dyDescent="0.2">
      <c r="A2917" s="5">
        <v>2856</v>
      </c>
      <c r="B2917" s="138">
        <f>'Assets-Liab 5-6'!L41</f>
        <v>38734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587407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587407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34118</v>
      </c>
      <c r="D3055" s="2" t="str">
        <f t="shared" si="46"/>
        <v>Error?</v>
      </c>
    </row>
    <row r="3056" spans="1:4" x14ac:dyDescent="0.2">
      <c r="A3056" s="5">
        <v>2995</v>
      </c>
      <c r="B3056" s="138">
        <f>'Expenditures 15-22'!D10</f>
        <v>10912</v>
      </c>
      <c r="D3056" s="2" t="str">
        <f t="shared" si="46"/>
        <v>Error?</v>
      </c>
    </row>
    <row r="3057" spans="1:4" x14ac:dyDescent="0.2">
      <c r="A3057" s="5">
        <v>2996</v>
      </c>
      <c r="B3057" s="138">
        <f>'Expenditures 15-22'!E10</f>
        <v>2939</v>
      </c>
      <c r="D3057" s="2" t="str">
        <f t="shared" si="46"/>
        <v>Error?</v>
      </c>
    </row>
    <row r="3058" spans="1:4" x14ac:dyDescent="0.2">
      <c r="A3058" s="5">
        <v>2997</v>
      </c>
      <c r="B3058" s="138">
        <f>'Expenditures 15-22'!F10</f>
        <v>100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48069</v>
      </c>
      <c r="C3062" s="2" t="s">
        <v>594</v>
      </c>
      <c r="D3062" s="2" t="str">
        <f t="shared" si="46"/>
        <v>Error?</v>
      </c>
    </row>
    <row r="3063" spans="1:4" x14ac:dyDescent="0.2">
      <c r="A3063" s="10">
        <v>3002</v>
      </c>
      <c r="D3063" s="2" t="str">
        <f t="shared" si="46"/>
        <v>OK</v>
      </c>
    </row>
    <row r="3064" spans="1:4" x14ac:dyDescent="0.2">
      <c r="A3064" s="5">
        <v>3003</v>
      </c>
      <c r="B3064" s="138">
        <f>'Expenditures 15-22'!D219</f>
        <v>484</v>
      </c>
      <c r="D3064" s="2" t="str">
        <f t="shared" si="46"/>
        <v>Error?</v>
      </c>
    </row>
    <row r="3065" spans="1:4" x14ac:dyDescent="0.2">
      <c r="A3065" s="5">
        <v>3004</v>
      </c>
      <c r="B3065" s="138">
        <f>'Expenditures 15-22'!K219</f>
        <v>484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30130</v>
      </c>
      <c r="C3225" s="2" t="s">
        <v>594</v>
      </c>
      <c r="D3225" s="2" t="str">
        <f t="shared" si="49"/>
        <v>Error?</v>
      </c>
    </row>
    <row r="3226" spans="1:4" x14ac:dyDescent="0.2">
      <c r="A3226" s="5">
        <v>3165</v>
      </c>
      <c r="B3226" s="138">
        <f>'Acct Summary 7-8'!I8</f>
        <v>30130</v>
      </c>
      <c r="C3226" s="2" t="s">
        <v>594</v>
      </c>
      <c r="D3226" s="2" t="str">
        <f t="shared" si="49"/>
        <v>Error?</v>
      </c>
    </row>
    <row r="3227" spans="1:4" x14ac:dyDescent="0.2">
      <c r="A3227" s="5">
        <v>3166</v>
      </c>
      <c r="B3227" s="138">
        <f>'Acct Summary 7-8'!I20</f>
        <v>30130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108418</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108418</v>
      </c>
      <c r="C3232" s="2" t="s">
        <v>594</v>
      </c>
      <c r="D3232" s="2" t="str">
        <f t="shared" si="49"/>
        <v>Error?</v>
      </c>
    </row>
    <row r="3233" spans="1:4" x14ac:dyDescent="0.2">
      <c r="A3233" s="5">
        <v>3172</v>
      </c>
      <c r="B3233" s="138">
        <f>'Acct Summary 7-8'!C78</f>
        <v>100294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84716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116864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31256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108418</v>
      </c>
      <c r="C3276" s="2" t="s">
        <v>594</v>
      </c>
      <c r="D3276" s="2" t="str">
        <f t="shared" si="50"/>
        <v>Error?</v>
      </c>
    </row>
    <row r="3277" spans="1:4" x14ac:dyDescent="0.2">
      <c r="A3277" s="5">
        <v>3216</v>
      </c>
      <c r="B3277" s="138">
        <f>'Acct Summary 7-8'!E77</f>
        <v>-108418</v>
      </c>
      <c r="C3277" s="2" t="s">
        <v>594</v>
      </c>
      <c r="D3277" s="2" t="str">
        <f t="shared" si="50"/>
        <v>Error?</v>
      </c>
    </row>
    <row r="3278" spans="1:4" x14ac:dyDescent="0.2">
      <c r="A3278" s="5">
        <v>3217</v>
      </c>
      <c r="B3278" s="138">
        <f>'Acct Summary 7-8'!E78</f>
        <v>-98187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30130</v>
      </c>
      <c r="C3320" s="2" t="s">
        <v>594</v>
      </c>
      <c r="D3320" s="2" t="str">
        <f t="shared" si="50"/>
        <v>Error?</v>
      </c>
    </row>
    <row r="3321" spans="1:4" x14ac:dyDescent="0.2">
      <c r="A3321" s="5">
        <v>3260</v>
      </c>
      <c r="B3321" s="138">
        <f>'Acct Summary 7-8'!I79</f>
        <v>146251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176381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143602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14564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51485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209682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24229</v>
      </c>
      <c r="D3387" s="2" t="str">
        <f t="shared" si="51"/>
        <v>Error?</v>
      </c>
    </row>
    <row r="3388" spans="1:4" x14ac:dyDescent="0.2">
      <c r="A3388" s="5">
        <v>3327</v>
      </c>
      <c r="B3388" s="138">
        <f>'Expenditures 15-22'!D217</f>
        <v>3709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24229</v>
      </c>
      <c r="C3390" s="2" t="s">
        <v>594</v>
      </c>
      <c r="D3390" s="2" t="str">
        <f t="shared" si="51"/>
        <v>Error?</v>
      </c>
    </row>
    <row r="3391" spans="1:4" x14ac:dyDescent="0.2">
      <c r="A3391" s="5">
        <v>3330</v>
      </c>
      <c r="B3391" s="138">
        <f>'Expenditures 15-22'!K217</f>
        <v>3709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624797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429328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307404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316504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176381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38734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74879</v>
      </c>
      <c r="C3446" s="2" t="s">
        <v>594</v>
      </c>
      <c r="D3446" s="2" t="str">
        <f t="shared" si="52"/>
        <v>Error?</v>
      </c>
    </row>
    <row r="3447" spans="1:4" x14ac:dyDescent="0.2">
      <c r="A3447" s="5">
        <v>3386</v>
      </c>
      <c r="B3447" s="138">
        <f>'Tax Sched 23'!D16</f>
        <v>74879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75268</v>
      </c>
      <c r="C3449" s="2" t="s">
        <v>594</v>
      </c>
      <c r="D3449" s="2" t="str">
        <f t="shared" si="52"/>
        <v>Error?</v>
      </c>
    </row>
    <row r="3450" spans="1:4" x14ac:dyDescent="0.2">
      <c r="A3450" s="5">
        <v>3389</v>
      </c>
      <c r="B3450" s="138">
        <f>'Tax Sched 23'!E16</f>
        <v>75268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120348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120348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120348</v>
      </c>
      <c r="D3567" s="2" t="str">
        <f t="shared" si="54"/>
        <v>Error?</v>
      </c>
    </row>
    <row r="3568" spans="1:4" x14ac:dyDescent="0.2">
      <c r="A3568" s="5">
        <v>3507</v>
      </c>
      <c r="B3568" s="138">
        <f>'Assets-Liab 5-6'!K41</f>
        <v>120348</v>
      </c>
      <c r="C3568" s="2" t="s">
        <v>594</v>
      </c>
      <c r="D3568" s="2" t="str">
        <f t="shared" si="54"/>
        <v>Error?</v>
      </c>
    </row>
    <row r="3569" spans="1:4" x14ac:dyDescent="0.2">
      <c r="A3569" s="5">
        <v>3508</v>
      </c>
      <c r="B3569" s="138">
        <f>'Acct Summary 7-8'!K4</f>
        <v>30023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30023</v>
      </c>
      <c r="C3571" s="2" t="s">
        <v>594</v>
      </c>
      <c r="D3571" s="2" t="str">
        <f t="shared" si="54"/>
        <v>Error?</v>
      </c>
    </row>
    <row r="3572" spans="1:4" x14ac:dyDescent="0.2">
      <c r="A3572" s="5">
        <v>3511</v>
      </c>
      <c r="B3572" s="138">
        <f>'Acct Summary 7-8'!K13</f>
        <v>12546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12546</v>
      </c>
      <c r="C3575" s="2" t="s">
        <v>594</v>
      </c>
      <c r="D3575" s="2" t="str">
        <f t="shared" si="54"/>
        <v>Error?</v>
      </c>
    </row>
    <row r="3576" spans="1:4" x14ac:dyDescent="0.2">
      <c r="A3576" s="5">
        <v>3515</v>
      </c>
      <c r="B3576" s="138">
        <f>'Acct Summary 7-8'!K20</f>
        <v>17477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17477</v>
      </c>
      <c r="C3588" s="2" t="s">
        <v>594</v>
      </c>
      <c r="D3588" s="2" t="str">
        <f t="shared" si="55"/>
        <v>Error?</v>
      </c>
    </row>
    <row r="3589" spans="1:4" x14ac:dyDescent="0.2">
      <c r="A3589" s="5">
        <v>3528</v>
      </c>
      <c r="B3589" s="138">
        <f>'Acct Summary 7-8'!K79</f>
        <v>102871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120348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12546</v>
      </c>
      <c r="D3632" s="2" t="str">
        <f t="shared" si="55"/>
        <v>Error?</v>
      </c>
    </row>
    <row r="3633" spans="1:4" x14ac:dyDescent="0.2">
      <c r="A3633" s="5">
        <v>3572</v>
      </c>
      <c r="B3633" s="138">
        <f>'Expenditures 15-22'!E350</f>
        <v>12546</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12546</v>
      </c>
      <c r="C3635" s="2" t="s">
        <v>594</v>
      </c>
      <c r="D3635" s="2" t="str">
        <f t="shared" si="55"/>
        <v>Error?</v>
      </c>
    </row>
    <row r="3636" spans="1:4" x14ac:dyDescent="0.2">
      <c r="A3636" s="5">
        <v>3575</v>
      </c>
      <c r="B3636" s="138">
        <f>'Expenditures 15-22'!E367</f>
        <v>12546</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12546</v>
      </c>
      <c r="C3669" s="2" t="s">
        <v>594</v>
      </c>
      <c r="D3669" s="2" t="str">
        <f t="shared" si="56"/>
        <v>Error?</v>
      </c>
    </row>
    <row r="3670" spans="1:4" x14ac:dyDescent="0.2">
      <c r="A3670" s="5">
        <v>3609</v>
      </c>
      <c r="B3670" s="138">
        <f>'Expenditures 15-22'!K350</f>
        <v>12546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12546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12546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17477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27562</v>
      </c>
      <c r="C3725" s="2" t="s">
        <v>594</v>
      </c>
      <c r="D3725" s="2" t="str">
        <f t="shared" si="57"/>
        <v>Error?</v>
      </c>
    </row>
    <row r="3726" spans="1:4" x14ac:dyDescent="0.2">
      <c r="A3726" s="5">
        <v>3665</v>
      </c>
      <c r="B3726" s="138">
        <f>'Tax Sched 23'!D13</f>
        <v>27562</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28674</v>
      </c>
      <c r="C3728" s="2" t="s">
        <v>594</v>
      </c>
      <c r="D3728" s="2" t="str">
        <f t="shared" si="57"/>
        <v>Error?</v>
      </c>
    </row>
    <row r="3729" spans="1:4" x14ac:dyDescent="0.2">
      <c r="A3729" s="5">
        <v>3668</v>
      </c>
      <c r="B3729" s="138">
        <f>'Tax Sched 23'!E13</f>
        <v>28674</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833032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3582515</v>
      </c>
      <c r="C4122" s="2" t="s">
        <v>594</v>
      </c>
      <c r="D4122" s="2" t="str">
        <f t="shared" si="63"/>
        <v>Error?</v>
      </c>
    </row>
    <row r="4123" spans="1:4" x14ac:dyDescent="0.2">
      <c r="A4123" s="5">
        <v>4062</v>
      </c>
      <c r="B4123" s="138">
        <f>'Acct Summary 7-8'!D10</f>
        <v>302709</v>
      </c>
      <c r="C4123" s="2" t="s">
        <v>594</v>
      </c>
      <c r="D4123" s="2" t="str">
        <f t="shared" si="63"/>
        <v>Error?</v>
      </c>
    </row>
    <row r="4124" spans="1:4" x14ac:dyDescent="0.2">
      <c r="A4124" s="5">
        <v>4063</v>
      </c>
      <c r="B4124" s="138">
        <f>'Acct Summary 7-8'!E10</f>
        <v>112856</v>
      </c>
      <c r="C4124" s="2" t="s">
        <v>594</v>
      </c>
      <c r="D4124" s="2" t="str">
        <f t="shared" si="63"/>
        <v>Error?</v>
      </c>
    </row>
    <row r="4125" spans="1:4" x14ac:dyDescent="0.2">
      <c r="A4125" s="5">
        <v>4064</v>
      </c>
      <c r="B4125" s="138">
        <f>'Acct Summary 7-8'!F10</f>
        <v>377004</v>
      </c>
      <c r="C4125" s="2" t="s">
        <v>594</v>
      </c>
      <c r="D4125" s="2" t="str">
        <f t="shared" si="63"/>
        <v>Error?</v>
      </c>
    </row>
    <row r="4126" spans="1:4" x14ac:dyDescent="0.2">
      <c r="A4126" s="5">
        <v>4065</v>
      </c>
      <c r="B4126" s="138">
        <f>'Acct Summary 7-8'!G10</f>
        <v>114260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30130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30023</v>
      </c>
      <c r="C4130" s="2" t="s">
        <v>594</v>
      </c>
      <c r="D4130" s="2" t="str">
        <f t="shared" si="63"/>
        <v>Error?</v>
      </c>
    </row>
    <row r="4131" spans="1:4" x14ac:dyDescent="0.2">
      <c r="A4131" s="5">
        <v>4070</v>
      </c>
      <c r="B4131" s="138">
        <f>'Acct Summary 7-8'!C18</f>
        <v>833032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3590639</v>
      </c>
      <c r="C4136" s="2" t="s">
        <v>594</v>
      </c>
      <c r="D4136" s="2" t="str">
        <f t="shared" si="63"/>
        <v>Error?</v>
      </c>
    </row>
    <row r="4137" spans="1:4" x14ac:dyDescent="0.2">
      <c r="A4137" s="5">
        <v>4076</v>
      </c>
      <c r="B4137" s="138">
        <f>'Acct Summary 7-8'!D19</f>
        <v>217993</v>
      </c>
      <c r="C4137" s="2" t="s">
        <v>594</v>
      </c>
      <c r="D4137" s="2" t="str">
        <f t="shared" si="63"/>
        <v>Error?</v>
      </c>
    </row>
    <row r="4138" spans="1:4" x14ac:dyDescent="0.2">
      <c r="A4138" s="5">
        <v>4077</v>
      </c>
      <c r="B4138" s="138">
        <f>'Acct Summary 7-8'!E19</f>
        <v>102625</v>
      </c>
      <c r="C4138" s="2" t="s">
        <v>594</v>
      </c>
      <c r="D4138" s="2" t="str">
        <f t="shared" si="63"/>
        <v>Error?</v>
      </c>
    </row>
    <row r="4139" spans="1:4" x14ac:dyDescent="0.2">
      <c r="A4139" s="5">
        <v>4078</v>
      </c>
      <c r="B4139" s="138">
        <f>'Acct Summary 7-8'!F19</f>
        <v>260140</v>
      </c>
      <c r="C4139" s="2" t="s">
        <v>594</v>
      </c>
      <c r="D4139" s="2" t="str">
        <f t="shared" si="63"/>
        <v>Error?</v>
      </c>
    </row>
    <row r="4140" spans="1:4" x14ac:dyDescent="0.2">
      <c r="A4140" s="5">
        <v>4079</v>
      </c>
      <c r="B4140" s="138">
        <f>'Acct Summary 7-8'!G19</f>
        <v>83004</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12546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100000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2550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3250</v>
      </c>
      <c r="C4268" s="2" t="s">
        <v>594</v>
      </c>
      <c r="D4268" s="2" t="str">
        <f t="shared" si="65"/>
        <v>Error?</v>
      </c>
    </row>
    <row r="4269" spans="1:5" x14ac:dyDescent="0.2">
      <c r="A4269" s="12">
        <v>4208</v>
      </c>
      <c r="B4269" s="138">
        <f>'FP Info 3'!J16</f>
        <v>1537910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11474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38345</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57145881</v>
      </c>
      <c r="D4995" s="2" t="str">
        <f t="shared" si="77"/>
        <v>Error?</v>
      </c>
    </row>
    <row r="4996" spans="1:4" x14ac:dyDescent="0.2">
      <c r="A4996" s="12">
        <v>4935</v>
      </c>
      <c r="B4996" s="138">
        <f>'FP Info 3'!H31</f>
        <v>3943065.7890000003</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27562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1405636</v>
      </c>
      <c r="D5061" s="2" t="str">
        <f t="shared" si="78"/>
        <v>Error?</v>
      </c>
    </row>
    <row r="5062" spans="1:4" x14ac:dyDescent="0.2">
      <c r="A5062" s="10">
        <v>5001</v>
      </c>
      <c r="D5062" s="2" t="str">
        <f t="shared" si="78"/>
        <v>OK</v>
      </c>
    </row>
    <row r="5063" spans="1:4" x14ac:dyDescent="0.2">
      <c r="A5063" s="5">
        <v>5002</v>
      </c>
      <c r="B5063" s="138">
        <f>'Revenues 9-14'!C7</f>
        <v>22050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1455248</v>
      </c>
      <c r="C5066" s="2" t="s">
        <v>594</v>
      </c>
      <c r="D5066" s="2" t="str">
        <f t="shared" si="78"/>
        <v>Error?</v>
      </c>
    </row>
    <row r="5067" spans="1:4" x14ac:dyDescent="0.2">
      <c r="A5067" s="5">
        <v>5006</v>
      </c>
      <c r="B5067" s="138">
        <f>'Revenues 9-14'!C14</f>
        <v>731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82364</v>
      </c>
      <c r="D5069" s="2" t="str">
        <f t="shared" si="78"/>
        <v>Error?</v>
      </c>
    </row>
    <row r="5070" spans="1:4" x14ac:dyDescent="0.2">
      <c r="A5070" s="5">
        <v>5009</v>
      </c>
      <c r="B5070" s="138">
        <f>'Revenues 9-14'!C17</f>
        <v>133068</v>
      </c>
      <c r="D5070" s="2" t="str">
        <f t="shared" si="78"/>
        <v>Error?</v>
      </c>
    </row>
    <row r="5071" spans="1:4" x14ac:dyDescent="0.2">
      <c r="A5071" s="5">
        <v>5010</v>
      </c>
      <c r="B5071" s="138">
        <f>'Revenues 9-14'!C18</f>
        <v>216163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344632</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344632</v>
      </c>
      <c r="C5087" s="2" t="s">
        <v>594</v>
      </c>
      <c r="D5087" s="2" t="str">
        <f t="shared" si="78"/>
        <v>Error?</v>
      </c>
    </row>
    <row r="5088" spans="1:4" x14ac:dyDescent="0.2">
      <c r="A5088" s="5">
        <v>5027</v>
      </c>
      <c r="B5088" s="138">
        <f>'Revenues 9-14'!C65</f>
        <v>2671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2671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2886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47821</v>
      </c>
      <c r="C5096" s="2" t="s">
        <v>594</v>
      </c>
      <c r="D5096" s="2" t="str">
        <f t="shared" si="78"/>
        <v>Error?</v>
      </c>
    </row>
    <row r="5097" spans="1:4" x14ac:dyDescent="0.2">
      <c r="A5097" s="5">
        <v>5036</v>
      </c>
      <c r="B5097" s="138">
        <f>'Revenues 9-14'!C77</f>
        <v>12371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8499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20870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16124</v>
      </c>
      <c r="D5113" s="2" t="str">
        <f t="shared" si="78"/>
        <v>Error?</v>
      </c>
    </row>
    <row r="5114" spans="1:4" x14ac:dyDescent="0.2">
      <c r="A5114" s="5">
        <v>5053</v>
      </c>
      <c r="B5114" s="138">
        <f>'Revenues 9-14'!C96</f>
        <v>0</v>
      </c>
      <c r="D5114" s="2" t="str">
        <f t="shared" si="78"/>
        <v>Error?</v>
      </c>
    </row>
    <row r="5115" spans="1:4" x14ac:dyDescent="0.2">
      <c r="A5115" s="5">
        <v>5054</v>
      </c>
      <c r="B5115" s="138">
        <f>'Revenues 9-14'!C98</f>
        <v>30294</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46418</v>
      </c>
      <c r="C5120" s="2" t="s">
        <v>594</v>
      </c>
      <c r="D5120" s="2" t="str">
        <f t="shared" si="79"/>
        <v>Error?</v>
      </c>
    </row>
    <row r="5121" spans="1:4" x14ac:dyDescent="0.2">
      <c r="A5121" s="5">
        <v>5060</v>
      </c>
      <c r="B5121" s="138">
        <f>'Revenues 9-14'!C109</f>
        <v>2133823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310355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310355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17329</v>
      </c>
      <c r="D5134" s="2" t="str">
        <f t="shared" si="79"/>
        <v>Error?</v>
      </c>
    </row>
    <row r="5135" spans="1:4" x14ac:dyDescent="0.2">
      <c r="A5135" s="5">
        <v>5074</v>
      </c>
      <c r="B5135" s="138">
        <f>'Revenues 9-14'!C126</f>
        <v>23650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40979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922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62687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104588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414943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38345</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58741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13890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72631</v>
      </c>
      <c r="C5246" s="2" t="s">
        <v>594</v>
      </c>
      <c r="D5246" s="2" t="str">
        <f t="shared" si="80"/>
        <v>Error?</v>
      </c>
    </row>
    <row r="5247" spans="1:4" x14ac:dyDescent="0.2">
      <c r="A5247" s="5">
        <v>5186</v>
      </c>
      <c r="B5247" s="138">
        <f>'Revenues 9-14'!C203</f>
        <v>77908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77908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359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359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162372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200717</v>
      </c>
      <c r="C5326" s="2" t="s">
        <v>594</v>
      </c>
      <c r="D5326" s="2" t="str">
        <f t="shared" si="82"/>
        <v>Error?</v>
      </c>
    </row>
    <row r="5327" spans="1:4" x14ac:dyDescent="0.2">
      <c r="A5327" s="5">
        <v>5266</v>
      </c>
      <c r="B5327" s="138">
        <f>'Revenues 9-14'!C275</f>
        <v>2749483</v>
      </c>
      <c r="C5327" s="2" t="s">
        <v>594</v>
      </c>
      <c r="D5327" s="2" t="str">
        <f t="shared" si="82"/>
        <v>Error?</v>
      </c>
    </row>
    <row r="5328" spans="1:4" x14ac:dyDescent="0.2">
      <c r="A5328" s="5">
        <v>5267</v>
      </c>
      <c r="B5328" s="138">
        <f>'Revenues 9-14'!D5</f>
        <v>275616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275616</v>
      </c>
      <c r="C5334" s="2" t="s">
        <v>594</v>
      </c>
      <c r="D5334" s="2" t="str">
        <f t="shared" si="82"/>
        <v>Error?</v>
      </c>
    </row>
    <row r="5335" spans="1:4" x14ac:dyDescent="0.2">
      <c r="A5335" s="5">
        <v>5274</v>
      </c>
      <c r="B5335" s="138">
        <f>'Revenues 9-14'!D14</f>
        <v>139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25755</v>
      </c>
      <c r="D5338" s="2" t="str">
        <f t="shared" si="82"/>
        <v>Error?</v>
      </c>
    </row>
    <row r="5339" spans="1:4" x14ac:dyDescent="0.2">
      <c r="A5339" s="5">
        <v>5278</v>
      </c>
      <c r="B5339" s="138">
        <f>'Revenues 9-14'!D18</f>
        <v>25894</v>
      </c>
      <c r="C5339" s="2" t="s">
        <v>594</v>
      </c>
      <c r="D5339" s="2" t="str">
        <f t="shared" si="82"/>
        <v>Error?</v>
      </c>
    </row>
    <row r="5340" spans="1:4" x14ac:dyDescent="0.2">
      <c r="A5340" s="5">
        <v>5279</v>
      </c>
      <c r="B5340" s="138">
        <f>'Revenues 9-14'!D65</f>
        <v>1154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1154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45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45</v>
      </c>
      <c r="C5355" s="2" t="s">
        <v>594</v>
      </c>
      <c r="D5355" s="2" t="str">
        <f t="shared" si="82"/>
        <v>Error?</v>
      </c>
    </row>
    <row r="5356" spans="1:4" x14ac:dyDescent="0.2">
      <c r="A5356" s="5">
        <v>5295</v>
      </c>
      <c r="B5356" s="138">
        <f>'Revenues 9-14'!D109</f>
        <v>302709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302709</v>
      </c>
      <c r="C5508" s="2" t="s">
        <v>594</v>
      </c>
      <c r="D5508" s="2" t="str">
        <f t="shared" si="85"/>
        <v>Error?</v>
      </c>
    </row>
    <row r="5509" spans="1:4" x14ac:dyDescent="0.2">
      <c r="A5509" s="5">
        <v>5448</v>
      </c>
      <c r="B5509" s="138">
        <f>'Revenues 9-14'!E5</f>
        <v>104002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104002</v>
      </c>
      <c r="C5513" s="2" t="s">
        <v>594</v>
      </c>
      <c r="D5513" s="2" t="str">
        <f t="shared" si="85"/>
        <v>Error?</v>
      </c>
    </row>
    <row r="5514" spans="1:4" x14ac:dyDescent="0.2">
      <c r="A5514" s="5">
        <v>5453</v>
      </c>
      <c r="B5514" s="138">
        <f>'Revenues 9-14'!E14</f>
        <v>52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8585</v>
      </c>
      <c r="D5517" s="2" t="str">
        <f t="shared" si="85"/>
        <v>Error?</v>
      </c>
    </row>
    <row r="5518" spans="1:4" x14ac:dyDescent="0.2">
      <c r="A5518" s="5">
        <v>5457</v>
      </c>
      <c r="B5518" s="138">
        <f>'Revenues 9-14'!E18</f>
        <v>8637</v>
      </c>
      <c r="C5518" s="2" t="s">
        <v>594</v>
      </c>
      <c r="D5518" s="2" t="str">
        <f t="shared" si="85"/>
        <v>Error?</v>
      </c>
    </row>
    <row r="5519" spans="1:4" x14ac:dyDescent="0.2">
      <c r="A5519" s="5">
        <v>5458</v>
      </c>
      <c r="B5519" s="138">
        <f>'Revenues 9-14'!E65</f>
        <v>217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112856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112856</v>
      </c>
      <c r="C5552" s="2" t="s">
        <v>594</v>
      </c>
      <c r="D5552" s="2" t="str">
        <f t="shared" si="85"/>
        <v>Error?</v>
      </c>
    </row>
    <row r="5553" spans="1:4" x14ac:dyDescent="0.2">
      <c r="A5553" s="5">
        <v>5492</v>
      </c>
      <c r="B5553" s="138">
        <f>'Revenues 9-14'!F5</f>
        <v>110247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110247</v>
      </c>
      <c r="C5557" s="2" t="s">
        <v>594</v>
      </c>
      <c r="D5557" s="2" t="str">
        <f t="shared" si="85"/>
        <v>Error?</v>
      </c>
    </row>
    <row r="5558" spans="1:4" x14ac:dyDescent="0.2">
      <c r="A5558" s="5">
        <v>5497</v>
      </c>
      <c r="B5558" s="138">
        <f>'Revenues 9-14'!F14</f>
        <v>55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10731</v>
      </c>
      <c r="D5561" s="2" t="str">
        <f t="shared" si="85"/>
        <v>Error?</v>
      </c>
    </row>
    <row r="5562" spans="1:4" x14ac:dyDescent="0.2">
      <c r="A5562" s="5">
        <v>5501</v>
      </c>
      <c r="B5562" s="138">
        <f>'Revenues 9-14'!F18</f>
        <v>10786</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607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607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246</v>
      </c>
      <c r="D5586" s="2" t="str">
        <f t="shared" si="86"/>
        <v>Error?</v>
      </c>
    </row>
    <row r="5587" spans="1:4" x14ac:dyDescent="0.2">
      <c r="A5587" s="5">
        <v>5526</v>
      </c>
      <c r="B5587" s="138">
        <f>'Revenues 9-14'!F108</f>
        <v>246</v>
      </c>
      <c r="C5587" s="2" t="s">
        <v>594</v>
      </c>
      <c r="D5587" s="2" t="str">
        <f t="shared" si="86"/>
        <v>Error?</v>
      </c>
    </row>
    <row r="5588" spans="1:4" x14ac:dyDescent="0.2">
      <c r="A5588" s="5">
        <v>5527</v>
      </c>
      <c r="B5588" s="138">
        <f>'Revenues 9-14'!F109</f>
        <v>121886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182354</v>
      </c>
      <c r="D5615" s="2" t="str">
        <f t="shared" si="86"/>
        <v>Error?</v>
      </c>
    </row>
    <row r="5616" spans="1:4" x14ac:dyDescent="0.2">
      <c r="A5616" s="10">
        <v>5555</v>
      </c>
      <c r="D5616" s="2" t="str">
        <f t="shared" si="86"/>
        <v>OK</v>
      </c>
    </row>
    <row r="5617" spans="1:4" x14ac:dyDescent="0.2">
      <c r="A5617" s="5">
        <v>5556</v>
      </c>
      <c r="B5617" s="138">
        <f>'Revenues 9-14'!F152</f>
        <v>72764</v>
      </c>
      <c r="D5617" s="2" t="str">
        <f t="shared" si="86"/>
        <v>Error?</v>
      </c>
    </row>
    <row r="5618" spans="1:4" x14ac:dyDescent="0.2">
      <c r="A5618" s="5">
        <v>5557</v>
      </c>
      <c r="B5618" s="138">
        <f>'Revenues 9-14'!F154</f>
        <v>255118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255118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255118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377004</v>
      </c>
      <c r="C5720" s="2" t="s">
        <v>594</v>
      </c>
      <c r="D5720" s="2" t="str">
        <f t="shared" si="88"/>
        <v>Error?</v>
      </c>
    </row>
    <row r="5721" spans="1:4" x14ac:dyDescent="0.2">
      <c r="A5721" s="5">
        <v>5660</v>
      </c>
      <c r="B5721" s="138">
        <f>'Revenues 9-14'!G5</f>
        <v>29953</v>
      </c>
      <c r="D5721" s="2" t="str">
        <f t="shared" si="88"/>
        <v>Error?</v>
      </c>
    </row>
    <row r="5722" spans="1:4" x14ac:dyDescent="0.2">
      <c r="A5722" s="5">
        <v>5661</v>
      </c>
      <c r="B5722" s="138">
        <f>'Revenues 9-14'!G7</f>
        <v>0</v>
      </c>
      <c r="D5722" s="2" t="str">
        <f t="shared" si="88"/>
        <v>Error?</v>
      </c>
    </row>
    <row r="5723" spans="1:4" x14ac:dyDescent="0.2">
      <c r="A5723" s="5">
        <v>5662</v>
      </c>
      <c r="B5723" s="138">
        <f>'Revenues 9-14'!G8</f>
        <v>74879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104832</v>
      </c>
      <c r="C5725" s="2" t="s">
        <v>594</v>
      </c>
      <c r="D5725" s="2" t="str">
        <f t="shared" si="88"/>
        <v>Error?</v>
      </c>
    </row>
    <row r="5726" spans="1:4" x14ac:dyDescent="0.2">
      <c r="A5726" s="5">
        <v>5665</v>
      </c>
      <c r="B5726" s="138">
        <f>'Revenues 9-14'!G14</f>
        <v>53</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8585</v>
      </c>
      <c r="D5729" s="2" t="str">
        <f t="shared" si="88"/>
        <v>Error?</v>
      </c>
    </row>
    <row r="5730" spans="1:4" x14ac:dyDescent="0.2">
      <c r="A5730" s="5">
        <v>5669</v>
      </c>
      <c r="B5730" s="138">
        <f>'Revenues 9-14'!G18</f>
        <v>8638</v>
      </c>
      <c r="C5730" s="2" t="s">
        <v>594</v>
      </c>
      <c r="D5730" s="2" t="str">
        <f t="shared" si="88"/>
        <v>Error?</v>
      </c>
    </row>
    <row r="5731" spans="1:4" x14ac:dyDescent="0.2">
      <c r="A5731" s="5">
        <v>5670</v>
      </c>
      <c r="B5731" s="138">
        <f>'Revenues 9-14'!G65</f>
        <v>790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790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114260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27562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27562</v>
      </c>
      <c r="C5918" s="2" t="s">
        <v>594</v>
      </c>
      <c r="D5918" s="2" t="str">
        <f t="shared" si="91"/>
        <v>Error?</v>
      </c>
    </row>
    <row r="5919" spans="1:4" x14ac:dyDescent="0.2">
      <c r="A5919" s="5">
        <v>5858</v>
      </c>
      <c r="B5919" s="138">
        <f>'Revenues 9-14'!I14</f>
        <v>14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2146</v>
      </c>
      <c r="D5922" s="2" t="str">
        <f t="shared" si="91"/>
        <v>Error?</v>
      </c>
    </row>
    <row r="5923" spans="1:4" x14ac:dyDescent="0.2">
      <c r="A5923" s="5">
        <v>5862</v>
      </c>
      <c r="B5923" s="138">
        <f>'Revenues 9-14'!I18</f>
        <v>2160</v>
      </c>
      <c r="C5923" s="2" t="s">
        <v>594</v>
      </c>
      <c r="D5923" s="2" t="str">
        <f t="shared" si="91"/>
        <v>Error?</v>
      </c>
    </row>
    <row r="5924" spans="1:4" x14ac:dyDescent="0.2">
      <c r="A5924" s="5">
        <v>5863</v>
      </c>
      <c r="B5924" s="138">
        <f>'Revenues 9-14'!I65</f>
        <v>408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408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30130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27562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27562</v>
      </c>
      <c r="C5987" s="2" t="s">
        <v>594</v>
      </c>
      <c r="D5987" s="2" t="str">
        <f t="shared" si="92"/>
        <v>Error?</v>
      </c>
    </row>
    <row r="5988" spans="1:4" x14ac:dyDescent="0.2">
      <c r="A5988" s="5">
        <v>5927</v>
      </c>
      <c r="B5988" s="138">
        <f>'Revenues 9-14'!K14</f>
        <v>14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2146</v>
      </c>
      <c r="D5991" s="2" t="str">
        <f t="shared" si="92"/>
        <v>Error?</v>
      </c>
    </row>
    <row r="5992" spans="1:4" x14ac:dyDescent="0.2">
      <c r="A5992" s="5">
        <v>5931</v>
      </c>
      <c r="B5992" s="138">
        <f>'Revenues 9-14'!K18</f>
        <v>2160</v>
      </c>
      <c r="C5992" s="2" t="s">
        <v>594</v>
      </c>
      <c r="D5992" s="2" t="str">
        <f t="shared" si="92"/>
        <v>Error?</v>
      </c>
    </row>
    <row r="5993" spans="1:4" x14ac:dyDescent="0.2">
      <c r="A5993" s="5">
        <v>5932</v>
      </c>
      <c r="B5993" s="138">
        <f>'Revenues 9-14'!K65</f>
        <v>301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301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30023</v>
      </c>
      <c r="C6023" s="2" t="s">
        <v>594</v>
      </c>
      <c r="D6023" s="2" t="str">
        <f t="shared" si="93"/>
        <v>Error?</v>
      </c>
    </row>
    <row r="6024" spans="1:5" x14ac:dyDescent="0.2">
      <c r="A6024" s="5">
        <v>5963</v>
      </c>
      <c r="B6024" s="138">
        <f>'Revenues 9-14'!G109</f>
        <v>114260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30130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30023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44935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12893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227.82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610741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610741</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610741</v>
      </c>
      <c r="D6216" s="2" t="str">
        <f t="shared" si="96"/>
        <v>Error?</v>
      </c>
      <c r="E6216" s="2" t="s">
        <v>199</v>
      </c>
    </row>
    <row r="6217" spans="1:5" x14ac:dyDescent="0.2">
      <c r="A6217">
        <v>6156</v>
      </c>
      <c r="B6217" s="138">
        <f>'Assets-Liab 5-6'!J4</f>
        <v>610741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284780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284780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284780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207037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207037</v>
      </c>
      <c r="D6229" s="2" t="str">
        <f t="shared" si="96"/>
        <v>Error?</v>
      </c>
      <c r="E6229" s="2" t="s">
        <v>199</v>
      </c>
    </row>
    <row r="6230" spans="1:5" x14ac:dyDescent="0.2">
      <c r="A6230">
        <v>6169</v>
      </c>
      <c r="B6230" s="138">
        <f>'Acct Summary 7-8'!J20</f>
        <v>77743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77743</v>
      </c>
      <c r="D6263" s="2" t="str">
        <f t="shared" si="96"/>
        <v>Error?</v>
      </c>
      <c r="E6263" s="2" t="s">
        <v>199</v>
      </c>
    </row>
    <row r="6264" spans="1:5" x14ac:dyDescent="0.2">
      <c r="A6264">
        <v>6203</v>
      </c>
      <c r="B6264" s="138">
        <f>'Acct Summary 7-8'!J79</f>
        <v>532998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610741</v>
      </c>
      <c r="D6266" s="2" t="str">
        <f t="shared" si="96"/>
        <v>Error?</v>
      </c>
      <c r="E6266" s="2" t="s">
        <v>199</v>
      </c>
    </row>
    <row r="6267" spans="1:5" x14ac:dyDescent="0.2">
      <c r="A6267">
        <v>6206</v>
      </c>
      <c r="B6267" s="138">
        <f>'Acct Summary 7-8'!C82</f>
        <v>100294</v>
      </c>
      <c r="D6267" s="2" t="str">
        <f t="shared" si="96"/>
        <v>Error?</v>
      </c>
      <c r="E6267" s="2" t="s">
        <v>199</v>
      </c>
    </row>
    <row r="6268" spans="1:5" x14ac:dyDescent="0.2">
      <c r="A6268">
        <v>6207</v>
      </c>
      <c r="B6268" s="138">
        <f>'Acct Summary 7-8'!D82</f>
        <v>84716</v>
      </c>
      <c r="D6268" s="2" t="str">
        <f t="shared" si="96"/>
        <v>Error?</v>
      </c>
      <c r="E6268" s="2" t="s">
        <v>199</v>
      </c>
    </row>
    <row r="6269" spans="1:5" x14ac:dyDescent="0.2">
      <c r="A6269">
        <v>6208</v>
      </c>
      <c r="B6269" s="138">
        <f>'Acct Summary 7-8'!E82</f>
        <v>-98187</v>
      </c>
      <c r="D6269" s="2" t="str">
        <f t="shared" si="96"/>
        <v>Error?</v>
      </c>
      <c r="E6269" s="2" t="s">
        <v>199</v>
      </c>
    </row>
    <row r="6270" spans="1:5" x14ac:dyDescent="0.2">
      <c r="A6270">
        <v>6209</v>
      </c>
      <c r="B6270" s="138">
        <f>'Acct Summary 7-8'!F82</f>
        <v>116864</v>
      </c>
      <c r="D6270" s="2" t="str">
        <f t="shared" si="96"/>
        <v>Error?</v>
      </c>
      <c r="E6270" s="2" t="s">
        <v>199</v>
      </c>
    </row>
    <row r="6271" spans="1:5" x14ac:dyDescent="0.2">
      <c r="A6271">
        <v>6210</v>
      </c>
      <c r="B6271" s="138">
        <f>'Acct Summary 7-8'!G82</f>
        <v>31256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30130</v>
      </c>
      <c r="D6273" s="2" t="str">
        <f t="shared" si="97"/>
        <v>Error?</v>
      </c>
      <c r="E6273" s="2" t="s">
        <v>199</v>
      </c>
    </row>
    <row r="6274" spans="1:5" x14ac:dyDescent="0.2">
      <c r="A6274">
        <v>6213</v>
      </c>
      <c r="B6274" s="138">
        <f>'Acct Summary 7-8'!J82</f>
        <v>77743</v>
      </c>
      <c r="D6274" s="2" t="str">
        <f t="shared" si="97"/>
        <v>Error?</v>
      </c>
      <c r="E6274" s="2" t="s">
        <v>199</v>
      </c>
    </row>
    <row r="6275" spans="1:5" x14ac:dyDescent="0.2">
      <c r="A6275">
        <v>6214</v>
      </c>
      <c r="B6275" s="138">
        <f>'Acct Summary 7-8'!K82</f>
        <v>17477</v>
      </c>
      <c r="D6275" s="2" t="str">
        <f t="shared" si="97"/>
        <v>Error?</v>
      </c>
      <c r="E6275" s="2" t="s">
        <v>199</v>
      </c>
    </row>
    <row r="6276" spans="1:5" x14ac:dyDescent="0.2">
      <c r="A6276">
        <v>6215</v>
      </c>
      <c r="B6276" s="138">
        <f>'Acct Summary 7-8'!C83</f>
        <v>0.16052253772025155</v>
      </c>
      <c r="D6276" s="2" t="str">
        <f t="shared" si="97"/>
        <v>Error?</v>
      </c>
      <c r="E6276" s="2" t="s">
        <v>199</v>
      </c>
    </row>
    <row r="6277" spans="1:5" x14ac:dyDescent="0.2">
      <c r="A6277">
        <v>6216</v>
      </c>
      <c r="B6277" s="138">
        <f>'Acct Summary 7-8'!D83</f>
        <v>0.1973223269854284</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0.38016421386839466</v>
      </c>
      <c r="D6279" s="2" t="str">
        <f t="shared" si="97"/>
        <v>Error?</v>
      </c>
      <c r="E6279" s="2" t="s">
        <v>199</v>
      </c>
    </row>
    <row r="6280" spans="1:5" x14ac:dyDescent="0.2">
      <c r="A6280">
        <v>6219</v>
      </c>
      <c r="B6280" s="138">
        <f>'Acct Summary 7-8'!G83</f>
        <v>9.8753886206809388E-2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0.17082338800664471</v>
      </c>
      <c r="D6282" s="2" t="str">
        <f t="shared" si="97"/>
        <v>Error?</v>
      </c>
      <c r="E6282" s="2" t="s">
        <v>199</v>
      </c>
    </row>
    <row r="6283" spans="1:5" x14ac:dyDescent="0.2">
      <c r="A6283">
        <v>6222</v>
      </c>
      <c r="B6283" s="138">
        <f>'Acct Summary 7-8'!J83</f>
        <v>0.12729291139779383</v>
      </c>
      <c r="D6283" s="2" t="str">
        <f t="shared" si="97"/>
        <v>Error?</v>
      </c>
      <c r="E6283" s="2" t="s">
        <v>199</v>
      </c>
    </row>
    <row r="6284" spans="1:5" x14ac:dyDescent="0.2">
      <c r="A6284">
        <v>6223</v>
      </c>
      <c r="B6284" s="138">
        <f>'Acct Summary 7-8'!K83</f>
        <v>0.14522052713796657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259574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259574</v>
      </c>
      <c r="D6301" s="2" t="str">
        <f t="shared" si="97"/>
        <v>Error?</v>
      </c>
      <c r="E6301" s="2" t="s">
        <v>199</v>
      </c>
    </row>
    <row r="6302" spans="1:5" x14ac:dyDescent="0.2">
      <c r="A6302">
        <v>6241</v>
      </c>
      <c r="B6302" s="138">
        <f>'Revenues 9-14'!J14</f>
        <v>130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23609</v>
      </c>
      <c r="D6305" s="2" t="str">
        <f t="shared" si="97"/>
        <v>Error?</v>
      </c>
      <c r="E6305" s="2" t="s">
        <v>199</v>
      </c>
    </row>
    <row r="6306" spans="1:5" x14ac:dyDescent="0.2">
      <c r="A6306">
        <v>6245</v>
      </c>
      <c r="B6306" s="138">
        <f>'Revenues 9-14'!J18</f>
        <v>23739</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1467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1467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284780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42949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126298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207037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284780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236</v>
      </c>
      <c r="D7067" s="2" t="str">
        <f t="shared" si="109"/>
        <v>Error?</v>
      </c>
    </row>
    <row r="7068" spans="1:4" x14ac:dyDescent="0.2">
      <c r="A7068">
        <v>7007</v>
      </c>
      <c r="B7068" s="138">
        <f>'Expenditures 15-22'!K205</f>
        <v>236</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1074</v>
      </c>
      <c r="D7073" s="2" t="str">
        <f t="shared" si="109"/>
        <v>Error?</v>
      </c>
    </row>
    <row r="7074" spans="1:4" x14ac:dyDescent="0.2">
      <c r="A7074">
        <v>7013</v>
      </c>
      <c r="B7074" s="138">
        <f>'Expenditures 15-22'!K216</f>
        <v>1074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4317</v>
      </c>
      <c r="D7089" s="2" t="str">
        <f t="shared" si="109"/>
        <v>Error?</v>
      </c>
    </row>
    <row r="7090" spans="1:4" x14ac:dyDescent="0.2">
      <c r="A7090">
        <v>7029</v>
      </c>
      <c r="B7090" s="138">
        <f>'Expenditures 15-22'!K252</f>
        <v>4317</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96435</v>
      </c>
      <c r="D7154" s="2" t="str">
        <f t="shared" si="110"/>
        <v>Error?</v>
      </c>
    </row>
    <row r="7155" spans="1:4" x14ac:dyDescent="0.2">
      <c r="A7155">
        <v>7094</v>
      </c>
      <c r="B7155" s="138">
        <f>'Expenditures 15-22'!D323</f>
        <v>14081</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110516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13681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13681</v>
      </c>
      <c r="D7198" s="2" t="str">
        <f t="shared" si="111"/>
        <v>Error?</v>
      </c>
    </row>
    <row r="7199" spans="1:4" x14ac:dyDescent="0.2">
      <c r="A7199">
        <v>7138</v>
      </c>
      <c r="B7199" s="138">
        <f>'Expenditures 15-22'!C330</f>
        <v>96435</v>
      </c>
      <c r="D7199" s="2" t="str">
        <f t="shared" si="111"/>
        <v>Error?</v>
      </c>
    </row>
    <row r="7200" spans="1:4" x14ac:dyDescent="0.2">
      <c r="A7200">
        <v>7139</v>
      </c>
      <c r="B7200" s="138">
        <f>'Expenditures 15-22'!D330</f>
        <v>14081</v>
      </c>
      <c r="D7200" s="2" t="str">
        <f t="shared" si="111"/>
        <v>Error?</v>
      </c>
    </row>
    <row r="7201" spans="1:4" x14ac:dyDescent="0.2">
      <c r="A7201">
        <v>7140</v>
      </c>
      <c r="B7201" s="138">
        <f>'Expenditures 15-22'!E330</f>
        <v>96521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207037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96435</v>
      </c>
      <c r="D7216" s="2" t="str">
        <f t="shared" si="111"/>
        <v>Error?</v>
      </c>
    </row>
    <row r="7217" spans="1:4" x14ac:dyDescent="0.2">
      <c r="A7217">
        <v>7156</v>
      </c>
      <c r="B7217" s="138">
        <f>'Expenditures 15-22'!D342</f>
        <v>14081</v>
      </c>
      <c r="D7217" s="2" t="str">
        <f t="shared" si="111"/>
        <v>Error?</v>
      </c>
    </row>
    <row r="7218" spans="1:4" x14ac:dyDescent="0.2">
      <c r="A7218">
        <v>7157</v>
      </c>
      <c r="B7218" s="138">
        <f>'Expenditures 15-22'!E342</f>
        <v>96521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207037</v>
      </c>
      <c r="D7224" s="2" t="str">
        <f t="shared" si="111"/>
        <v>Error?</v>
      </c>
    </row>
    <row r="7225" spans="1:4" x14ac:dyDescent="0.2">
      <c r="A7225">
        <v>7164</v>
      </c>
      <c r="B7225" s="138">
        <f>'Expenditures 15-22'!K343</f>
        <v>77743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9030</v>
      </c>
      <c r="D7246" s="2" t="str">
        <f t="shared" si="112"/>
        <v>Error?</v>
      </c>
    </row>
    <row r="7247" spans="1:4" x14ac:dyDescent="0.2">
      <c r="A7247">
        <f t="shared" si="113"/>
        <v>7186</v>
      </c>
      <c r="B7247" s="138">
        <f>'Expenditures 15-22'!E7</f>
        <v>26383</v>
      </c>
      <c r="D7247" s="2" t="str">
        <f t="shared" si="112"/>
        <v>Error?</v>
      </c>
    </row>
    <row r="7248" spans="1:4" x14ac:dyDescent="0.2">
      <c r="A7248">
        <f t="shared" si="113"/>
        <v>7187</v>
      </c>
      <c r="B7248" s="138">
        <f>'Expenditures 15-22'!F7</f>
        <v>47936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312903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82840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82840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22050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7"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Nauvoo-Colusa CUSD 325</v>
      </c>
      <c r="B7" s="2420"/>
      <c r="C7" s="2420"/>
      <c r="D7" s="2421"/>
      <c r="E7" s="2422">
        <f>COVER!A13</f>
        <v>26034325026</v>
      </c>
      <c r="F7" s="2423"/>
      <c r="G7" s="2429" t="str">
        <f>COVER!T23</f>
        <v>066-004856</v>
      </c>
      <c r="H7" s="2430"/>
      <c r="I7" s="2430"/>
      <c r="J7" s="2430"/>
      <c r="K7" s="2430"/>
      <c r="L7" s="243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2"/>
      <c r="B9" s="2433"/>
      <c r="C9" s="2433"/>
      <c r="D9" s="2433"/>
      <c r="E9" s="2433"/>
      <c r="F9" s="2434"/>
      <c r="G9" s="2403" t="str">
        <f>COVER!T13</f>
        <v>Dennis G Koch &amp; Associates LLC</v>
      </c>
      <c r="H9" s="2435"/>
      <c r="I9" s="2435"/>
      <c r="J9" s="2435"/>
      <c r="K9" s="2435"/>
      <c r="L9" s="2436"/>
    </row>
    <row r="10" spans="1:29" ht="13.5" customHeight="1" x14ac:dyDescent="0.2">
      <c r="A10" s="2409" t="str">
        <f>COVER!A38</f>
        <v>Kent Young</v>
      </c>
      <c r="B10" s="2410"/>
      <c r="C10" s="2410"/>
      <c r="D10" s="2410"/>
      <c r="E10" s="2410"/>
      <c r="F10" s="2411"/>
      <c r="G10" s="2403" t="str">
        <f>COVER!T17</f>
        <v>1706 N 16th Street</v>
      </c>
      <c r="H10" s="2404"/>
      <c r="I10" s="2404"/>
      <c r="J10" s="2404"/>
      <c r="K10" s="2404"/>
      <c r="L10" s="2405"/>
    </row>
    <row r="11" spans="1:29" ht="13.5" customHeight="1" x14ac:dyDescent="0.2">
      <c r="A11" s="1185" t="s">
        <v>1599</v>
      </c>
      <c r="B11" s="1186"/>
      <c r="C11" s="1187"/>
      <c r="D11" s="1192"/>
      <c r="E11" s="1187"/>
      <c r="F11" s="1191"/>
      <c r="G11" s="2403" t="str">
        <f>COVER!T19</f>
        <v>Quincy</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t="str">
        <f>COVER!T25</f>
        <v>dgkoch@dgkochcpa.com</v>
      </c>
      <c r="J13" s="2416"/>
      <c r="K13" s="2416"/>
      <c r="L13" s="2417"/>
    </row>
    <row r="14" spans="1:29" ht="13.5" customHeight="1" x14ac:dyDescent="0.2">
      <c r="A14" s="2403" t="str">
        <f>COVER!A19</f>
        <v>2461 North State Highway 96</v>
      </c>
      <c r="B14" s="2404"/>
      <c r="C14" s="2404"/>
      <c r="D14" s="2404"/>
      <c r="E14" s="2404"/>
      <c r="F14" s="2405"/>
      <c r="G14" s="1196" t="s">
        <v>1247</v>
      </c>
      <c r="H14" s="1194"/>
      <c r="I14" s="1194"/>
      <c r="J14" s="1194"/>
      <c r="K14" s="1194"/>
      <c r="L14" s="1195"/>
    </row>
    <row r="15" spans="1:29" ht="13.5" customHeight="1" x14ac:dyDescent="0.2">
      <c r="A15" s="2403" t="str">
        <f>COVER!A21</f>
        <v>Nauvoo</v>
      </c>
      <c r="B15" s="2404"/>
      <c r="C15" s="2404"/>
      <c r="D15" s="2404"/>
      <c r="E15" s="2404"/>
      <c r="F15" s="2405"/>
      <c r="G15" s="2400" t="str">
        <f>COVER!T15</f>
        <v>Dennis G Koch</v>
      </c>
      <c r="H15" s="2401"/>
      <c r="I15" s="2401"/>
      <c r="J15" s="2401"/>
      <c r="K15" s="2401"/>
      <c r="L15" s="2402"/>
    </row>
    <row r="16" spans="1:29" ht="12.2" customHeight="1" x14ac:dyDescent="0.2">
      <c r="A16" s="2425">
        <f>COVER!A25</f>
        <v>62354</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6" t="s">
        <v>1246</v>
      </c>
      <c r="H17" s="1194"/>
      <c r="I17" s="1194"/>
      <c r="J17" s="1194"/>
      <c r="K17" s="1198" t="s">
        <v>1245</v>
      </c>
      <c r="L17" s="1191"/>
      <c r="M17" s="1184"/>
    </row>
    <row r="18" spans="1:13" ht="12.2" customHeight="1" x14ac:dyDescent="0.2">
      <c r="A18" s="2409"/>
      <c r="B18" s="2410"/>
      <c r="C18" s="2410"/>
      <c r="D18" s="2410"/>
      <c r="E18" s="2410"/>
      <c r="F18" s="2411"/>
      <c r="G18" s="2419" t="str">
        <f>COVER!T21</f>
        <v>217-224-8484</v>
      </c>
      <c r="H18" s="2420"/>
      <c r="I18" s="2420"/>
      <c r="J18" s="2420"/>
      <c r="K18" s="2419" t="str">
        <f>COVER!X21</f>
        <v>217-224-0504</v>
      </c>
      <c r="L18" s="242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Nauvoo-Colusa CUSD 325</v>
      </c>
      <c r="B1" s="2418"/>
      <c r="C1" s="2418"/>
      <c r="D1" s="2418"/>
    </row>
    <row r="2" spans="1:11" s="1215" customFormat="1" ht="12.75" x14ac:dyDescent="0.2">
      <c r="A2" s="2442">
        <f>'Single Audit Cover'!E7</f>
        <v>26034325026</v>
      </c>
      <c r="B2" s="2443"/>
      <c r="C2" s="2443"/>
      <c r="D2" s="2443"/>
    </row>
    <row r="3" spans="1:11" s="1215" customFormat="1" ht="12.75" x14ac:dyDescent="0.2">
      <c r="A3" s="2441" t="s">
        <v>1593</v>
      </c>
      <c r="B3" s="2418"/>
      <c r="C3" s="2418"/>
      <c r="D3" s="241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Nauvoo-Colusa CUSD 325</v>
      </c>
      <c r="B1" s="2445"/>
      <c r="C1" s="2445"/>
      <c r="D1" s="2445"/>
      <c r="E1" s="2445"/>
    </row>
    <row r="2" spans="1:5" x14ac:dyDescent="0.2">
      <c r="A2" s="2446">
        <f>'Single Audit Cover'!E7</f>
        <v>26034325026</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200717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12893</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-11474</v>
      </c>
    </row>
    <row r="19" spans="1:4" ht="13.5" thickBot="1" x14ac:dyDescent="0.25">
      <c r="A19" s="1265" t="s">
        <v>1297</v>
      </c>
      <c r="D19" s="1266">
        <f>SUM(D10:D17)</f>
        <v>202136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202136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202136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Nauvoo-Colusa CUSD 325</v>
      </c>
      <c r="B1" s="2458"/>
      <c r="C1" s="2458"/>
      <c r="D1" s="2458"/>
      <c r="E1" s="2458"/>
      <c r="F1" s="2458"/>
    </row>
    <row r="2" spans="1:7" ht="13.5" customHeight="1" x14ac:dyDescent="0.2">
      <c r="A2" s="2459">
        <f>'Single Audit Cover'!E7</f>
        <v>26034325026</v>
      </c>
      <c r="B2" s="2459"/>
      <c r="C2" s="2459"/>
      <c r="D2" s="2459"/>
      <c r="E2" s="2459"/>
      <c r="F2" s="2459"/>
      <c r="G2" s="1275"/>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6" t="s">
        <v>1831</v>
      </c>
      <c r="C6" s="317"/>
      <c r="D6" s="317"/>
    </row>
    <row r="7" spans="1:7" ht="60.95" customHeight="1" x14ac:dyDescent="0.2">
      <c r="A7" s="2457" t="s">
        <v>1832</v>
      </c>
      <c r="B7" s="2457"/>
      <c r="C7" s="2457"/>
      <c r="D7" s="2457"/>
      <c r="E7" s="2457"/>
      <c r="F7" s="2457"/>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7" t="s">
        <v>1834</v>
      </c>
      <c r="B13" s="2457"/>
      <c r="C13" s="2457"/>
      <c r="D13" s="2457"/>
      <c r="E13" s="2457"/>
      <c r="F13" s="2457"/>
    </row>
    <row r="14" spans="1:7" ht="9.75" customHeight="1" x14ac:dyDescent="0.2">
      <c r="C14" s="1260"/>
      <c r="D14" s="1260"/>
    </row>
    <row r="15" spans="1:7" ht="13.5" customHeight="1" x14ac:dyDescent="0.2">
      <c r="C15" s="1871" t="s">
        <v>1332</v>
      </c>
      <c r="D15" s="2455" t="s">
        <v>1331</v>
      </c>
      <c r="E15" s="2455"/>
      <c r="F15" s="2455"/>
    </row>
    <row r="16" spans="1:7" ht="13.5" customHeight="1" x14ac:dyDescent="0.2">
      <c r="A16" s="1282"/>
      <c r="B16" s="1276" t="s">
        <v>1330</v>
      </c>
      <c r="C16" s="1871" t="s">
        <v>1329</v>
      </c>
      <c r="D16" s="2456" t="s">
        <v>1670</v>
      </c>
      <c r="E16" s="2456"/>
      <c r="F16" s="2456"/>
    </row>
    <row r="17" spans="1:6" ht="20.45" customHeight="1" x14ac:dyDescent="0.2">
      <c r="A17" s="1283"/>
      <c r="B17" s="1284"/>
      <c r="C17" s="1285"/>
      <c r="D17" s="2450"/>
      <c r="E17" s="2450"/>
      <c r="F17" s="2450"/>
    </row>
    <row r="18" spans="1:6" ht="20.65" customHeight="1" x14ac:dyDescent="0.2">
      <c r="A18" s="1283"/>
      <c r="B18" s="1284"/>
      <c r="C18" s="1285"/>
      <c r="D18" s="2450"/>
      <c r="E18" s="2450"/>
      <c r="F18" s="2450"/>
    </row>
    <row r="19" spans="1:6" ht="20.65" customHeight="1" x14ac:dyDescent="0.2">
      <c r="A19" s="1283"/>
      <c r="B19" s="1284"/>
      <c r="C19" s="1285"/>
      <c r="D19" s="2450"/>
      <c r="E19" s="2450"/>
      <c r="F19" s="2450"/>
    </row>
    <row r="20" spans="1:6" ht="20.65" customHeight="1" x14ac:dyDescent="0.2">
      <c r="A20" s="1283"/>
      <c r="B20" s="1284"/>
      <c r="C20" s="1285"/>
      <c r="D20" s="2450"/>
      <c r="E20" s="2450"/>
      <c r="F20" s="2450"/>
    </row>
    <row r="21" spans="1:6" ht="20.65" customHeight="1" x14ac:dyDescent="0.2">
      <c r="A21" s="1283"/>
      <c r="B21" s="1284"/>
      <c r="C21" s="1285"/>
      <c r="D21" s="2450"/>
      <c r="E21" s="2450"/>
      <c r="F21" s="2450"/>
    </row>
    <row r="22" spans="1:6" ht="20.65" customHeight="1" x14ac:dyDescent="0.2">
      <c r="A22" s="1283"/>
      <c r="B22" s="1284"/>
      <c r="C22" s="1285"/>
      <c r="D22" s="2450"/>
      <c r="E22" s="2450"/>
      <c r="F22" s="2450"/>
    </row>
    <row r="23" spans="1:6" ht="20.65" customHeight="1" x14ac:dyDescent="0.2">
      <c r="A23" s="1283"/>
      <c r="B23" s="1284"/>
      <c r="C23" s="1285"/>
      <c r="D23" s="2450"/>
      <c r="E23" s="2450"/>
      <c r="F23" s="2450"/>
    </row>
    <row r="24" spans="1:6" ht="20.65" customHeight="1" x14ac:dyDescent="0.2">
      <c r="A24" s="1283"/>
      <c r="B24" s="1284"/>
      <c r="C24" s="1285"/>
      <c r="D24" s="2450"/>
      <c r="E24" s="2450"/>
      <c r="F24" s="2450"/>
    </row>
    <row r="25" spans="1:6" ht="20.65" customHeight="1" x14ac:dyDescent="0.2">
      <c r="A25" s="1283"/>
      <c r="B25" s="1284"/>
      <c r="C25" s="1285"/>
      <c r="D25" s="2450"/>
      <c r="E25" s="2450"/>
      <c r="F25" s="2450"/>
    </row>
    <row r="26" spans="1:6" ht="20.65" customHeight="1" x14ac:dyDescent="0.2">
      <c r="A26" s="1283"/>
      <c r="B26" s="1284"/>
      <c r="C26" s="1285"/>
      <c r="D26" s="2450"/>
      <c r="E26" s="2450"/>
      <c r="F26" s="2450"/>
    </row>
    <row r="27" spans="1:6" ht="20.65" customHeight="1" x14ac:dyDescent="0.2">
      <c r="A27" s="1283"/>
      <c r="B27" s="1284"/>
      <c r="C27" s="1285"/>
      <c r="D27" s="2450"/>
      <c r="E27" s="2450"/>
      <c r="F27" s="2450"/>
    </row>
    <row r="28" spans="1:6" ht="20.65" customHeight="1" x14ac:dyDescent="0.2">
      <c r="A28" s="1283"/>
      <c r="B28" s="1284"/>
      <c r="C28" s="1285"/>
      <c r="D28" s="2450"/>
      <c r="E28" s="2450"/>
      <c r="F28" s="2450"/>
    </row>
    <row r="29" spans="1:6" ht="20.65" customHeight="1" x14ac:dyDescent="0.2">
      <c r="A29" s="1283"/>
      <c r="B29" s="1284"/>
      <c r="C29" s="1285"/>
      <c r="D29" s="2450"/>
      <c r="E29" s="2450"/>
      <c r="F29" s="2450"/>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1" t="s">
        <v>1835</v>
      </c>
      <c r="B32" s="2451"/>
      <c r="C32" s="2451"/>
      <c r="D32" s="2451"/>
      <c r="E32" s="2451"/>
      <c r="F32" s="2451"/>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2">
        <f>+C33+C34</f>
        <v>0</v>
      </c>
      <c r="F34" s="245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4" t="s">
        <v>1672</v>
      </c>
      <c r="C49" s="2454"/>
      <c r="D49" s="2454"/>
      <c r="E49" s="1399"/>
    </row>
    <row r="50" spans="1:5" s="1300" customFormat="1" ht="3.75" customHeight="1" x14ac:dyDescent="0.2">
      <c r="A50" s="1299"/>
      <c r="B50" s="1870"/>
      <c r="C50" s="1870"/>
      <c r="D50" s="1870"/>
      <c r="E50" s="1399"/>
    </row>
    <row r="51" spans="1:5" s="1300" customFormat="1" ht="20.25" customHeight="1" x14ac:dyDescent="0.2">
      <c r="A51" s="1301">
        <v>6</v>
      </c>
      <c r="B51" s="2449" t="s">
        <v>1632</v>
      </c>
      <c r="C51" s="2449"/>
      <c r="D51" s="2449"/>
    </row>
    <row r="52" spans="1:5" ht="14.25" customHeight="1" x14ac:dyDescent="0.2">
      <c r="A52" s="1301"/>
      <c r="B52" s="2449"/>
      <c r="C52" s="2449"/>
      <c r="D52" s="2449"/>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Nauvoo-Colusa CUSD 325</v>
      </c>
      <c r="C1" s="2462"/>
      <c r="D1" s="2462"/>
      <c r="E1" s="2462"/>
      <c r="F1" s="2462"/>
      <c r="G1" s="2462"/>
      <c r="H1" s="2462"/>
      <c r="I1" s="2462"/>
      <c r="J1" s="2462"/>
      <c r="K1" s="2462"/>
      <c r="L1" s="2462"/>
      <c r="M1" s="2462"/>
    </row>
    <row r="2" spans="2:14" ht="15" x14ac:dyDescent="0.2">
      <c r="B2" s="2459">
        <f>'Single Audit Cover'!E7</f>
        <v>26034325026</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Nauvoo-Colusa CUSD 325</v>
      </c>
      <c r="C1" s="2477"/>
      <c r="D1" s="2477"/>
      <c r="E1" s="2477"/>
      <c r="F1" s="2477"/>
      <c r="G1" s="2477"/>
      <c r="H1" s="2477"/>
      <c r="I1" s="2477"/>
      <c r="J1" s="1422"/>
    </row>
    <row r="2" spans="2:10" s="317" customFormat="1" ht="12.75" customHeight="1" x14ac:dyDescent="0.2">
      <c r="B2" s="2478">
        <f>'Single Audit Cover'!E7</f>
        <v>26034325026</v>
      </c>
      <c r="C2" s="2479"/>
      <c r="D2" s="2479"/>
      <c r="E2" s="2479"/>
      <c r="F2" s="2479"/>
      <c r="G2" s="2479"/>
      <c r="H2" s="2479"/>
      <c r="I2" s="2479"/>
      <c r="J2" s="1422"/>
    </row>
    <row r="3" spans="2:10" s="317" customFormat="1" ht="12.75" customHeight="1" x14ac:dyDescent="0.2">
      <c r="B3" s="2480" t="s">
        <v>1347</v>
      </c>
      <c r="C3" s="2481"/>
      <c r="D3" s="2481"/>
      <c r="E3" s="2481"/>
      <c r="F3" s="2481"/>
      <c r="G3" s="2481"/>
      <c r="H3" s="2481"/>
      <c r="I3" s="2481"/>
      <c r="J3" s="1423"/>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0" t="s">
        <v>1346</v>
      </c>
      <c r="C7" s="2481"/>
      <c r="D7" s="2481"/>
      <c r="E7" s="2481"/>
      <c r="F7" s="2481"/>
      <c r="G7" s="2481"/>
      <c r="H7" s="2481"/>
      <c r="I7" s="248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2"/>
      <c r="D11" s="248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3"/>
      <c r="E29" s="2483"/>
      <c r="F29" s="2483"/>
      <c r="G29" s="2483"/>
      <c r="H29" s="2483"/>
      <c r="I29" s="2483"/>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4" t="s">
        <v>1854</v>
      </c>
      <c r="D37" s="2485"/>
      <c r="E37" s="2485"/>
      <c r="F37" s="2486"/>
      <c r="G37" s="2484" t="s">
        <v>1674</v>
      </c>
      <c r="H37" s="2485"/>
      <c r="I37" s="2486"/>
    </row>
    <row r="38" spans="2:9" ht="16.5" customHeight="1" x14ac:dyDescent="0.2">
      <c r="B38" s="1444"/>
      <c r="C38" s="2472"/>
      <c r="D38" s="2473"/>
      <c r="E38" s="2473"/>
      <c r="F38" s="2474"/>
      <c r="G38" s="2487"/>
      <c r="H38" s="2488"/>
      <c r="I38" s="2489"/>
    </row>
    <row r="39" spans="2:9" ht="16.5" customHeight="1" x14ac:dyDescent="0.2">
      <c r="B39" s="1444"/>
      <c r="C39" s="2472"/>
      <c r="D39" s="2473"/>
      <c r="E39" s="2473"/>
      <c r="F39" s="2474"/>
      <c r="G39" s="2475"/>
      <c r="H39" s="2475"/>
      <c r="I39" s="2475"/>
    </row>
    <row r="40" spans="2:9" ht="16.5" customHeight="1" x14ac:dyDescent="0.2">
      <c r="B40" s="1444"/>
      <c r="C40" s="2472"/>
      <c r="D40" s="2473"/>
      <c r="E40" s="2473"/>
      <c r="F40" s="2474"/>
      <c r="G40" s="2475"/>
      <c r="H40" s="2475"/>
      <c r="I40" s="2475"/>
    </row>
    <row r="41" spans="2:9" ht="16.5" customHeight="1" x14ac:dyDescent="0.2">
      <c r="B41" s="1444"/>
      <c r="C41" s="2472"/>
      <c r="D41" s="2473"/>
      <c r="E41" s="2473"/>
      <c r="F41" s="2474"/>
      <c r="G41" s="2475"/>
      <c r="H41" s="2475"/>
      <c r="I41" s="2475"/>
    </row>
    <row r="42" spans="2:9" ht="16.5" customHeight="1" x14ac:dyDescent="0.2">
      <c r="B42" s="1444"/>
      <c r="C42" s="2472"/>
      <c r="D42" s="2473"/>
      <c r="E42" s="2473"/>
      <c r="F42" s="2474"/>
      <c r="G42" s="2475"/>
      <c r="H42" s="2475"/>
      <c r="I42" s="2475"/>
    </row>
    <row r="43" spans="2:9" ht="16.5" customHeight="1" x14ac:dyDescent="0.2">
      <c r="B43" s="1444"/>
      <c r="C43" s="2465" t="s">
        <v>1675</v>
      </c>
      <c r="D43" s="2466"/>
      <c r="E43" s="2466"/>
      <c r="F43" s="2467"/>
      <c r="G43" s="2468">
        <f>SUM(G38:I42)</f>
        <v>0</v>
      </c>
      <c r="H43" s="2468"/>
      <c r="I43" s="2468"/>
    </row>
    <row r="44" spans="2:9" ht="12.75" customHeight="1" x14ac:dyDescent="0.2"/>
    <row r="45" spans="2:9" ht="12.75" customHeight="1" x14ac:dyDescent="0.2">
      <c r="B45" s="1435" t="s">
        <v>1951</v>
      </c>
      <c r="D45" s="2469">
        <v>0</v>
      </c>
      <c r="E45" s="247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1"/>
      <c r="F49" s="2471"/>
      <c r="G49" s="247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Nauvoo-Colusa CUSD 325</v>
      </c>
      <c r="C1" s="2476"/>
      <c r="D1" s="2476"/>
      <c r="E1" s="2476"/>
      <c r="F1" s="2476"/>
      <c r="G1" s="2476"/>
      <c r="H1" s="2476"/>
      <c r="I1" s="2476"/>
      <c r="J1" s="2476"/>
      <c r="K1" s="2476"/>
      <c r="L1" s="1374"/>
      <c r="M1" s="1374"/>
    </row>
    <row r="2" spans="1:13" ht="12" customHeight="1" x14ac:dyDescent="0.2">
      <c r="B2" s="2478">
        <f>'Single Audit Cover'!E7</f>
        <v>26034325026</v>
      </c>
      <c r="C2" s="2478"/>
      <c r="D2" s="2478"/>
      <c r="E2" s="2478"/>
      <c r="F2" s="2478"/>
      <c r="G2" s="2478"/>
      <c r="H2" s="2478"/>
      <c r="I2" s="2478"/>
      <c r="J2" s="2478"/>
      <c r="K2" s="2478"/>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Nauvoo-Colusa CUSD 325</v>
      </c>
      <c r="C1" s="2499"/>
      <c r="D1" s="2499"/>
      <c r="E1" s="2499"/>
      <c r="F1" s="2499"/>
      <c r="G1" s="2499"/>
      <c r="H1" s="2499"/>
      <c r="I1" s="2499"/>
      <c r="J1" s="2499"/>
      <c r="K1" s="2499"/>
      <c r="L1" s="1465"/>
    </row>
    <row r="2" spans="1:12" ht="12.75" customHeight="1" x14ac:dyDescent="0.2">
      <c r="B2" s="2500">
        <f>'Single Audit Cover'!E7</f>
        <v>26034325026</v>
      </c>
      <c r="C2" s="2500"/>
      <c r="D2" s="2500"/>
      <c r="E2" s="2500"/>
      <c r="F2" s="2500"/>
      <c r="G2" s="2500"/>
      <c r="H2" s="2500"/>
      <c r="I2" s="2500"/>
      <c r="J2" s="2500"/>
      <c r="K2" s="2500"/>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3"/>
      <c r="G12" s="2483"/>
      <c r="H12" s="2483"/>
      <c r="I12" s="2483"/>
      <c r="J12" s="2483"/>
      <c r="K12" s="248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6"/>
      <c r="E14" s="2496"/>
      <c r="F14" s="2496"/>
      <c r="H14" s="1475" t="s">
        <v>1370</v>
      </c>
      <c r="I14" s="2497"/>
      <c r="J14" s="2497"/>
      <c r="K14" s="249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7"/>
      <c r="E16" s="2497"/>
      <c r="F16" s="2497"/>
      <c r="G16" s="2497"/>
      <c r="H16" s="2497"/>
      <c r="I16" s="2497"/>
      <c r="J16" s="2497"/>
      <c r="K16" s="2497"/>
      <c r="L16" s="322"/>
    </row>
    <row r="17" spans="2:12" ht="13.5" customHeight="1" x14ac:dyDescent="0.2">
      <c r="B17" s="1387" t="s">
        <v>1368</v>
      </c>
      <c r="C17" s="1387"/>
      <c r="D17" s="2498"/>
      <c r="E17" s="2498"/>
      <c r="F17" s="2498"/>
      <c r="G17" s="2498"/>
      <c r="H17" s="2498"/>
      <c r="I17" s="2498"/>
      <c r="J17" s="2498"/>
      <c r="K17" s="249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6" t="str">
        <f>'Single Audit Cover'!A7</f>
        <v>Nauvoo-Colusa CUSD 325</v>
      </c>
      <c r="C1" s="2476"/>
      <c r="D1" s="2476"/>
      <c r="E1" s="1491"/>
    </row>
    <row r="2" spans="2:5" s="1282" customFormat="1" ht="12.75" customHeight="1" x14ac:dyDescent="0.2">
      <c r="B2" s="2478">
        <f>'Single Audit Cover'!E7</f>
        <v>26034325026</v>
      </c>
      <c r="C2" s="2478"/>
      <c r="D2" s="2478"/>
      <c r="E2" s="1492"/>
    </row>
    <row r="3" spans="2:5" ht="12.75" customHeight="1" x14ac:dyDescent="0.2">
      <c r="B3" s="2492" t="s">
        <v>1869</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4d435f69-8686-490b-bd6d-b153bf22ab50"/>
    <ds:schemaRef ds:uri="http://www.w3.org/XML/1998/namespace"/>
    <ds:schemaRef ds:uri="http://purl.org/dc/terms/"/>
    <ds:schemaRef ds:uri="d21dc803-237d-4c68-8692-8d731fd29118"/>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'Contracts Paid in CY 29'!Print_Area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2018-10-10T21:01:51Z</cp:lastPrinted>
  <dcterms:created xsi:type="dcterms:W3CDTF">2003-10-29T19:06:34Z</dcterms:created>
  <dcterms:modified xsi:type="dcterms:W3CDTF">2018-10-15T18:47:07Z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