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9"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4" i="181"/>
  <c r="G134" i="181" s="1"/>
  <c r="E134" i="181"/>
  <c r="F133" i="181"/>
  <c r="G133" i="181" s="1"/>
  <c r="E133" i="181"/>
  <c r="F132" i="181"/>
  <c r="G132" i="181" s="1"/>
  <c r="E132" i="18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F123" i="181"/>
  <c r="G123" i="181" s="1"/>
  <c r="E123" i="181"/>
  <c r="E122" i="181"/>
  <c r="F122" i="181" s="1"/>
  <c r="G122" i="181" s="1"/>
  <c r="F121" i="181"/>
  <c r="G121" i="181" s="1"/>
  <c r="E121" i="181"/>
  <c r="F120" i="181"/>
  <c r="G120" i="181" s="1"/>
  <c r="E120" i="181"/>
  <c r="F119" i="181"/>
  <c r="G119" i="181" s="1"/>
  <c r="E119" i="181"/>
  <c r="E118" i="181"/>
  <c r="F118" i="181" s="1"/>
  <c r="G118" i="181" s="1"/>
  <c r="F117" i="181"/>
  <c r="G117" i="181" s="1"/>
  <c r="E117" i="181"/>
  <c r="F116" i="181"/>
  <c r="G116" i="181" s="1"/>
  <c r="E116" i="181"/>
  <c r="F115" i="181"/>
  <c r="G115" i="181" s="1"/>
  <c r="E115" i="181"/>
  <c r="F114" i="181"/>
  <c r="G114" i="181" s="1"/>
  <c r="E114" i="181"/>
  <c r="F113" i="181"/>
  <c r="G113" i="181" s="1"/>
  <c r="E113" i="181"/>
  <c r="F112" i="181"/>
  <c r="G112" i="181" s="1"/>
  <c r="E112" i="181"/>
  <c r="F111" i="181"/>
  <c r="G111" i="181" s="1"/>
  <c r="E111" i="181"/>
  <c r="F110" i="181"/>
  <c r="G110" i="181" s="1"/>
  <c r="E110" i="181"/>
  <c r="E109" i="181"/>
  <c r="F109" i="181" s="1"/>
  <c r="G109" i="181" s="1"/>
  <c r="F108" i="181"/>
  <c r="G108" i="181" s="1"/>
  <c r="E108" i="181"/>
  <c r="F107" i="181"/>
  <c r="G107" i="181" s="1"/>
  <c r="E107" i="181"/>
  <c r="F106" i="181"/>
  <c r="G106" i="181" s="1"/>
  <c r="E106" i="181"/>
  <c r="E105" i="181"/>
  <c r="F105" i="181" s="1"/>
  <c r="G105" i="181" s="1"/>
  <c r="F104" i="181"/>
  <c r="G104" i="181" s="1"/>
  <c r="E104" i="181"/>
  <c r="F103" i="181"/>
  <c r="G103" i="181" s="1"/>
  <c r="E103" i="181"/>
  <c r="F102" i="181"/>
  <c r="G102" i="181" s="1"/>
  <c r="E102" i="181"/>
  <c r="F101" i="181"/>
  <c r="G101" i="181" s="1"/>
  <c r="E101" i="181"/>
  <c r="F100" i="181"/>
  <c r="G100" i="181" s="1"/>
  <c r="E100" i="181"/>
  <c r="F99" i="181"/>
  <c r="G99" i="181" s="1"/>
  <c r="E99" i="181"/>
  <c r="F94" i="181"/>
  <c r="G94" i="181" s="1"/>
  <c r="E94" i="181"/>
  <c r="F98" i="181"/>
  <c r="G98" i="181" s="1"/>
  <c r="E98" i="181"/>
  <c r="E97" i="181"/>
  <c r="F97" i="181" s="1"/>
  <c r="G97" i="181" s="1"/>
  <c r="F96" i="181"/>
  <c r="G96" i="181" s="1"/>
  <c r="E96" i="181"/>
  <c r="E95" i="181"/>
  <c r="F95" i="181" s="1"/>
  <c r="G95" i="181" s="1"/>
  <c r="F93" i="181"/>
  <c r="G93" i="181" s="1"/>
  <c r="E93" i="181"/>
  <c r="E92" i="181"/>
  <c r="F92" i="181" s="1"/>
  <c r="G92" i="181" s="1"/>
  <c r="F91" i="181"/>
  <c r="G91" i="181" s="1"/>
  <c r="E91" i="181"/>
  <c r="E90" i="181"/>
  <c r="F90" i="181" s="1"/>
  <c r="G90" i="181" s="1"/>
  <c r="F88" i="181"/>
  <c r="G88" i="181" s="1"/>
  <c r="E88" i="181"/>
  <c r="F87" i="181"/>
  <c r="G87" i="181" s="1"/>
  <c r="E87" i="181"/>
  <c r="E86" i="181"/>
  <c r="F86" i="181" s="1"/>
  <c r="G86" i="181" s="1"/>
  <c r="F85" i="181"/>
  <c r="G85" i="181" s="1"/>
  <c r="E85" i="181"/>
  <c r="F84" i="181"/>
  <c r="G84" i="181" s="1"/>
  <c r="E84" i="181"/>
  <c r="E83" i="181"/>
  <c r="F83" i="181" s="1"/>
  <c r="G83" i="181" s="1"/>
  <c r="F82" i="181"/>
  <c r="G82" i="181" s="1"/>
  <c r="E82" i="181"/>
  <c r="E81" i="181"/>
  <c r="F81" i="181" s="1"/>
  <c r="G81" i="181" s="1"/>
  <c r="F79" i="181"/>
  <c r="G79" i="181" s="1"/>
  <c r="E79" i="181"/>
  <c r="F78" i="181"/>
  <c r="G78" i="181" s="1"/>
  <c r="E78" i="181"/>
  <c r="F77" i="181"/>
  <c r="G77" i="181" s="1"/>
  <c r="E77" i="181"/>
  <c r="F76" i="181"/>
  <c r="G76" i="181" s="1"/>
  <c r="E76" i="181"/>
  <c r="F75" i="181"/>
  <c r="G75" i="181" s="1"/>
  <c r="E75" i="181"/>
  <c r="F74" i="181"/>
  <c r="G74" i="181" s="1"/>
  <c r="E74" i="181"/>
  <c r="F73" i="181"/>
  <c r="G73" i="181" s="1"/>
  <c r="E73" i="181"/>
  <c r="F72" i="181"/>
  <c r="G72" i="181" s="1"/>
  <c r="E72" i="181"/>
  <c r="F71" i="181"/>
  <c r="G71" i="181" s="1"/>
  <c r="E71" i="181"/>
  <c r="E70" i="181"/>
  <c r="F70" i="181" s="1"/>
  <c r="G70" i="181" s="1"/>
  <c r="F69" i="181"/>
  <c r="G69" i="181" s="1"/>
  <c r="E69" i="181"/>
  <c r="F68" i="181"/>
  <c r="G68" i="181" s="1"/>
  <c r="E68" i="181"/>
  <c r="F135" i="181"/>
  <c r="G135" i="181" s="1"/>
  <c r="E135" i="181"/>
  <c r="F89" i="181"/>
  <c r="G89" i="181" s="1"/>
  <c r="E89" i="181"/>
  <c r="F80" i="181"/>
  <c r="G80" i="181" s="1"/>
  <c r="E80" i="181"/>
  <c r="E67" i="181"/>
  <c r="F67" i="181" s="1"/>
  <c r="G67" i="181" s="1"/>
  <c r="F66" i="181"/>
  <c r="G66" i="181" s="1"/>
  <c r="E66" i="181"/>
  <c r="F65" i="181"/>
  <c r="G65" i="181" s="1"/>
  <c r="E65" i="181"/>
  <c r="F64" i="181"/>
  <c r="G64" i="181" s="1"/>
  <c r="E64" i="181"/>
  <c r="F63" i="181"/>
  <c r="G63" i="181" s="1"/>
  <c r="E63" i="181"/>
  <c r="F62" i="181"/>
  <c r="G62" i="181" s="1"/>
  <c r="E62" i="181"/>
  <c r="F61" i="181"/>
  <c r="G61" i="181" s="1"/>
  <c r="E61" i="181"/>
  <c r="E60" i="181"/>
  <c r="F60" i="181" s="1"/>
  <c r="G60" i="181" s="1"/>
  <c r="E59" i="181"/>
  <c r="F59" i="181" s="1"/>
  <c r="G59" i="181" s="1"/>
  <c r="F58" i="181"/>
  <c r="G58" i="181" s="1"/>
  <c r="E58" i="181"/>
  <c r="F57" i="181"/>
  <c r="G57" i="181" s="1"/>
  <c r="E57" i="181"/>
  <c r="F56" i="181"/>
  <c r="G56" i="181" s="1"/>
  <c r="E56" i="181"/>
  <c r="E55" i="181"/>
  <c r="F55" i="181" s="1"/>
  <c r="G55" i="181" s="1"/>
  <c r="F54" i="181"/>
  <c r="G54" i="181" s="1"/>
  <c r="E54" i="181"/>
  <c r="E53" i="181"/>
  <c r="F53" i="181" s="1"/>
  <c r="G53" i="181" s="1"/>
  <c r="F52" i="181"/>
  <c r="G52" i="181" s="1"/>
  <c r="E52" i="181"/>
  <c r="E51" i="181"/>
  <c r="F51" i="181" s="1"/>
  <c r="G51" i="181" s="1"/>
  <c r="F50" i="181"/>
  <c r="G50" i="181" s="1"/>
  <c r="E50" i="181"/>
  <c r="E49" i="181"/>
  <c r="F49" i="181" s="1"/>
  <c r="G49" i="181" s="1"/>
  <c r="F48" i="181"/>
  <c r="G48" i="181" s="1"/>
  <c r="E48" i="181"/>
  <c r="F47" i="181"/>
  <c r="G47" i="181" s="1"/>
  <c r="E47" i="181"/>
  <c r="F46" i="181"/>
  <c r="G46" i="181" s="1"/>
  <c r="E46" i="181"/>
  <c r="F45" i="181"/>
  <c r="G45" i="181" s="1"/>
  <c r="E45" i="181"/>
  <c r="F44" i="181"/>
  <c r="G44" i="181" s="1"/>
  <c r="E44" i="181"/>
  <c r="E43" i="181"/>
  <c r="F43" i="181" s="1"/>
  <c r="G43" i="181" s="1"/>
  <c r="F42" i="181"/>
  <c r="G42" i="181" s="1"/>
  <c r="E42" i="181"/>
  <c r="F41" i="181"/>
  <c r="G41" i="181" s="1"/>
  <c r="E41" i="181"/>
  <c r="F40" i="181"/>
  <c r="G40" i="181" s="1"/>
  <c r="E40" i="181"/>
  <c r="F39" i="181"/>
  <c r="G39" i="181" s="1"/>
  <c r="E39" i="181"/>
  <c r="E38" i="181"/>
  <c r="F38" i="181" s="1"/>
  <c r="G38" i="181" s="1"/>
  <c r="E37" i="181"/>
  <c r="F37" i="181" s="1"/>
  <c r="G37" i="181" s="1"/>
  <c r="F36" i="181"/>
  <c r="G36" i="181" s="1"/>
  <c r="E36" i="181"/>
  <c r="F35" i="181"/>
  <c r="G35" i="181" s="1"/>
  <c r="E35" i="181"/>
  <c r="F34" i="181"/>
  <c r="G34" i="181" s="1"/>
  <c r="E34" i="181"/>
  <c r="F33" i="181"/>
  <c r="G33" i="181" s="1"/>
  <c r="E33" i="181"/>
  <c r="F32" i="181"/>
  <c r="G32" i="181" s="1"/>
  <c r="E32" i="181"/>
  <c r="F31" i="181"/>
  <c r="G31" i="181" s="1"/>
  <c r="E31" i="181"/>
  <c r="F30" i="181"/>
  <c r="G30" i="181" s="1"/>
  <c r="E30" i="181"/>
  <c r="F29" i="181"/>
  <c r="G29" i="181" s="1"/>
  <c r="E29" i="181"/>
  <c r="E28" i="181"/>
  <c r="F28" i="181" s="1"/>
  <c r="G28" i="181" s="1"/>
  <c r="F27" i="181"/>
  <c r="G27" i="181" s="1"/>
  <c r="E27" i="181"/>
  <c r="F26" i="181"/>
  <c r="G26" i="181" s="1"/>
  <c r="E26" i="181"/>
  <c r="F25" i="181"/>
  <c r="G25" i="181" s="1"/>
  <c r="E25" i="181"/>
  <c r="E24" i="181"/>
  <c r="F24" i="181" s="1"/>
  <c r="G24" i="181" s="1"/>
  <c r="F23" i="181"/>
  <c r="G23" i="181" s="1"/>
  <c r="E23" i="181"/>
  <c r="E22" i="181"/>
  <c r="F22" i="181" s="1"/>
  <c r="G22" i="181" s="1"/>
  <c r="F21" i="181"/>
  <c r="G21" i="181" s="1"/>
  <c r="E21" i="181"/>
  <c r="E20" i="181"/>
  <c r="F20" i="181" s="1"/>
  <c r="G20" i="181" s="1"/>
  <c r="F19" i="181"/>
  <c r="G19" i="181" s="1"/>
  <c r="E19" i="181"/>
  <c r="F18" i="181"/>
  <c r="G18" i="181" s="1"/>
  <c r="E18" i="181"/>
  <c r="D136" i="181" l="1"/>
  <c r="D80" i="36" l="1"/>
  <c r="B7797" i="106"/>
  <c r="E136" i="181"/>
  <c r="E17" i="181"/>
  <c r="E16" i="181"/>
  <c r="F16" i="181" s="1"/>
  <c r="G16" i="181" s="1"/>
  <c r="F17" i="181" l="1"/>
  <c r="G17" i="181" s="1"/>
  <c r="G136" i="181" s="1"/>
  <c r="G40" i="108" l="1"/>
  <c r="B7799" i="106"/>
  <c r="F1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B6997" i="106" s="1"/>
  <c r="D6997" i="106" s="1"/>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49" i="127"/>
  <c r="B50" i="127"/>
  <c r="D26" i="108"/>
  <c r="F26" i="108"/>
  <c r="D27" i="108"/>
  <c r="E27" i="108"/>
  <c r="G27" i="108"/>
  <c r="F31" i="108"/>
  <c r="F36" i="108"/>
  <c r="G28" i="108"/>
  <c r="D31" i="108"/>
  <c r="D36" i="108"/>
  <c r="E31" i="108"/>
  <c r="G31" i="108"/>
  <c r="E33" i="108"/>
  <c r="G33"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22" i="37"/>
  <c r="J22" i="37"/>
  <c r="L22" i="37"/>
  <c r="D5" i="4" l="1"/>
  <c r="B3406" i="106" s="1"/>
  <c r="D3406" i="106" s="1"/>
  <c r="D6103" i="106"/>
  <c r="K24" i="12"/>
  <c r="D24" i="37"/>
  <c r="B4270" i="106" s="1"/>
  <c r="D4270" i="106" s="1"/>
  <c r="D7245" i="106"/>
  <c r="N22" i="3"/>
  <c r="B283" i="106" s="1"/>
  <c r="D283" i="106" s="1"/>
  <c r="D69" i="36"/>
  <c r="F68" i="34"/>
  <c r="H33" i="118"/>
  <c r="H28" i="118"/>
  <c r="H29" i="118"/>
  <c r="D31" i="36"/>
  <c r="D11" i="37"/>
  <c r="F50" i="34"/>
  <c r="F46" i="34"/>
  <c r="B7047" i="106"/>
  <c r="D7047" i="106" s="1"/>
  <c r="F42" i="34"/>
  <c r="F38" i="34"/>
  <c r="F41" i="34"/>
  <c r="B5096" i="106"/>
  <c r="D5096" i="106" s="1"/>
  <c r="D17" i="7"/>
  <c r="B4104" i="106" s="1"/>
  <c r="D4104" i="106" s="1"/>
  <c r="D9" i="7"/>
  <c r="B1767" i="106" s="1"/>
  <c r="D1767" i="106" s="1"/>
  <c r="G5" i="4"/>
  <c r="B3409" i="106" s="1"/>
  <c r="D3409" i="106" s="1"/>
  <c r="I274" i="5"/>
  <c r="B4435" i="106" s="1"/>
  <c r="D4435" i="106" s="1"/>
  <c r="D14" i="4"/>
  <c r="B2570" i="106" s="1"/>
  <c r="D2570" i="106" s="1"/>
  <c r="F72" i="34"/>
  <c r="F37" i="108"/>
  <c r="B2724" i="106"/>
  <c r="D2724" i="106" s="1"/>
  <c r="F71" i="34"/>
  <c r="C14" i="4"/>
  <c r="B2558" i="106" s="1"/>
  <c r="D2558" i="106" s="1"/>
  <c r="G14" i="4"/>
  <c r="B2609" i="106" s="1"/>
  <c r="D2609" i="106" s="1"/>
  <c r="F28" i="108"/>
  <c r="D37" i="108"/>
  <c r="D41" i="108" s="1"/>
  <c r="E43" i="108" s="1"/>
  <c r="E28" i="108"/>
  <c r="F111" i="34"/>
  <c r="H76" i="4"/>
  <c r="B3298" i="106" s="1"/>
  <c r="D3298" i="106" s="1"/>
  <c r="K285" i="29"/>
  <c r="F73" i="34" s="1"/>
  <c r="G26" i="108"/>
  <c r="B6995" i="106"/>
  <c r="D6995" i="106" s="1"/>
  <c r="G38" i="108"/>
  <c r="E26" i="108"/>
  <c r="F36" i="34"/>
  <c r="E38" i="108"/>
  <c r="G30" i="108"/>
  <c r="B1274" i="106"/>
  <c r="D1274" i="106" s="1"/>
  <c r="E30" i="108"/>
  <c r="G39" i="108"/>
  <c r="F106" i="34"/>
  <c r="E109" i="5"/>
  <c r="E4" i="4" s="1"/>
  <c r="B2630" i="106" s="1"/>
  <c r="D2630" i="106" s="1"/>
  <c r="D11" i="7"/>
  <c r="B1768" i="106" s="1"/>
  <c r="D1768" i="106" s="1"/>
  <c r="F37" i="34"/>
  <c r="E29" i="108"/>
  <c r="F62" i="34"/>
  <c r="B2836" i="106"/>
  <c r="D2836" i="106" s="1"/>
  <c r="F35" i="34"/>
  <c r="G29" i="108"/>
  <c r="G15" i="145"/>
  <c r="F136" i="34"/>
  <c r="F127" i="34"/>
  <c r="H342" i="29"/>
  <c r="B7221" i="106" s="1"/>
  <c r="D7221" i="106" s="1"/>
  <c r="J210" i="29"/>
  <c r="B7072" i="106" s="1"/>
  <c r="D7072" i="106" s="1"/>
  <c r="I129" i="29"/>
  <c r="B7037" i="106" s="1"/>
  <c r="D7037" i="106" s="1"/>
  <c r="H112" i="29"/>
  <c r="B7018" i="106" s="1"/>
  <c r="D7018" i="106" s="1"/>
  <c r="G109" i="5"/>
  <c r="B6024" i="106" s="1"/>
  <c r="D6024" i="106" s="1"/>
  <c r="H173" i="5"/>
  <c r="B5906" i="106" s="1"/>
  <c r="D5906" i="106" s="1"/>
  <c r="K41" i="3"/>
  <c r="B6289" i="106"/>
  <c r="D6289" i="106" s="1"/>
  <c r="B3647" i="106"/>
  <c r="D3647" i="106" s="1"/>
  <c r="K184" i="29"/>
  <c r="F13" i="4" s="1"/>
  <c r="B2596" i="106" s="1"/>
  <c r="D2596" i="106" s="1"/>
  <c r="F44" i="34"/>
  <c r="B3619" i="106"/>
  <c r="D3619" i="106" s="1"/>
  <c r="J129" i="29"/>
  <c r="B7038" i="106" s="1"/>
  <c r="D7038" i="106" s="1"/>
  <c r="B3723" i="106"/>
  <c r="D3723" i="106" s="1"/>
  <c r="B1223" i="106"/>
  <c r="D1223" i="106" s="1"/>
  <c r="B1329" i="106"/>
  <c r="D1329" i="106" s="1"/>
  <c r="F61" i="34"/>
  <c r="B1746" i="106"/>
  <c r="D1746" i="106" s="1"/>
  <c r="J274" i="5"/>
  <c r="B7054" i="106" s="1"/>
  <c r="D7054" i="106" s="1"/>
  <c r="D109" i="5"/>
  <c r="B5356" i="106" s="1"/>
  <c r="D5356" i="106" s="1"/>
  <c r="C172" i="5"/>
  <c r="B5214" i="106" s="1"/>
  <c r="D5214" i="106" s="1"/>
  <c r="D7" i="7"/>
  <c r="B1763" i="106" s="1"/>
  <c r="D1763" i="106" s="1"/>
  <c r="D15" i="7"/>
  <c r="B1772" i="106" s="1"/>
  <c r="D1772" i="106" s="1"/>
  <c r="D5" i="7"/>
  <c r="B1761" i="106" s="1"/>
  <c r="D1761" i="106" s="1"/>
  <c r="D13" i="7"/>
  <c r="B3726" i="106" s="1"/>
  <c r="D3726" i="106" s="1"/>
  <c r="F172" i="5"/>
  <c r="B5644" i="106" s="1"/>
  <c r="D5644" i="106" s="1"/>
  <c r="F131" i="34"/>
  <c r="F128" i="34"/>
  <c r="C109" i="5"/>
  <c r="B5121" i="106" s="1"/>
  <c r="D5121" i="106" s="1"/>
  <c r="K350" i="29"/>
  <c r="B3670" i="106" s="1"/>
  <c r="D3670" i="106" s="1"/>
  <c r="L367" i="29"/>
  <c r="B7235" i="106"/>
  <c r="D7235" i="106" s="1"/>
  <c r="C342" i="29"/>
  <c r="B7216" i="106" s="1"/>
  <c r="D7216" i="106" s="1"/>
  <c r="L312" i="29"/>
  <c r="B7231" i="106"/>
  <c r="D7231" i="106" s="1"/>
  <c r="L15" i="11"/>
  <c r="B3459" i="106" s="1"/>
  <c r="D3459" i="106" s="1"/>
  <c r="F21" i="8"/>
  <c r="B3621" i="106"/>
  <c r="D3621" i="106" s="1"/>
  <c r="C367" i="29"/>
  <c r="B3622" i="106" s="1"/>
  <c r="D3622" i="106" s="1"/>
  <c r="I342" i="29"/>
  <c r="B7222" i="106" s="1"/>
  <c r="D7222" i="106" s="1"/>
  <c r="B3649" i="106"/>
  <c r="D3649" i="106" s="1"/>
  <c r="G367" i="29"/>
  <c r="B3650" i="106" s="1"/>
  <c r="D3650" i="106" s="1"/>
  <c r="B1410" i="106"/>
  <c r="D1410" i="106" s="1"/>
  <c r="L342" i="29"/>
  <c r="G210" i="29"/>
  <c r="I210" i="29"/>
  <c r="H365" i="29"/>
  <c r="B7242" i="106" s="1"/>
  <c r="D7242" i="106" s="1"/>
  <c r="E174" i="29"/>
  <c r="B1309" i="106" s="1"/>
  <c r="D1309" i="106" s="1"/>
  <c r="B4412" i="106"/>
  <c r="D4412" i="106" s="1"/>
  <c r="F130" i="34"/>
  <c r="K274" i="5"/>
  <c r="K7" i="4" s="1"/>
  <c r="B3718" i="106" s="1"/>
  <c r="D3718" i="106" s="1"/>
  <c r="G172" i="5"/>
  <c r="K173" i="5"/>
  <c r="K6" i="4" s="1"/>
  <c r="B3570" i="106" s="1"/>
  <c r="D3570" i="106" s="1"/>
  <c r="H109" i="5"/>
  <c r="I173" i="5"/>
  <c r="B4216" i="106" s="1"/>
  <c r="D4216" i="106" s="1"/>
  <c r="D54" i="36"/>
  <c r="J41" i="3"/>
  <c r="D51" i="36" s="1"/>
  <c r="L13" i="11"/>
  <c r="B2060" i="106" s="1"/>
  <c r="D2060" i="106" s="1"/>
  <c r="L5" i="11"/>
  <c r="B2056" i="106" s="1"/>
  <c r="D2056" i="106" s="1"/>
  <c r="I24" i="12"/>
  <c r="D4" i="7"/>
  <c r="B1760" i="106" s="1"/>
  <c r="D1760" i="106" s="1"/>
  <c r="F19" i="7"/>
  <c r="B1807" i="106" s="1"/>
  <c r="D1807" i="106" s="1"/>
  <c r="D12" i="7"/>
  <c r="B1769" i="106" s="1"/>
  <c r="D1769" i="106" s="1"/>
  <c r="F77" i="4"/>
  <c r="B3255" i="106" s="1"/>
  <c r="D3255" i="106" s="1"/>
  <c r="J77" i="4"/>
  <c r="B6262" i="106" s="1"/>
  <c r="D6262" i="106" s="1"/>
  <c r="K76" i="4"/>
  <c r="B3586" i="106" s="1"/>
  <c r="D358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3" i="106" l="1"/>
  <c r="N23" i="3"/>
  <c r="B284" i="106" s="1"/>
  <c r="D284" i="106" s="1"/>
  <c r="B1317" i="106"/>
  <c r="D1317" i="106" s="1"/>
  <c r="B7733" i="106"/>
  <c r="D7733" i="106" s="1"/>
  <c r="K26" i="12"/>
  <c r="B7743" i="106" s="1"/>
  <c r="D7743" i="106" s="1"/>
  <c r="D7254" i="106"/>
  <c r="D7255" i="106"/>
  <c r="D7256" i="106"/>
  <c r="D7251" i="106"/>
  <c r="H77" i="4"/>
  <c r="B3299" i="106" s="1"/>
  <c r="D3299" i="106" s="1"/>
  <c r="J7" i="4"/>
  <c r="B6222" i="106" s="1"/>
  <c r="D6222" i="106" s="1"/>
  <c r="I7" i="4"/>
  <c r="B4444" i="106" s="1"/>
  <c r="D4444" i="106" s="1"/>
  <c r="K28" i="118"/>
  <c r="O27" i="118" s="1"/>
  <c r="O29" i="118" s="1"/>
  <c r="B3724" i="106"/>
  <c r="D3724" i="106" s="1"/>
  <c r="G15" i="4"/>
  <c r="B6032" i="106" s="1"/>
  <c r="D6032" i="106" s="1"/>
  <c r="F41" i="108"/>
  <c r="G43" i="108" s="1"/>
  <c r="I6" i="4"/>
  <c r="B5011" i="106" s="1"/>
  <c r="D5011" i="106" s="1"/>
  <c r="I151" i="29"/>
  <c r="F59" i="34" s="1"/>
  <c r="D4" i="4"/>
  <c r="B2564" i="106" s="1"/>
  <c r="D2564" i="106" s="1"/>
  <c r="B6216" i="106"/>
  <c r="D6216" i="106" s="1"/>
  <c r="B3628" i="106"/>
  <c r="D3628" i="106" s="1"/>
  <c r="B1381" i="106"/>
  <c r="D1381" i="106" s="1"/>
  <c r="F173" i="5"/>
  <c r="B5653" i="106" s="1"/>
  <c r="D5653" i="106" s="1"/>
  <c r="B5527" i="106"/>
  <c r="D5527" i="106" s="1"/>
  <c r="G4" i="4"/>
  <c r="B2603" i="106" s="1"/>
  <c r="D2603" i="106" s="1"/>
  <c r="D44" i="36"/>
  <c r="H6" i="4"/>
  <c r="B2656" i="106" s="1"/>
  <c r="D2656" i="106" s="1"/>
  <c r="J151" i="29"/>
  <c r="B7052" i="106" s="1"/>
  <c r="D7052" i="106" s="1"/>
  <c r="C114" i="29"/>
  <c r="B757" i="106" s="1"/>
  <c r="D757" i="106" s="1"/>
  <c r="B6022" i="106"/>
  <c r="D6022" i="106" s="1"/>
  <c r="B3568" i="106"/>
  <c r="D3568" i="106" s="1"/>
  <c r="D52" i="36"/>
  <c r="K77" i="4"/>
  <c r="B3587" i="106" s="1"/>
  <c r="D3587" i="106" s="1"/>
  <c r="K365" i="29"/>
  <c r="K16" i="4" s="1"/>
  <c r="B1365" i="106"/>
  <c r="D1365" i="106" s="1"/>
  <c r="F65" i="34"/>
  <c r="B1328" i="106"/>
  <c r="D1328" i="106" s="1"/>
  <c r="J16" i="4"/>
  <c r="B6226" i="106" s="1"/>
  <c r="D6226" i="106" s="1"/>
  <c r="B1266" i="106"/>
  <c r="D1266" i="106" s="1"/>
  <c r="B7071" i="106"/>
  <c r="D7071" i="106" s="1"/>
  <c r="F66" i="34"/>
  <c r="C173" i="5"/>
  <c r="B5914" i="106"/>
  <c r="D5914" i="106" s="1"/>
  <c r="H275" i="5"/>
  <c r="B5915" i="106" s="1"/>
  <c r="D5915" i="106" s="1"/>
  <c r="C4" i="4"/>
  <c r="B2551" i="106" s="1"/>
  <c r="D2551" i="106" s="1"/>
  <c r="B6025" i="106"/>
  <c r="D6025" i="106" s="1"/>
  <c r="H4" i="4"/>
  <c r="G173" i="5"/>
  <c r="B5770" i="106"/>
  <c r="D5770" i="106" s="1"/>
  <c r="B6014" i="106"/>
  <c r="D6014" i="106" s="1"/>
  <c r="L114" i="29"/>
  <c r="K352" i="29"/>
  <c r="D7250" i="106"/>
  <c r="D7252" i="106"/>
  <c r="B1879" i="106"/>
  <c r="D1879" i="106" s="1"/>
  <c r="H22" i="37"/>
  <c r="K342" i="29"/>
  <c r="F13" i="34" s="1"/>
  <c r="H367" i="29"/>
  <c r="B3660" i="106" s="1"/>
  <c r="D3660" i="106" s="1"/>
  <c r="F274" i="5"/>
  <c r="B5719" i="106" s="1"/>
  <c r="D5719" i="106" s="1"/>
  <c r="D274" i="5"/>
  <c r="D7" i="4" s="1"/>
  <c r="L16" i="11"/>
  <c r="B2061" i="106" s="1"/>
  <c r="D2061" i="106" s="1"/>
  <c r="B1996" i="106"/>
  <c r="D1996" i="106" s="1"/>
  <c r="I26" i="12"/>
  <c r="B7741" i="106" s="1"/>
  <c r="D774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051" i="106"/>
  <c r="D7051" i="106" s="1"/>
  <c r="B1145" i="106"/>
  <c r="D1145" i="106" s="1"/>
  <c r="F275" i="5"/>
  <c r="B5720" i="106" s="1"/>
  <c r="D5720" i="106" s="1"/>
  <c r="F6" i="4"/>
  <c r="B2593" i="106" s="1"/>
  <c r="D2593" i="106" s="1"/>
  <c r="J17" i="4"/>
  <c r="B6227" i="106" s="1"/>
  <c r="D6227" i="106" s="1"/>
  <c r="G41" i="108"/>
  <c r="G44" i="108" s="1"/>
  <c r="G45" i="108" s="1"/>
  <c r="B7224" i="106"/>
  <c r="D7224" i="106" s="1"/>
  <c r="K367" i="29"/>
  <c r="B3678" i="106" s="1"/>
  <c r="D3678" i="106" s="1"/>
  <c r="J8" i="4"/>
  <c r="B6223" i="106" s="1"/>
  <c r="D6223" i="106" s="1"/>
  <c r="F7" i="4"/>
  <c r="B2594" i="106" s="1"/>
  <c r="D2594" i="106" s="1"/>
  <c r="B5223" i="106"/>
  <c r="D5223" i="106" s="1"/>
  <c r="C6" i="4"/>
  <c r="B2553" i="106" s="1"/>
  <c r="D2553" i="106" s="1"/>
  <c r="D275" i="5"/>
  <c r="B5508" i="106" s="1"/>
  <c r="D5508" i="106" s="1"/>
  <c r="B5778" i="106"/>
  <c r="D5778" i="106" s="1"/>
  <c r="G6" i="4"/>
  <c r="B2604" i="106" s="1"/>
  <c r="D2604" i="106" s="1"/>
  <c r="B2655" i="106"/>
  <c r="D2655" i="106" s="1"/>
  <c r="H8" i="4"/>
  <c r="B5507" i="106"/>
  <c r="D5507" i="106" s="1"/>
  <c r="K13" i="4"/>
  <c r="B3572" i="106" s="1"/>
  <c r="D3572" i="106" s="1"/>
  <c r="B3672" i="106"/>
  <c r="D3672"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K17" i="4"/>
  <c r="B3575" i="106" s="1"/>
  <c r="D3575" i="106" s="1"/>
  <c r="F8" i="4"/>
  <c r="D8" i="146" s="1"/>
  <c r="K368" i="29"/>
  <c r="B3681" i="106" s="1"/>
  <c r="D3681" i="106" s="1"/>
  <c r="D8" i="4"/>
  <c r="C8" i="146" s="1"/>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B2568" i="106"/>
  <c r="D2568" i="106" s="1"/>
  <c r="D10" i="4"/>
  <c r="B4123" i="106" s="1"/>
  <c r="D4123" i="106" s="1"/>
  <c r="K20" i="4"/>
  <c r="K78" i="4" s="1"/>
  <c r="K19" i="4"/>
  <c r="B4144" i="106" s="1"/>
  <c r="D4144" i="106" s="1"/>
  <c r="H13" i="118"/>
  <c r="B2595" i="106"/>
  <c r="D2595" i="106" s="1"/>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B2574" i="106" l="1"/>
  <c r="D2574"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<sst xmlns="http://schemas.openxmlformats.org/spreadsheetml/2006/main" count="5096" uniqueCount="2128">
  <si>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</si>
  <si>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</si>
  <si>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</si>
  <si>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</si>
  <si>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</si>
  <si>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</si>
  <si>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</si>
  <si>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</si>
  <si>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</si>
  <si>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</si>
  <si>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</si>
  <si>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</si>
  <si>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</si>
  <si>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</si>
  <si>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</si>
  <si>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</si>
  <si>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</si>
  <si>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</si>
  <si>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</si>
  <si>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</si>
  <si>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</si>
  <si>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</si>
  <si>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</si>
  <si>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</si>
  <si>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</si>
  <si>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</si>
  <si>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</si>
  <si>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</si>
  <si>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</si>
  <si>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</si>
  <si>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</si>
  <si>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</si>
  <si>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</si>
  <si>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</si>
  <si>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</si>
  <si>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</si>
  <si>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</si>
  <si>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</si>
  <si>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</si>
  <si>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</si>
  <si>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</si>
  <si>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</si>
  <si>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</si>
  <si>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</si>
  <si>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</si>
  <si>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</si>
  <si>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</si>
  <si>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</si>
  <si>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</si>
  <si>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</si>
  <si>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</si>
  <si>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</si>
  <si>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</si>
  <si>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</si>
  <si>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</si>
  <si>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</si>
  <si>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</si>
  <si>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</si>
  <si>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</si>
  <si>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</si>
  <si>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</si>
  <si>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</si>
  <si>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</si>
  <si>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</si>
  <si>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</si>
  <si>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</si>
  <si>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</si>
  <si>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</si>
  <si>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</si>
  <si>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</si>
  <si>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</si>
  <si>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</si>
  <si>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</si>
  <si>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</si>
  <si>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</si>
  <si>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</si>
  <si>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</si>
  <si>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</si>
  <si>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</si>
  <si>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</si>
  <si>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</si>
  <si>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</si>
  <si>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</si>
  <si>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</si>
  <si>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</si>
  <si>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</si>
  <si>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</si>
  <si>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</si>
  <si>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</si>
  <si>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</si>
  <si>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</si>
  <si>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</si>
  <si>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</si>
  <si>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</si>
  <si>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</si>
  <si>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</si>
  <si>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</si>
  <si>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</si>
  <si>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</si>
  <si>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</si>
  <si>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</si>
  <si>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</si>
  <si>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</si>
  <si>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</si>
  <si>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</si>
  <si>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</si>
  <si>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</si>
  <si>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</si>
  <si>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</si>
  <si>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</si>
  <si>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</si>
  <si>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</si>
  <si>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</si>
  <si>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</si>
  <si>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</si>
  <si>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</si>
  <si>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</si>
  <si>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</si>
  <si>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</si>
  <si>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</si>
  <si>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</si>
  <si>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</si>
  <si>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</si>
  <si>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</si>
  <si>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</si>
  <si>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</si>
  <si>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</si>
  <si>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</si>
  <si>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</si>
  <si>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</si>
  <si>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</si>
  <si>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</si>
  <si>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</si>
  <si>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</si>
  <si>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</si>
  <si>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</si>
  <si>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</si>
  <si>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</si>
  <si>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</si>
  <si>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</si>
  <si>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</si>
  <si>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</si>
  <si>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</si>
  <si>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</si>
  <si>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</si>
  <si>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</si>
  <si>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</si>
  <si>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</si>
  <si>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</si>
  <si>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</si>
  <si>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</si>
  <si>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</si>
  <si>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</si>
  <si>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</si>
  <si>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</si>
  <si>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</si>
  <si>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</si>
  <si>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</si>
  <si>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</si>
  <si>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</si>
  <si>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</si>
  <si>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</si>
  <si>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</si>
  <si>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</si>
  <si>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</si>
  <si>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</si>
  <si>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</si>
  <si>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</si>
  <si>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</si>
  <si>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</si>
  <si>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</si>
  <si>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</si>
  <si>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</si>
  <si>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</si>
  <si>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</si>
  <si>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</si>
  <si>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</si>
  <si>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</si>
  <si>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</si>
  <si>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</si>
  <si>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</si>
  <si>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</si>
  <si>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</si>
  <si>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</si>
  <si>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</si>
  <si>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</si>
  <si>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</si>
  <si>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</si>
  <si>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</si>
  <si>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</si>
  <si>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</si>
  <si>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</si>
  <si>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</si>
  <si>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</si>
  <si>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</si>
  <si>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</si>
  <si>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</si>
  <si>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</si>
  <si>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</si>
  <si>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</si>
  <si>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</si>
  <si>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</si>
  <si>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</si>
  <si>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</si>
  <si>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</si>
  <si>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</si>
  <si>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</si>
  <si>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</si>
  <si>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</si>
  <si>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</si>
  <si>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</si>
  <si>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</si>
  <si>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</si>
  <si>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</si>
  <si>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</si>
  <si>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</si>
  <si>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</si>
  <si>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</si>
  <si>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</si>
  <si>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</si>
  <si>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</si>
  <si>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</si>
  <si>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</si>
  <si>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</si>
  <si>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</si>
  <si>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</si>
  <si>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</si>
  <si>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</si>
  <si>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</si>
  <si>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</si>
  <si>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</si>
  <si>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</si>
  <si>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</si>
  <si>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</si>
  <si>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</si>
  <si>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</si>
  <si>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</si>
  <si>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</si>
  <si>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</si>
  <si>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</si>
  <si>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</si>
  <si>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</si>
  <si>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</si>
  <si>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</si>
  <si>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</si>
  <si>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</si>
  <si>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</si>
  <si>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</si>
  <si>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</si>
  <si>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</si>
  <si>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</si>
  <si>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</si>
  <si>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</si>
  <si>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</si>
  <si>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</si>
  <si>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</si>
  <si>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</si>
  <si>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</si>
  <si>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</si>
  <si>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</si>
  <si>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</si>
  <si>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</si>
  <si>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</si>
  <si>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</si>
  <si>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</si>
  <si>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</si>
  <si>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</si>
  <si>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</si>
  <si>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</si>
  <si>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</si>
  <si>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</si>
  <si>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</si>
  <si>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</si>
  <si>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</si>
  <si>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</si>
  <si>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</si>
  <si>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</si>
  <si>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</si>
  <si>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</si>
  <si>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</si>
  <si>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</si>
  <si>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</si>
  <si>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</si>
  <si>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</si>
  <si>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</si>
  <si>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</si>
  <si>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</si>
  <si>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</si>
  <si>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</si>
  <si>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</si>
  <si>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</si>
  <si>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</si>
  <si>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</si>
  <si>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</si>
  <si>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</si>
  <si>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</si>
  <si>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</si>
  <si>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</si>
  <si>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</si>
  <si>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</si>
  <si>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</si>
  <si>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</si>
  <si>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</si>
  <si>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</si>
  <si>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</si>
  <si>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</si>
  <si>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</si>
  <si>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</si>
  <si>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</si>
  <si>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</si>
  <si>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</si>
  <si>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</si>
  <si>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</si>
  <si>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</si>
  <si>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</si>
  <si>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</si>
  <si>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</si>
  <si>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</si>
  <si>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</si>
  <si>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</si>
  <si>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</si>
  <si>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</si>
  <si>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</si>
  <si>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</si>
  <si>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</si>
  <si>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</si>
  <si>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</si>
  <si>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</si>
  <si>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</si>
  <si>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</si>
  <si>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</si>
  <si>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</si>
  <si>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</si>
  <si>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</si>
  <si>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</si>
  <si>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</si>
  <si>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</si>
  <si>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</si>
  <si>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</si>
  <si>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</si>
  <si>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</si>
  <si>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</si>
  <si>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</si>
  <si>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</si>
  <si>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</si>
  <si>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</si>
  <si>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</si>
  <si>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</si>
  <si>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</si>
  <si>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</si>
  <si>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</si>
  <si>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</si>
  <si>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</si>
  <si>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</si>
  <si>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</si>
  <si>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</si>
  <si>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</si>
  <si>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</si>
  <si>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</si>
  <si>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</si>
  <si>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</si>
  <si>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</si>
  <si>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</si>
  <si>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</si>
  <si>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</si>
  <si>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</si>
  <si>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</si>
  <si>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</si>
  <si>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</si>
  <si>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</si>
  <si>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</si>
  <si>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</si>
  <si>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</si>
  <si>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</si>
  <si>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</si>
  <si>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</si>
  <si>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</si>
  <si>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</si>
  <si>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</si>
  <si>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</si>
  <si>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</si>
  <si>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</si>
  <si>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</si>
  <si>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</si>
  <si>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</si>
  <si>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</si>
  <si>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</si>
  <si>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</si>
  <si>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</si>
  <si>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</si>
  <si>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</si>
  <si>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</si>
  <si>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</si>
  <si>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</si>
  <si>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</si>
  <si>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</si>
  <si>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</si>
  <si>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</si>
  <si>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</si>
  <si>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</si>
  <si>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</si>
  <si>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</si>
  <si>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</si>
  <si>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</si>
  <si>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</si>
  <si>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</si>
  <si>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</si>
  <si>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</si>
  <si>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</si>
  <si>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</si>
  <si>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</si>
  <si>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</si>
  <si>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</si>
  <si>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</si>
  <si>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</si>
  <si>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</si>
  <si>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</si>
  <si>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</si>
  <si>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</si>
  <si>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</si>
  <si>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</si>
  <si>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</si>
  <si>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</si>
  <si>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</si>
  <si>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</si>
  <si>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</si>
  <si>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</si>
  <si>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</si>
  <si>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</si>
  <si>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</si>
  <si>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</si>
  <si>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</si>
  <si>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</si>
  <si>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</si>
  <si>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</si>
  <si>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</si>
  <si>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</si>
  <si>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</si>
  <si>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</si>
  <si>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</si>
  <si>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</si>
  <si>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</si>
  <si>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</si>
  <si>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</si>
  <si>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</si>
  <si>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</si>
  <si>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</si>
  <si>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</si>
  <si>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</si>
  <si>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</si>
  <si>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</si>
  <si>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</si>
  <si>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</si>
  <si>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</si>
  <si>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</si>
  <si>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</si>
  <si>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</si>
  <si>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</si>
  <si>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</si>
  <si>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</si>
  <si>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</si>
  <si>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</si>
  <si>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</si>
  <si>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</si>
  <si>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</si>
  <si>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</si>
  <si>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</si>
  <si>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</si>
  <si>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</si>
  <si>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</si>
  <si>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</si>
  <si>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</si>
  <si>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</si>
  <si>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</si>
  <si>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</si>
  <si>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</si>
  <si>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</si>
  <si>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</si>
  <si>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</si>
  <si>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</si>
  <si>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</si>
  <si>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</si>
  <si>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</si>
  <si>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</si>
  <si>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</si>
  <si>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</si>
  <si>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</si>
  <si>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</si>
  <si>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</si>
  <si>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</si>
  <si>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</si>
  <si>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</si>
  <si>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</si>
  <si>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</si>
  <si>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</si>
  <si>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</si>
  <si>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</si>
  <si>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</si>
  <si>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</si>
  <si>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</si>
  <si>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</si>
  <si>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</si>
  <si>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</si>
  <si>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</si>
  <si>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</si>
  <si>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</si>
  <si>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</si>
  <si>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</si>
  <si>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</si>
  <si>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</si>
  <si>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</si>
  <si>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</si>
  <si>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</si>
  <si>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</si>
  <si>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</si>
  <si>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</si>
  <si>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</si>
  <si>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</si>
  <si>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</si>
  <si>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</si>
  <si>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</si>
  <si>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</si>
  <si>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</si>
  <si>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</si>
  <si>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</si>
  <si>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</si>
  <si>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</si>
  <si>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</si>
  <si>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</si>
  <si>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</si>
  <si>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</si>
  <si>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</si>
  <si>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</si>
  <si>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</si>
  <si>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</si>
  <si>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</si>
  <si>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</si>
  <si>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</si>
  <si>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</si>
  <si>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</si>
  <si>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</si>
  <si>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</si>
  <si>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</si>
  <si>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</si>
  <si>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</si>
  <si>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</si>
  <si>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</si>
  <si>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</si>
  <si>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</si>
  <si>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</si>
  <si>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</si>
  <si>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</si>
  <si>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</si>
  <si>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</si>
  <si>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</si>
  <si>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</si>
  <si>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</si>
  <si>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</si>
  <si>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</si>
  <si>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</si>
  <si>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</si>
  <si>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</si>
  <si>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</si>
  <si>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</si>
  <si>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</si>
  <si>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</si>
  <si>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</si>
  <si>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</si>
  <si>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</si>
  <si>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</si>
  <si>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</si>
  <si>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</si>
  <si>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</si>
  <si>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</si>
  <si>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</si>
  <si>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</si>
  <si>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</si>
  <si>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</si>
  <si>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</si>
  <si>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</si>
  <si>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</si>
  <si>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</si>
  <si>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</si>
  <si>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</si>
  <si>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</si>
  <si>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</si>
  <si>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</si>
  <si>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</si>
  <si>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</si>
  <si>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</si>
  <si>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</si>
  <si>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</si>
  <si>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</si>
  <si>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</si>
  <si>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</si>
  <si>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</si>
  <si>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</si>
  <si>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</si>
  <si>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</si>
  <si>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</si>
  <si>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</si>
  <si>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</si>
  <si>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</si>
  <si>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</si>
  <si>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</si>
  <si>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</si>
  <si>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</si>
  <si>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</si>
  <si>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</si>
  <si>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</si>
  <si>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</si>
  <si>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</si>
  <si>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</si>
  <si>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</si>
  <si>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</si>
  <si>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</si>
  <si>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</si>
  <si>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</si>
  <si>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</si>
  <si>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</si>
  <si>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</si>
  <si>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</si>
  <si>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</si>
  <si>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</si>
  <si>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</si>
  <si>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</si>
  <si>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</si>
  <si>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</si>
  <si>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</si>
  <si>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</si>
  <si>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</si>
  <si>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</si>
  <si>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</si>
  <si>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</si>
  <si>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</si>
  <si>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</si>
  <si>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</si>
  <si>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</si>
  <si>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</si>
  <si>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</si>
  <si>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</si>
  <si>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</si>
  <si>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</si>
  <si>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</si>
  <si>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</si>
  <si>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</si>
  <si>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</si>
  <si>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</si>
  <si>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</si>
  <si>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</si>
  <si>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</si>
  <si>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</si>
  <si>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</si>
  <si>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</si>
  <si>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</si>
  <si>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</si>
  <si>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</si>
  <si>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</si>
  <si>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</si>
  <si>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</si>
  <si>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</si>
  <si>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</si>
  <si>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</si>
  <si>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</si>
  <si>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</si>
  <si>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</si>
  <si>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</si>
  <si>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</si>
  <si>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</si>
  <si>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</si>
  <si>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</si>
  <si>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</si>
  <si>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</si>
  <si>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</si>
  <si>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</si>
  <si>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</si>
  <si>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</si>
  <si>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</si>
  <si>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</si>
  <si>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</si>
  <si>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</si>
  <si>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</si>
  <si>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</si>
  <si>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</si>
  <si>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</si>
  <si>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</si>
  <si>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</si>
  <si>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</si>
  <si>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</si>
  <si>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</si>
  <si>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</si>
  <si>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</si>
  <si>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</si>
  <si>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</si>
  <si>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</si>
  <si>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</si>
  <si>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</si>
  <si>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</si>
  <si>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</si>
  <si>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</si>
  <si>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</si>
  <si>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</si>
  <si>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</si>
  <si>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</si>
  <si>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</si>
  <si>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</si>
  <si>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</si>
  <si>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</si>
  <si>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</si>
  <si>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</si>
  <si>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</si>
  <si>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</si>
  <si>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</si>
  <si>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</si>
  <si>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</si>
  <si>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</si>
  <si>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</si>
  <si>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</si>
  <si>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</si>
  <si>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</si>
  <si>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</si>
  <si>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</si>
  <si>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</si>
  <si>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</si>
  <si>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</si>
  <si>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</si>
  <si>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</si>
  <si>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</si>
  <si>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</si>
  <si>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</si>
  <si>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</si>
  <si>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</si>
  <si>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</si>
  <si>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</si>
  <si>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</si>
  <si>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</si>
  <si>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</si>
  <si>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</si>
  <si>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</si>
  <si>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</si>
  <si>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</si>
  <si>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</si>
  <si>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</si>
  <si>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</si>
  <si>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</si>
  <si>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</si>
  <si>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</si>
  <si>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</si>
  <si>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</si>
  <si>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</si>
  <si>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</si>
  <si>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</si>
  <si>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</si>
  <si>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</si>
  <si>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</si>
  <si>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</si>
  <si>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</si>
  <si>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</si>
  <si>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</si>
  <si>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</si>
  <si>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</si>
  <si>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</si>
  <si>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</si>
  <si>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</si>
  <si>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</si>
  <si>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</si>
  <si>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</si>
  <si>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</si>
  <si>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</si>
  <si>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</si>
  <si>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</si>
  <si>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</si>
  <si>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</si>
  <si>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</si>
  <si>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</si>
  <si>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</si>
  <si>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</si>
  <si>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</si>
  <si>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</si>
  <si>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</si>
  <si>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</si>
  <si>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</si>
  <si>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</si>
  <si>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</si>
  <si>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</si>
  <si>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</si>
  <si>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</si>
  <si>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</si>
  <si>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</si>
  <si>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</si>
  <si>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</si>
  <si>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</si>
  <si>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</si>
  <si>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</si>
  <si>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</si>
  <si>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</si>
  <si>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</si>
  <si>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</si>
  <si>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</si>
  <si>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</si>
  <si>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</si>
  <si>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</si>
  <si>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</si>
  <si>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</si>
  <si>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</si>
  <si>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</si>
  <si>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</si>
  <si>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</si>
  <si>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</si>
  <si>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</si>
  <si>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</si>
  <si>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</si>
  <si>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</si>
  <si>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</si>
  <si>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</si>
  <si>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</si>
  <si>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</si>
  <si>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</si>
  <si>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</si>
  <si>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</si>
  <si>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</si>
  <si>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</si>
  <si>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</si>
  <si>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</si>
  <si>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</si>
  <si>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</si>
  <si>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</si>
  <si>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</si>
  <si>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</si>
  <si>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</si>
  <si>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</si>
  <si>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</si>
  <si>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</si>
  <si>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</si>
  <si>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</si>
  <si>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</si>
  <si>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</si>
  <si>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</si>
  <si>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</si>
  <si>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</si>
  <si>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</si>
  <si>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</si>
  <si>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</si>
  <si>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</si>
  <si>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</si>
  <si>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</si>
  <si>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</si>
  <si>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</si>
  <si>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</si>
  <si>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</si>
  <si>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</si>
  <si>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</si>
  <si>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</si>
  <si>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</si>
  <si>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</si>
  <si>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</si>
  <si>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</si>
  <si>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</si>
  <si>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</si>
  <si>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</si>
  <si>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</si>
  <si>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</si>
  <si>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</si>
  <si>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</si>
  <si>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</si>
  <si>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</si>
  <si>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</si>
  <si>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</si>
  <si>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</si>
  <si>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</si>
  <si>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</si>
  <si>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</si>
  <si>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</si>
  <si>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</si>
  <si>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</si>
  <si>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</si>
  <si>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</si>
  <si>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</si>
  <si>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</si>
  <si>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</si>
  <si>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</si>
  <si>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</si>
  <si>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</si>
  <si>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</si>
  <si>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</si>
  <si>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</si>
  <si>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</si>
  <si>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</si>
  <si>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</si>
  <si>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</si>
  <si>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</si>
  <si>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</si>
  <si>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</si>
  <si>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</si>
  <si>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</si>
  <si>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</si>
  <si>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</si>
  <si>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</si>
  <si>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</si>
  <si>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</si>
  <si>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</si>
  <si>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</si>
  <si>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</si>
  <si>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</si>
  <si>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</si>
  <si>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</si>
  <si>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</si>
  <si>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</si>
  <si>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</si>
  <si>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</si>
  <si>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</si>
  <si>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</si>
  <si>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</si>
  <si>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</si>
  <si>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</si>
  <si>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</si>
  <si>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</si>
  <si>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</si>
  <si>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</si>
  <si>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</si>
  <si>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</si>
  <si>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</si>
  <si>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</si>
  <si>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</si>
  <si>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</si>
  <si>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</si>
  <si>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</si>
  <si>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</si>
  <si>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</si>
  <si>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</si>
  <si>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</si>
  <si>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</si>
  <si>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</si>
  <si>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</si>
  <si>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</si>
  <si>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</si>
  <si>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</si>
  <si>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</si>
  <si>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</si>
  <si>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</si>
  <si>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</si>
  <si>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</si>
  <si>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</si>
  <si>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</si>
  <si>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</si>
  <si>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</si>
  <si>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</si>
  <si>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</si>
  <si>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</si>
  <si>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</si>
  <si>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</si>
  <si>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</si>
  <si>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</si>
  <si>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</si>
  <si>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</si>
  <si>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</si>
  <si>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</si>
  <si>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</si>
  <si>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</si>
  <si>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</si>
  <si>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</si>
  <si>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</si>
  <si>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</si>
  <si>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</si>
  <si>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</si>
  <si>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</si>
  <si>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</si>
  <si>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</si>
  <si>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</si>
  <si>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</si>
  <si>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</si>
  <si>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</si>
  <si>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</si>
  <si>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</si>
  <si>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</si>
  <si>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</si>
  <si>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</si>
  <si>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</si>
  <si>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</si>
  <si>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</si>
  <si>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</si>
  <si>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</si>
  <si>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</si>
  <si>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</si>
  <si>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</si>
  <si>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</si>
  <si>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</si>
  <si>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</si>
  <si>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</si>
  <si>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</si>
  <si>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</si>
  <si>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</si>
  <si>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</si>
  <si>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</si>
  <si>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</si>
  <si>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</si>
  <si>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</si>
  <si>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</si>
  <si>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</si>
  <si>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</si>
  <si>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</si>
  <si>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</si>
  <si>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</si>
  <si>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</si>
  <si>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</si>
  <si>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</si>
  <si>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</si>
  <si>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</si>
  <si>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</si>
  <si>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</si>
  <si>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</si>
  <si>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</si>
  <si>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</si>
  <si>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</si>
  <si>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</si>
  <si>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</si>
  <si>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</si>
  <si>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</si>
  <si>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</si>
  <si>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</si>
  <si>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</si>
  <si>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</si>
  <si>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</si>
  <si>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</si>
  <si>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</si>
  <si>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</si>
  <si>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</si>
  <si>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</si>
  <si>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</si>
  <si>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</si>
  <si>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</si>
  <si>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</si>
  <si>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</si>
  <si>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</si>
  <si>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</si>
  <si>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</si>
  <si>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</si>
  <si>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</si>
  <si>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</si>
  <si>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</si>
  <si>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</si>
  <si>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</si>
  <si>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</si>
  <si>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</si>
  <si>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</si>
  <si>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</si>
  <si>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</si>
  <si>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</si>
  <si>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</si>
  <si>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</si>
  <si>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</si>
  <si>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</si>
  <si>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</si>
  <si>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</si>
  <si>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</si>
  <si>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</si>
  <si>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</si>
  <si>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</si>
  <si>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</si>
  <si>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</si>
  <si>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</si>
  <si>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</si>
  <si>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</si>
  <si>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</si>
  <si>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</si>
  <si>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</si>
  <si>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</si>
  <si>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</si>
  <si>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</si>
  <si>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</si>
  <si>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</si>
  <si>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</si>
  <si>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</si>
  <si>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</si>
  <si>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</si>
  <si>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</si>
  <si>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</si>
  <si>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</si>
  <si>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</si>
  <si>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</si>
  <si>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</si>
  <si>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</si>
  <si>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</si>
  <si>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</si>
  <si>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</si>
  <si>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</si>
  <si>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</si>
  <si>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</si>
  <si>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</si>
  <si>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</si>
  <si>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</si>
  <si>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</si>
  <si>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</si>
  <si>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</si>
  <si>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</si>
  <si>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</si>
  <si>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</si>
  <si>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</si>
  <si>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</si>
  <si>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</si>
  <si>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</si>
  <si>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</si>
  <si>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</si>
  <si>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</si>
  <si>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</si>
  <si>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</si>
  <si>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</si>
  <si>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</si>
  <si>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</si>
  <si>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</si>
  <si>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</si>
  <si>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</si>
  <si>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</si>
  <si>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</si>
  <si>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</si>
  <si>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</si>
  <si>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</si>
  <si>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</si>
  <si>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</si>
  <si>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</si>
  <si>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</si>
  <si>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</si>
  <si>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</si>
  <si>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</si>
  <si>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</si>
  <si>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</si>
  <si>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</si>
  <si>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</si>
  <si>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</si>
  <si>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</si>
  <si>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</si>
  <si>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</si>
  <si>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</si>
  <si>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</si>
  <si>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</si>
  <si>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</si>
  <si>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</si>
  <si>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</si>
  <si>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</si>
  <si>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</si>
  <si>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</si>
  <si>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</si>
  <si>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</si>
  <si>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</si>
  <si>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</si>
  <si>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</si>
  <si>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</si>
  <si>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</si>
  <si>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</si>
  <si>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</si>
  <si>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</si>
  <si>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</si>
  <si>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</si>
  <si>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</si>
  <si>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</si>
  <si>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</si>
  <si>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</si>
  <si>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</si>
  <si>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</si>
  <si>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</si>
  <si>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</si>
  <si>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</si>
  <si>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</si>
  <si>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</si>
  <si>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</si>
  <si>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</si>
  <si>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</si>
  <si>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</si>
  <si>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</si>
  <si>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</si>
  <si>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</si>
  <si>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</si>
  <si>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</si>
  <si>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</si>
  <si>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</si>
  <si>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</si>
  <si>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</si>
  <si>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</si>
  <si>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</si>
  <si>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</si>
  <si>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</si>
  <si>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</si>
  <si>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</si>
  <si>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</si>
  <si>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</si>
  <si>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</si>
  <si>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</si>
  <si>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</si>
  <si>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</si>
  <si>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</si>
  <si>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</si>
  <si>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</si>
  <si>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</si>
  <si>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</si>
  <si>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</si>
  <si>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</si>
  <si>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</si>
  <si>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</si>
  <si>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</si>
  <si>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</si>
  <si>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</si>
  <si>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</si>
  <si>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</si>
  <si>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</si>
  <si>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</si>
  <si>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</si>
  <si>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</si>
  <si>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</si>
  <si>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</si>
  <si>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</si>
  <si>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</si>
  <si>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</si>
  <si>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</si>
  <si>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</si>
  <si>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</si>
  <si>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</si>
  <si>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</si>
  <si>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</si>
  <si>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</si>
  <si>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</si>
  <si>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</si>
  <si>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</si>
  <si>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</si>
  <si>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</si>
  <si>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</si>
  <si>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</si>
  <si>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</si>
  <si>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</si>
  <si>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</si>
  <si>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</si>
  <si>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</si>
  <si>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</si>
  <si>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</si>
  <si>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</si>
  <si>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</si>
  <si>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</si>
  <si>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</si>
  <si>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</si>
  <si>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</si>
  <si>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</si>
  <si>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</si>
  <si>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</si>
  <si>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</si>
  <si>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</si>
  <si>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</si>
  <si>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</si>
  <si>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</si>
  <si>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</si>
  <si>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</si>
  <si>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</si>
  <si>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</si>
  <si>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</si>
  <si>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</si>
  <si>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</si>
  <si>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</si>
  <si>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</si>
  <si>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</si>
  <si>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</si>
  <si>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</si>
  <si>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</si>
  <si>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</si>
  <si>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</si>
  <si>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</si>
  <si>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</si>
  <si>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</si>
  <si>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</si>
  <si>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</si>
  <si>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</si>
  <si>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</si>
  <si>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</si>
  <si>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</si>
  <si>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</si>
  <si>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</si>
  <si>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</si>
  <si>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</si>
  <si>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</si>
  <si>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</si>
  <si>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</si>
  <si>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</si>
  <si>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</si>
  <si>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</si>
  <si>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</si>
  <si>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</si>
  <si>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</si>
  <si>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</si>
  <si>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</si>
  <si>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</si>
  <si>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</si>
  <si>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</si>
  <si>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</si>
  <si>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</si>
  <si>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</si>
  <si>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</si>
  <si>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</si>
  <si>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</si>
  <si>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</si>
  <si>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</si>
  <si>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</si>
  <si>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</si>
  <si>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</si>
  <si>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</si>
  <si>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</si>
  <si>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</si>
  <si>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</si>
  <si>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</si>
  <si>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</si>
  <si>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</si>
  <si>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</si>
  <si>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</si>
  <si>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</si>
  <si>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</si>
  <si>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</si>
  <si>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</si>
  <si>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</si>
  <si>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</si>
  <si>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</si>
  <si>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</si>
  <si>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</si>
  <si>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</si>
  <si>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</si>
  <si>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</si>
  <si>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</si>
  <si>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</si>
  <si>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</si>
  <si>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</si>
  <si>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</si>
  <si>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</si>
  <si>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</si>
  <si>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</si>
  <si>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</si>
  <si>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</si>
  <si>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</si>
  <si>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</si>
  <si>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</si>
  <si>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</si>
  <si>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</si>
  <si>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</si>
  <si>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</si>
  <si>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</si>
  <si>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</si>
  <si>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</si>
  <si>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</si>
  <si>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</si>
  <si>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</si>
  <si>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</si>
  <si>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</si>
  <si>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</si>
  <si>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</si>
  <si>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</si>
  <si>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</si>
  <si>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</si>
  <si>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</si>
  <si>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</si>
  <si>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</si>
  <si>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</si>
  <si>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</si>
  <si>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</si>
  <si>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</si>
  <si>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</si>
  <si>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</si>
  <si>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</si>
  <si>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</si>
  <si>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</si>
  <si>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</si>
  <si>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</si>
  <si>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</si>
  <si>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</si>
  <si>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</si>
  <si>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</si>
  <si>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</si>
  <si>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</si>
  <si>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</si>
  <si>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</si>
  <si>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</si>
  <si>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</si>
  <si>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</si>
  <si>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</si>
  <si>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</si>
  <si>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</si>
  <si>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</si>
  <si>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</si>
  <si>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</si>
  <si>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</si>
  <si>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</si>
  <si>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</si>
  <si>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</si>
  <si>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</si>
  <si>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</si>
  <si>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</si>
  <si>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</si>
  <si>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</si>
  <si>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</si>
  <si>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</si>
  <si>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</si>
  <si>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</si>
  <si>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</si>
  <si>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</si>
  <si>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</si>
  <si>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</si>
  <si>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</si>
  <si>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</si>
  <si>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</si>
  <si>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</si>
  <si>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</si>
  <si>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</si>
  <si>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</si>
  <si>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</si>
  <si>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</si>
  <si>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</si>
  <si>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</si>
  <si>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</si>
  <si>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</si>
  <si>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</si>
  <si>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</si>
  <si>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</si>
  <si>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</si>
  <si>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</si>
  <si>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</si>
  <si>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</si>
  <si>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</si>
  <si>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</si>
  <si>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</si>
  <si>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</si>
  <si>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</si>
  <si>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</si>
  <si>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</si>
  <si>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</si>
  <si>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</si>
  <si>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</si>
  <si>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</si>
  <si>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</si>
  <si>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</si>
  <si>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</si>
  <si>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</si>
  <si>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</si>
  <si>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</si>
  <si>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</si>
  <si>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</si>
  <si>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</si>
  <si>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</si>
  <si>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</si>
  <si>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</si>
  <si>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</si>
  <si>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</si>
  <si>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</si>
  <si>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</si>
  <si>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</si>
  <si>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</si>
  <si>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</si>
  <si>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</si>
  <si>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</si>
  <si>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</si>
  <si>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</si>
  <si>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</si>
  <si>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</si>
  <si>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</si>
  <si>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</si>
  <si>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</si>
  <si>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</si>
  <si>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</si>
  <si>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</si>
  <si>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</si>
  <si>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</si>
  <si>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</si>
  <si>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</si>
  <si>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</si>
  <si>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</si>
  <si>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</si>
  <si>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</si>
  <si>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</si>
  <si>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</si>
  <si>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</si>
  <si>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</si>
  <si>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</si>
  <si>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</si>
  <si>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</si>
  <si>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</si>
  <si>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</si>
  <si>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</si>
  <si>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</si>
  <si>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</si>
  <si>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</si>
  <si>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</si>
  <si>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</si>
  <si>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</si>
  <si>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</si>
  <si>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</si>
  <si>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</si>
  <si>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</si>
  <si>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</si>
  <si>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</si>
  <si>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</si>
  <si>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</si>
  <si>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</si>
  <si>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</si>
  <si>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</si>
  <si>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</si>
  <si>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</si>
  <si>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</si>
  <si>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</si>
  <si>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</si>
  <si>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</si>
  <si>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</si>
  <si>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</si>
  <si>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</si>
  <si>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</si>
  <si>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</si>
  <si>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</si>
  <si>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</si>
  <si>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</si>
  <si>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</si>
  <si>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</si>
  <si>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</si>
  <si>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</si>
  <si>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</si>
  <si>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</si>
  <si>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</si>
  <si>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</si>
  <si>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</si>
  <si>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</si>
  <si>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</si>
  <si>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</si>
  <si>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</si>
  <si>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</si>
  <si>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</si>
  <si>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</si>
  <si>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</si>
  <si>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</si>
  <si>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</si>
  <si>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</si>
  <si>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</si>
  <si>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</si>
  <si>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</si>
  <si>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</si>
  <si>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</si>
  <si>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</si>
  <si>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</si>
  <si>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</si>
  <si>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</si>
  <si>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</si>
  <si>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</si>
  <si>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</si>
  <si>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</si>
  <si>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</si>
  <si>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</si>
  <si>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</si>
  <si>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</si>
  <si>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</si>
  <si>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</si>
  <si>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</si>
  <si>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</si>
  <si>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</si>
  <si>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</si>
  <si>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</si>
  <si>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</si>
  <si>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</si>
  <si>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</si>
  <si>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</si>
  <si>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</si>
  <si>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</si>
  <si>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</si>
  <si>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</si>
  <si>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</si>
  <si>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</si>
  <si>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</si>
  <si>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</si>
  <si>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</si>
  <si>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</si>
  <si>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</si>
  <si>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</si>
  <si>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</si>
  <si>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</si>
  <si>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</si>
  <si>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</si>
  <si>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</si>
  <si>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</si>
  <si>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</si>
  <si>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</si>
  <si>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</si>
  <si>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</si>
  <si>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</si>
  <si>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</si>
  <si>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</si>
  <si>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</si>
  <si>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</si>
  <si>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</si>
  <si>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</si>
  <si>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</si>
  <si>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</si>
  <si>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</si>
  <si>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</si>
  <si>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</si>
  <si>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</si>
  <si>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</si>
  <si>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</si>
  <si>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</si>
  <si>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</si>
  <si>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</si>
  <si>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</si>
  <si>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</si>
  <si>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</si>
  <si>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</si>
  <si>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</si>
  <si>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</si>
  <si>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</si>
  <si>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</si>
  <si>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</si>
  <si>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</si>
  <si>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</si>
  <si>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</si>
  <si>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</si>
  <si>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</si>
  <si>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</si>
  <si>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</si>
  <si>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</si>
  <si>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</si>
  <si>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</si>
  <si>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</si>
  <si>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</si>
  <si>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</si>
  <si>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</si>
  <si>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</si>
  <si>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</si>
  <si>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</si>
  <si>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</si>
  <si>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</si>
  <si>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</si>
  <si>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</si>
  <si>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</si>
  <si>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</si>
  <si>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</si>
  <si>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</si>
  <si>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</si>
  <si>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</si>
  <si>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</si>
  <si>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</si>
  <si>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</si>
  <si>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</si>
  <si>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</si>
  <si>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</si>
  <si>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</si>
  <si>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</si>
  <si>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</si>
  <si>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</si>
  <si>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</si>
  <si>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</si>
  <si>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</si>
  <si>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</si>
  <si>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</si>
  <si>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</si>
  <si>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</si>
  <si>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</si>
  <si>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</si>
  <si>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</si>
  <si>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</si>
  <si>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</si>
  <si>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</si>
  <si>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</si>
  <si>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</si>
  <si>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</si>
  <si>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</si>
  <si>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</si>
  <si>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</si>
  <si>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</si>
  <si>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</si>
  <si>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</si>
  <si>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</si>
  <si>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</si>
  <si>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</si>
  <si>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</si>
  <si>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</si>
  <si>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</si>
  <si>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</si>
  <si>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</si>
  <si>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</si>
  <si>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</si>
  <si>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</si>
  <si>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</si>
  <si>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</si>
  <si>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</si>
  <si>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</si>
  <si>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</si>
  <si>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</si>
  <si>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</si>
  <si>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</si>
  <si>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</si>
  <si>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</si>
  <si>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</si>
  <si>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</si>
  <si>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</si>
  <si>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</si>
  <si>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</si>
  <si>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</si>
  <si>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</si>
  <si>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</si>
  <si>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</si>
  <si>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</si>
  <si>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</si>
  <si>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</si>
  <si>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</si>
  <si>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</si>
  <si>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</si>
  <si>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</si>
  <si>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</si>
  <si>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</si>
  <si>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</si>
  <si>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</si>
  <si>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</si>
  <si>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</si>
  <si>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</si>
  <si>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</si>
  <si>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</si>
  <si>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</si>
  <si>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</si>
  <si>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</si>
  <si>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</si>
  <si>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</si>
  <si>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</si>
  <si>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</si>
  <si>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</si>
  <si>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</si>
  <si>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</si>
  <si>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</si>
  <si>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</si>
  <si>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</si>
  <si>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</si>
  <si>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</si>
  <si>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</si>
  <si>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</si>
  <si>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</si>
  <si>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</si>
  <si>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</si>
  <si>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</si>
  <si>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</si>
  <si>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</si>
  <si>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</si>
  <si>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</si>
  <si>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</si>
  <si>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</si>
  <si>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</si>
  <si>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</si>
  <si>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</si>
  <si>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</si>
  <si>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</si>
  <si>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</si>
  <si>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</si>
  <si>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</si>
  <si>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</si>
  <si>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</si>
  <si>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</si>
  <si>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</si>
  <si>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</si>
  <si>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</si>
  <si>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</si>
  <si>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</si>
  <si>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</si>
  <si>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</si>
  <si>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</si>
  <si>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</si>
  <si>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</si>
  <si>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</si>
  <si>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</si>
  <si>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</si>
  <si>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</si>
  <si>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</si>
  <si>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</si>
  <si>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</si>
  <si>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</si>
  <si>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</si>
  <si>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</si>
  <si>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</si>
  <si>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</si>
  <si>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</si>
  <si>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</si>
  <si>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</si>
  <si>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</si>
  <si>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</si>
  <si>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</si>
  <si>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</si>
  <si>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</si>
  <si>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</si>
  <si>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</si>
  <si>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</si>
  <si>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</si>
  <si>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</si>
  <si>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</si>
  <si>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</si>
  <si>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</si>
  <si>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</si>
  <si>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</si>
  <si>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</si>
  <si>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</si>
  <si>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</si>
  <si>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</si>
  <si>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</si>
  <si>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</si>
  <si>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</si>
  <si>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</si>
  <si>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</si>
  <si>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</si>
  <si>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</si>
  <si>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</si>
  <si>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</si>
  <si>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</si>
  <si>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</si>
  <si>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</si>
  <si>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</si>
  <si>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</si>
  <si>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</si>
  <si>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</si>
  <si>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</si>
  <si>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</si>
  <si>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</si>
  <si>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</si>
  <si>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</si>
  <si>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</si>
  <si>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</si>
  <si>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</si>
  <si>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</si>
  <si>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</si>
  <si>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</si>
  <si>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</si>
  <si>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</si>
  <si>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</si>
  <si>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</si>
  <si>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</si>
  <si>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</si>
  <si>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</si>
  <si>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</si>
  <si>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</si>
  <si>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</si>
  <si>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</si>
  <si>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</si>
  <si>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</si>
  <si>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</si>
  <si>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</si>
  <si>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</si>
  <si>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</si>
  <si>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</si>
  <si>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</si>
  <si>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</si>
  <si>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</si>
  <si>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</si>
  <si>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</si>
  <si>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</si>
  <si>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</si>
  <si>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</si>
  <si>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</si>
  <si>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</si>
  <si>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</si>
  <si>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</si>
  <si>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</si>
  <si>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</si>
  <si>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</si>
  <si>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</si>
  <si>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</si>
  <si>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</si>
  <si>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</si>
  <si>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</si>
  <si>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</si>
  <si>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</si>
  <si>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</si>
  <si>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</si>
  <si>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</si>
  <si>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</si>
  <si>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</si>
  <si>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</si>
  <si>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</si>
  <si>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</si>
  <si>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</si>
  <si>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</si>
  <si>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</si>
  <si>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</si>
  <si>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</si>
  <si>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</si>
  <si>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</si>
  <si>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</si>
  <si>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</si>
  <si>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</si>
  <si>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</si>
  <si>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</si>
  <si>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</si>
  <si>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</si>
  <si>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</si>
  <si>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</si>
  <si>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</si>
  <si>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</si>
  <si>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</si>
  <si>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</si>
  <si>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</si>
  <si>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</si>
  <si>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</si>
  <si>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</si>
  <si>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</si>
  <si>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</si>
  <si>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</si>
  <si>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</si>
  <si>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</si>
  <si>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</si>
  <si>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</si>
  <si>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</si>
  <si>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</si>
  <si>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</si>
  <si>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</si>
  <si>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</si>
  <si>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</si>
  <si>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</si>
  <si>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</si>
  <si>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</si>
  <si>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</si>
  <si>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</si>
  <si>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</si>
  <si>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</si>
  <si>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</si>
  <si>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</si>
  <si>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</si>
  <si>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</si>
  <si>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</si>
  <si>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</si>
  <si>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</si>
  <si>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</si>
  <si>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</si>
  <si>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</si>
  <si>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</si>
  <si>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</si>
  <si>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</si>
  <si>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</si>
  <si>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</si>
  <si>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</si>
  <si>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</si>
  <si>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</si>
  <si>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</si>
  <si>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</si>
  <si>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</si>
  <si>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</si>
  <si>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</si>
  <si>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</si>
  <si>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</si>
  <si>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</si>
  <si>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</si>
  <si>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</si>
  <si>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</si>
  <si>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</si>
  <si>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</si>
  <si>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</si>
  <si>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</si>
  <si>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</si>
  <si>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</si>
  <si>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</si>
  <si>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</si>
  <si>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</si>
  <si>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</si>
  <si>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</si>
  <si>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</si>
  <si>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</si>
  <si>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</si>
  <si>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</si>
  <si>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</si>
  <si>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</si>
  <si>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</si>
  <si>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</si>
  <si>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</si>
  <si>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</si>
  <si>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</si>
  <si>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</si>
  <si>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</si>
  <si>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</si>
  <si>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</si>
  <si>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</si>
  <si>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</si>
  <si>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</si>
  <si>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</si>
  <si>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</si>
  <si>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</si>
  <si>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</si>
  <si>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</si>
  <si>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</si>
  <si>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</si>
  <si>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</si>
  <si>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</si>
  <si>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</si>
  <si>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</si>
  <si>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</si>
  <si>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</si>
  <si>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</si>
  <si>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</si>
  <si>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</si>
  <si>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</si>
  <si>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</si>
  <si>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</si>
  <si>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</si>
  <si>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</si>
  <si>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</si>
  <si>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</si>
  <si>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</si>
  <si>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</si>
  <si>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</si>
  <si>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</si>
  <si>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</si>
  <si>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</si>
  <si>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</si>
  <si>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</si>
  <si>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</si>
  <si>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</si>
  <si>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</si>
  <si>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</si>
  <si>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</si>
  <si>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</si>
  <si>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</si>
  <si>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</si>
  <si>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</si>
  <si>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</si>
  <si>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</si>
  <si>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</si>
  <si>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</si>
  <si>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</si>
  <si>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</si>
  <si>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</si>
  <si>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</si>
  <si>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</si>
  <si>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</si>
  <si>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</si>
  <si>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</si>
  <si>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</si>
  <si>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</si>
  <si>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</si>
  <si>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</si>
  <si>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</si>
  <si>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</si>
  <si>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</si>
  <si>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</si>
  <si>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</si>
  <si>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</si>
  <si>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</si>
  <si>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</si>
  <si>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</si>
  <si>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</si>
  <si>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</si>
  <si>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</si>
  <si>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</si>
  <si>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</si>
  <si>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</si>
  <si>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</si>
  <si>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</si>
  <si>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</si>
  <si>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</si>
  <si>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</si>
  <si>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</si>
  <si>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</si>
  <si>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</si>
  <si>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</si>
  <si>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</si>
  <si>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</si>
  <si>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</si>
  <si>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</si>
  <si>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</si>
  <si>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</si>
  <si>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</si>
  <si>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</si>
  <si>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</si>
  <si>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</si>
  <si>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</si>
  <si>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</si>
  <si>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</si>
  <si>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</si>
  <si>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</si>
  <si>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</si>
  <si>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</si>
  <si>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</si>
  <si>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</si>
  <si>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</si>
  <si>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</si>
  <si>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</si>
  <si>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</si>
  <si>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</si>
  <si>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</si>
  <si>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</si>
  <si>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</si>
  <si>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HANCOCK</t>
  </si>
  <si>
    <t>600 MILLER STREET</t>
  </si>
  <si>
    <t>CARTHAGE</t>
  </si>
  <si>
    <t>schilson,kim@illiniwest.org</t>
  </si>
  <si>
    <t>KIM SCHILSON</t>
  </si>
  <si>
    <t>schilson.kim@illiniwest.org</t>
  </si>
  <si>
    <t>217-357-9607</t>
  </si>
  <si>
    <t>217-357-9609</t>
  </si>
  <si>
    <t>GRAY HUNTER STENN LLP</t>
  </si>
  <si>
    <t>LOWELL A. YATES, C.P.A.</t>
  </si>
  <si>
    <t>500 MAINE STREET, PO BOX 32</t>
  </si>
  <si>
    <t>QUINCY</t>
  </si>
  <si>
    <t>IL</t>
  </si>
  <si>
    <t>62306-0032</t>
  </si>
  <si>
    <t>217-222-0304</t>
  </si>
  <si>
    <t>217-222-1691</t>
  </si>
  <si>
    <t>066-003689</t>
  </si>
  <si>
    <t>lay@gray-hunter-stenn.com</t>
  </si>
  <si>
    <t>Carthage ESD No. 317</t>
  </si>
  <si>
    <t>Regional Office of Education</t>
  </si>
  <si>
    <t>West Central Illinois Special Education Cooperative</t>
  </si>
  <si>
    <t>Western Area Purchasing Coop</t>
  </si>
  <si>
    <t>See Below</t>
  </si>
  <si>
    <t>Western Area Career System</t>
  </si>
  <si>
    <t>Line 30 - Transportation - Special Education transportation shared with Hamilton CCSD No. 328, Carthaage ESD No. 317, Dallas City ESD No. 327, LaHarpe ESD No. 347 and Warsaw CUSD No. 316.</t>
  </si>
  <si>
    <t>Western Area Schools Health Insurance</t>
  </si>
  <si>
    <t>20-2900-300</t>
  </si>
  <si>
    <t>JMO Mobile Modular LLC</t>
  </si>
  <si>
    <t>Santander Leasing LLC</t>
  </si>
  <si>
    <t>40-2550-300</t>
  </si>
  <si>
    <t>O &amp; M-Other Support Services-Purchased Services</t>
  </si>
  <si>
    <t>Trans-Pupil Transportation Services-Purchased Services</t>
  </si>
  <si>
    <t>Column C - Educational</t>
  </si>
  <si>
    <t>Fines</t>
  </si>
  <si>
    <t>Miscellaneous Revenues</t>
  </si>
  <si>
    <t>Column E - Purchased Services</t>
  </si>
  <si>
    <t>Digital Copier Systems, LLC - Copier Lease</t>
  </si>
  <si>
    <t>Carthage Family Fitness - Building Lease</t>
  </si>
  <si>
    <t>Page 16, Line 73 - Other Support Services:</t>
  </si>
  <si>
    <t>Page 10, Line 107 - Other Local Revenues:</t>
  </si>
  <si>
    <t>Page 10, Line 91 - Sales - Other:</t>
  </si>
  <si>
    <t>Carthage Elementary School District No. 317 - Food Contract</t>
  </si>
  <si>
    <t>Page 16, Line 83 - Other Payments to In-state Govt. Units:</t>
  </si>
  <si>
    <t>JMO Mobile Modular LLC - Modular Classroom Rent</t>
  </si>
  <si>
    <t>Carthage Elementary School District No. 317 - Building Lease</t>
  </si>
  <si>
    <t>Page 17, Line 128 - Other Support Services:</t>
  </si>
  <si>
    <t>PE Uniforms</t>
  </si>
  <si>
    <t>Page 17, Line 136 - Other Payments to In-State Govt. Units:</t>
  </si>
  <si>
    <t>Page 29</t>
  </si>
  <si>
    <t>Illini West HS Dist 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</si>
</sst>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
      <u val="sing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64" fontId="74" fillId="0" borderId="0" xfId="0" applyNumberFormat="1" applyFont="1"/>
    <xf numFmtId="41" fontId="56" fillId="0" borderId="0" xfId="0" applyNumberFormat="1" applyFont="1"/>
    <xf numFmtId="41" fontId="137" fillId="0" borderId="0" xfId="0" applyNumberFormat="1" applyFont="1"/>
    <xf numFmtId="0" fontId="56" fillId="0" borderId="0" xfId="0" applyFont="1" applyAlignment="1">
      <alignment horizontal="right"/>
    </xf>
    <xf numFmtId="0" fontId="74" fillId="0" borderId="0" xfId="0" applyFont="1"/>
    <xf numFmtId="41" fontId="138" fillId="0" borderId="0" xfId="0" applyNumberFormat="1" applyFont="1"/>
    <xf numFmtId="0" fontId="1" fillId="0" borderId="0" xfId="17" applyFont="1" applyAlignment="1">
      <alignment horizontal="center" vertical="center"/>
    </xf>
    <xf numFmtId="0" fontId="1" fillId="0" borderId="0" xfId="17"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114300</xdr:rowOff>
        </xdr:from>
        <xdr:to>
          <xdr:col>1</xdr:col>
          <xdr:colOff>847725</xdr:colOff>
          <xdr:row>4</xdr:row>
          <xdr:rowOff>95250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0</xdr:row>
          <xdr:rowOff>142875</xdr:rowOff>
        </xdr:from>
        <xdr:to>
          <xdr:col>1</xdr:col>
          <xdr:colOff>2038350</xdr:colOff>
          <xdr:row>4</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0</xdr:row>
          <xdr:rowOff>161925</xdr:rowOff>
        </xdr:from>
        <xdr:to>
          <xdr:col>1</xdr:col>
          <xdr:colOff>3200400</xdr:colOff>
          <xdr:row>4</xdr:row>
          <xdr:rowOff>142875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3419475</xdr:colOff>
          <xdr:row>1</xdr:row>
          <xdr:rowOff>19050</xdr:rowOff>
        </xdr:from>
        <xdr:to>
          <xdr:col>2</xdr:col>
          <xdr:colOff>247650</xdr:colOff>
          <xdr:row>5</xdr:row>
          <xdr:rowOff>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1" t="s">
        <v>425</v>
      </c>
      <c r="J1" s="2042"/>
      <c r="K1" s="2042"/>
      <c r="L1" s="2042"/>
      <c r="M1" s="2042"/>
      <c r="N1" s="2042"/>
      <c r="O1" s="2042"/>
      <c r="P1" s="2042"/>
      <c r="Q1" s="2042"/>
      <c r="R1" s="2042"/>
      <c r="S1" s="2042"/>
    </row>
    <row r="2" spans="1:28" ht="12" customHeight="1" x14ac:dyDescent="0.2">
      <c r="A2" s="47" t="s">
        <v>1684</v>
      </c>
      <c r="D2" s="48"/>
      <c r="I2" s="2043" t="s">
        <v>1036</v>
      </c>
      <c r="J2" s="2042"/>
      <c r="K2" s="2042"/>
      <c r="L2" s="2042"/>
      <c r="M2" s="2042"/>
      <c r="N2" s="2042"/>
      <c r="O2" s="2042"/>
      <c r="P2" s="2042"/>
      <c r="Q2" s="2042"/>
      <c r="R2" s="2042"/>
      <c r="S2" s="2042"/>
    </row>
    <row r="3" spans="1:28" ht="12" customHeight="1" x14ac:dyDescent="0.2">
      <c r="A3" s="155" t="s">
        <v>1685</v>
      </c>
      <c r="B3" s="156"/>
      <c r="C3" s="156"/>
      <c r="D3" s="157"/>
      <c r="I3" s="2043" t="s">
        <v>54</v>
      </c>
      <c r="J3" s="2042"/>
      <c r="K3" s="2042"/>
      <c r="L3" s="2042"/>
      <c r="M3" s="2042"/>
      <c r="N3" s="2042"/>
      <c r="O3" s="2042"/>
      <c r="P3" s="2042"/>
      <c r="Q3" s="2042"/>
      <c r="R3" s="2042"/>
      <c r="S3" s="2042"/>
    </row>
    <row r="4" spans="1:28" ht="12" customHeight="1" x14ac:dyDescent="0.2">
      <c r="A4" s="37"/>
      <c r="I4" s="2043" t="s">
        <v>545</v>
      </c>
      <c r="J4" s="2042"/>
      <c r="K4" s="2042"/>
      <c r="L4" s="2042"/>
      <c r="M4" s="2042"/>
      <c r="N4" s="2042"/>
      <c r="O4" s="2042"/>
      <c r="P4" s="2042"/>
      <c r="Q4" s="2042"/>
      <c r="R4" s="2042"/>
      <c r="S4" s="2042"/>
    </row>
    <row r="5" spans="1:28" ht="14.1" customHeight="1" x14ac:dyDescent="0.2">
      <c r="B5" s="104" t="s">
        <v>2077</v>
      </c>
      <c r="C5" s="26" t="s">
        <v>966</v>
      </c>
      <c r="D5" s="84"/>
      <c r="E5" s="84"/>
      <c r="H5" s="38"/>
      <c r="I5" s="2050" t="s">
        <v>701</v>
      </c>
      <c r="J5" s="1995"/>
      <c r="K5" s="1995"/>
      <c r="L5" s="1995"/>
      <c r="M5" s="1995"/>
      <c r="N5" s="1995"/>
      <c r="O5" s="1995"/>
      <c r="P5" s="1995"/>
      <c r="Q5" s="1995"/>
      <c r="R5" s="1995"/>
      <c r="S5" s="1995"/>
    </row>
    <row r="6" spans="1:28" ht="14.1" customHeight="1" x14ac:dyDescent="0.2">
      <c r="B6" s="104"/>
      <c r="C6" s="26" t="s">
        <v>967</v>
      </c>
      <c r="D6" s="84"/>
      <c r="E6" s="84"/>
      <c r="I6" s="2049" t="s">
        <v>938</v>
      </c>
      <c r="J6" s="1995"/>
      <c r="K6" s="1995"/>
      <c r="L6" s="1995"/>
      <c r="M6" s="1995"/>
      <c r="N6" s="1995"/>
      <c r="O6" s="1995"/>
      <c r="P6" s="1995"/>
      <c r="Q6" s="1995"/>
      <c r="R6" s="1995"/>
      <c r="S6" s="1995"/>
    </row>
    <row r="7" spans="1:28" ht="12.2" customHeight="1" x14ac:dyDescent="0.2">
      <c r="I7" s="2044">
        <v>43281</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695</v>
      </c>
      <c r="J9" s="2047"/>
      <c r="K9" s="2047"/>
      <c r="L9" s="2047"/>
      <c r="M9" s="2047"/>
      <c r="N9" s="2047"/>
      <c r="O9" s="2047"/>
      <c r="P9" s="2047"/>
      <c r="Q9" s="2047"/>
      <c r="R9" s="2047"/>
      <c r="S9" s="2048"/>
      <c r="T9" s="1991" t="s">
        <v>554</v>
      </c>
      <c r="U9" s="1992"/>
      <c r="V9" s="1992"/>
      <c r="W9" s="1992"/>
      <c r="X9" s="1992"/>
      <c r="Y9" s="1992"/>
      <c r="Z9" s="1992"/>
      <c r="AA9" s="1993"/>
    </row>
    <row r="10" spans="1:28" ht="13.5" customHeight="1" x14ac:dyDescent="0.2">
      <c r="A10" s="2000" t="s">
        <v>696</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1012</v>
      </c>
      <c r="B11" s="2004"/>
      <c r="C11" s="2004"/>
      <c r="D11" s="2004"/>
      <c r="E11" s="2004"/>
      <c r="F11" s="2004"/>
      <c r="G11" s="2004"/>
      <c r="H11" s="2005"/>
      <c r="I11" s="27"/>
      <c r="J11" s="74"/>
      <c r="K11" s="27"/>
      <c r="O11" s="148" t="s">
        <v>2077</v>
      </c>
      <c r="P11" s="100" t="s">
        <v>210</v>
      </c>
      <c r="Q11" s="30"/>
      <c r="R11" s="28"/>
      <c r="S11" s="27"/>
      <c r="T11" s="1997"/>
      <c r="U11" s="1998"/>
      <c r="V11" s="1998"/>
      <c r="W11" s="1998"/>
      <c r="X11" s="1998"/>
      <c r="Y11" s="1998"/>
      <c r="Z11" s="1998"/>
      <c r="AA11" s="199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1">
        <v>26034307016</v>
      </c>
      <c r="B13" s="2012"/>
      <c r="C13" s="2012"/>
      <c r="D13" s="2012"/>
      <c r="E13" s="2012"/>
      <c r="F13" s="2012"/>
      <c r="G13" s="2012"/>
      <c r="H13" s="2013"/>
      <c r="I13" s="31"/>
      <c r="J13" s="30"/>
      <c r="K13" s="28"/>
      <c r="L13" s="30"/>
      <c r="M13" s="30"/>
      <c r="N13" s="30"/>
      <c r="O13" s="30"/>
      <c r="P13" s="30"/>
      <c r="Q13" s="30"/>
      <c r="R13" s="30"/>
      <c r="S13" s="30"/>
      <c r="T13" s="2016" t="s">
        <v>2086</v>
      </c>
      <c r="U13" s="2017"/>
      <c r="V13" s="2017"/>
      <c r="W13" s="2017"/>
      <c r="X13" s="2017"/>
      <c r="Y13" s="2018"/>
      <c r="Z13" s="2018"/>
      <c r="AA13" s="201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9" t="s">
        <v>2078</v>
      </c>
      <c r="B15" s="2014"/>
      <c r="C15" s="2014"/>
      <c r="D15" s="2014"/>
      <c r="E15" s="2014"/>
      <c r="F15" s="2014"/>
      <c r="G15" s="2014"/>
      <c r="H15" s="2015"/>
      <c r="T15" s="1977" t="s">
        <v>2087</v>
      </c>
      <c r="U15" s="1978"/>
      <c r="V15" s="1978"/>
      <c r="W15" s="1978"/>
      <c r="X15" s="1978"/>
      <c r="Y15" s="2020"/>
      <c r="Z15" s="2020"/>
      <c r="AA15" s="202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9" t="s">
        <v>2127</v>
      </c>
      <c r="B17" s="2039"/>
      <c r="C17" s="2039"/>
      <c r="D17" s="2039"/>
      <c r="E17" s="2039"/>
      <c r="F17" s="2039"/>
      <c r="G17" s="2039"/>
      <c r="H17" s="2040"/>
      <c r="T17" s="2026" t="s">
        <v>2088</v>
      </c>
      <c r="U17" s="2027"/>
      <c r="V17" s="2027"/>
      <c r="W17" s="2027"/>
      <c r="X17" s="2027"/>
      <c r="Y17" s="2027"/>
      <c r="Z17" s="2027"/>
      <c r="AA17" s="2028"/>
    </row>
    <row r="18" spans="1:27" ht="13.5" customHeight="1" x14ac:dyDescent="0.2">
      <c r="A18" s="85" t="s">
        <v>551</v>
      </c>
      <c r="B18" s="76"/>
      <c r="C18" s="72"/>
      <c r="D18" s="76"/>
      <c r="E18" s="76"/>
      <c r="F18" s="76"/>
      <c r="G18" s="76"/>
      <c r="H18" s="56"/>
      <c r="I18" s="2036" t="s">
        <v>697</v>
      </c>
      <c r="J18" s="2037"/>
      <c r="K18" s="2037"/>
      <c r="L18" s="2037"/>
      <c r="M18" s="2037"/>
      <c r="N18" s="2037"/>
      <c r="O18" s="2037"/>
      <c r="P18" s="2037"/>
      <c r="Q18" s="2037"/>
      <c r="R18" s="2037"/>
      <c r="S18" s="2038"/>
      <c r="T18" s="85" t="s">
        <v>735</v>
      </c>
      <c r="U18" s="51"/>
      <c r="V18" s="72"/>
      <c r="W18" s="50"/>
      <c r="X18" s="85" t="s">
        <v>284</v>
      </c>
      <c r="Y18" s="81"/>
      <c r="Z18" s="159" t="s">
        <v>698</v>
      </c>
      <c r="AA18" s="46"/>
    </row>
    <row r="19" spans="1:27" ht="13.5" customHeight="1" x14ac:dyDescent="0.2">
      <c r="A19" s="2009" t="s">
        <v>2079</v>
      </c>
      <c r="B19" s="2010"/>
      <c r="C19" s="2010"/>
      <c r="D19" s="2010"/>
      <c r="E19" s="2010"/>
      <c r="F19" s="2010"/>
      <c r="G19" s="2010"/>
      <c r="H19" s="2008"/>
      <c r="I19" s="30"/>
      <c r="J19" s="99"/>
      <c r="K19" s="40"/>
      <c r="L19" s="38"/>
      <c r="M19" s="112" t="s">
        <v>333</v>
      </c>
      <c r="P19" s="27"/>
      <c r="Q19" s="27"/>
      <c r="R19" s="27"/>
      <c r="S19" s="31"/>
      <c r="T19" s="2009" t="s">
        <v>2089</v>
      </c>
      <c r="U19" s="2007"/>
      <c r="V19" s="2007"/>
      <c r="W19" s="2008"/>
      <c r="X19" s="2024" t="s">
        <v>2090</v>
      </c>
      <c r="Y19" s="2025"/>
      <c r="Z19" s="2022" t="s">
        <v>2091</v>
      </c>
      <c r="AA19" s="202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6" t="s">
        <v>2080</v>
      </c>
      <c r="B21" s="2007"/>
      <c r="C21" s="2007"/>
      <c r="D21" s="2007"/>
      <c r="E21" s="2007"/>
      <c r="F21" s="2007"/>
      <c r="G21" s="2007"/>
      <c r="H21" s="2008"/>
      <c r="I21" s="2032" t="s">
        <v>699</v>
      </c>
      <c r="J21" s="1995"/>
      <c r="K21" s="1995"/>
      <c r="L21" s="1995"/>
      <c r="M21" s="1995"/>
      <c r="N21" s="1995"/>
      <c r="O21" s="1995"/>
      <c r="P21" s="1995"/>
      <c r="Q21" s="1995"/>
      <c r="R21" s="1995"/>
      <c r="S21" s="1996"/>
      <c r="T21" s="1974" t="s">
        <v>2092</v>
      </c>
      <c r="U21" s="1975"/>
      <c r="V21" s="1975"/>
      <c r="W21" s="1975"/>
      <c r="X21" s="1988" t="s">
        <v>2093</v>
      </c>
      <c r="Y21" s="1989"/>
      <c r="Z21" s="1989"/>
      <c r="AA21" s="1990"/>
    </row>
    <row r="22" spans="1:27" ht="13.5" customHeight="1" x14ac:dyDescent="0.2">
      <c r="A22" s="87" t="s">
        <v>552</v>
      </c>
      <c r="B22" s="59"/>
      <c r="C22" s="59"/>
      <c r="D22" s="59"/>
      <c r="E22" s="59"/>
      <c r="F22" s="59"/>
      <c r="G22" s="59"/>
      <c r="H22" s="60"/>
      <c r="I22" s="2033" t="s">
        <v>1504</v>
      </c>
      <c r="J22" s="2034"/>
      <c r="K22" s="2034"/>
      <c r="L22" s="2034"/>
      <c r="M22" s="2034"/>
      <c r="N22" s="2034"/>
      <c r="O22" s="2034"/>
      <c r="P22" s="2034"/>
      <c r="Q22" s="2034"/>
      <c r="R22" s="2034"/>
      <c r="S22" s="2035"/>
      <c r="T22" s="85" t="s">
        <v>1596</v>
      </c>
      <c r="U22" s="51"/>
      <c r="V22" s="72"/>
      <c r="W22" s="51"/>
      <c r="X22" s="160" t="s">
        <v>1385</v>
      </c>
      <c r="Z22" s="45"/>
      <c r="AA22" s="46"/>
    </row>
    <row r="23" spans="1:27" ht="13.5" customHeight="1" x14ac:dyDescent="0.2">
      <c r="A23" s="2029" t="s">
        <v>2081</v>
      </c>
      <c r="B23" s="2030"/>
      <c r="C23" s="2030"/>
      <c r="D23" s="2030"/>
      <c r="E23" s="2030"/>
      <c r="F23" s="2030"/>
      <c r="G23" s="2030"/>
      <c r="H23" s="2031"/>
      <c r="T23" s="1969" t="s">
        <v>2094</v>
      </c>
      <c r="U23" s="1970"/>
      <c r="V23" s="1970"/>
      <c r="W23" s="1970"/>
      <c r="X23" s="1985">
        <v>43434</v>
      </c>
      <c r="Y23" s="1986"/>
      <c r="Z23" s="1986"/>
      <c r="AA23" s="1987"/>
    </row>
    <row r="24" spans="1:27" ht="14.1" customHeight="1" x14ac:dyDescent="0.2">
      <c r="A24" s="88" t="s">
        <v>698</v>
      </c>
      <c r="B24" s="49"/>
      <c r="C24" s="49"/>
      <c r="D24" s="49"/>
      <c r="E24" s="49"/>
      <c r="F24" s="49"/>
      <c r="G24" s="49"/>
      <c r="H24" s="61"/>
      <c r="J24" s="2071">
        <f>IF(B5="x",IF(AUDITCHECK!D29="AFR form Incomplete.","",IF(AUDITCHECK!D29="Deficit reduction plan is required.","School District must complete a deficit reduction plan in the 2018-2019 Budget",)),"")</f>
        <v>0</v>
      </c>
      <c r="K24" s="2071"/>
      <c r="L24" s="2071"/>
      <c r="M24" s="2071"/>
      <c r="N24" s="2071"/>
      <c r="O24" s="2071"/>
      <c r="P24" s="2071"/>
      <c r="Q24" s="2071"/>
      <c r="R24" s="2071"/>
      <c r="S24" s="2072"/>
      <c r="T24" s="105" t="s">
        <v>552</v>
      </c>
      <c r="U24" s="106"/>
      <c r="V24" s="106"/>
      <c r="W24" s="106"/>
      <c r="X24" s="107"/>
      <c r="Y24" s="107"/>
      <c r="Z24" s="107"/>
      <c r="AA24" s="108"/>
    </row>
    <row r="25" spans="1:27" ht="14.1" customHeight="1" x14ac:dyDescent="0.2">
      <c r="A25" s="2006">
        <v>62321</v>
      </c>
      <c r="B25" s="2007"/>
      <c r="C25" s="2007"/>
      <c r="D25" s="2007"/>
      <c r="E25" s="2007"/>
      <c r="F25" s="2007"/>
      <c r="G25" s="2007"/>
      <c r="H25" s="2008"/>
      <c r="I25" s="113"/>
      <c r="J25" s="2073"/>
      <c r="K25" s="2073"/>
      <c r="L25" s="2073"/>
      <c r="M25" s="2073"/>
      <c r="N25" s="2073"/>
      <c r="O25" s="2073"/>
      <c r="P25" s="2073"/>
      <c r="Q25" s="2073"/>
      <c r="R25" s="2073"/>
      <c r="S25" s="2074"/>
      <c r="T25" s="1966" t="s">
        <v>2095</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4" t="s">
        <v>1591</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9" t="s">
        <v>2082</v>
      </c>
      <c r="B38" s="2039"/>
      <c r="C38" s="2039"/>
      <c r="D38" s="2039"/>
      <c r="E38" s="2039"/>
      <c r="F38" s="2007"/>
      <c r="G38" s="2007"/>
      <c r="H38" s="2008"/>
      <c r="I38" s="2058"/>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2" t="s">
        <v>552</v>
      </c>
      <c r="B39" s="2063"/>
      <c r="C39" s="72"/>
      <c r="D39" s="69"/>
      <c r="E39" s="69"/>
      <c r="F39" s="79"/>
      <c r="G39" s="69"/>
      <c r="H39" s="56"/>
      <c r="I39" s="2062" t="s">
        <v>552</v>
      </c>
      <c r="J39" s="2063"/>
      <c r="K39" s="2063"/>
      <c r="L39" s="2063"/>
      <c r="M39" s="2063"/>
      <c r="N39" s="67"/>
      <c r="O39" s="72"/>
      <c r="P39" s="72"/>
      <c r="Q39" s="78"/>
      <c r="R39" s="72"/>
      <c r="S39" s="56"/>
      <c r="T39" s="72" t="s">
        <v>552</v>
      </c>
      <c r="U39" s="51"/>
      <c r="V39" s="72"/>
      <c r="W39" s="50"/>
      <c r="X39" s="78"/>
      <c r="Y39" s="45"/>
      <c r="Z39" s="45"/>
      <c r="AA39" s="46"/>
    </row>
    <row r="40" spans="1:27" ht="13.5" customHeight="1" x14ac:dyDescent="0.2">
      <c r="A40" s="2065" t="s">
        <v>2083</v>
      </c>
      <c r="B40" s="2066"/>
      <c r="C40" s="2067"/>
      <c r="D40" s="2067"/>
      <c r="E40" s="2067"/>
      <c r="F40" s="2068"/>
      <c r="G40" s="2068"/>
      <c r="H40" s="2069"/>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5" t="s">
        <v>2084</v>
      </c>
      <c r="B42" s="2056"/>
      <c r="C42" s="2057"/>
      <c r="D42" s="2070" t="s">
        <v>2085</v>
      </c>
      <c r="E42" s="2056"/>
      <c r="F42" s="2056"/>
      <c r="G42" s="2056"/>
      <c r="H42" s="2057"/>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2" sqref="F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8" t="s">
        <v>1905</v>
      </c>
      <c r="B2" s="1549" t="s">
        <v>2037</v>
      </c>
      <c r="C2" s="715" t="s">
        <v>1910</v>
      </c>
      <c r="D2" s="715" t="s">
        <v>1911</v>
      </c>
      <c r="E2" s="715" t="s">
        <v>1912</v>
      </c>
      <c r="F2" s="715" t="s">
        <v>1913</v>
      </c>
    </row>
    <row r="3" spans="1:6" ht="12" customHeight="1" x14ac:dyDescent="0.2">
      <c r="A3" s="2209"/>
      <c r="B3" s="1546"/>
      <c r="C3" s="1547"/>
      <c r="D3" s="1548" t="s">
        <v>274</v>
      </c>
      <c r="E3" s="1547"/>
      <c r="F3" s="1548" t="s">
        <v>275</v>
      </c>
    </row>
    <row r="4" spans="1:6" ht="13.7" customHeight="1" x14ac:dyDescent="0.2">
      <c r="A4" s="716" t="s">
        <v>1217</v>
      </c>
      <c r="B4" s="1770">
        <f>'Revenues 9-14'!C5</f>
        <v>1470944</v>
      </c>
      <c r="C4" s="1545"/>
      <c r="D4" s="1773">
        <f>B4-C4</f>
        <v>1470944</v>
      </c>
      <c r="E4" s="1545">
        <v>1541552</v>
      </c>
      <c r="F4" s="1773">
        <f>E4-C4</f>
        <v>1541552</v>
      </c>
    </row>
    <row r="5" spans="1:6" ht="13.7" customHeight="1" x14ac:dyDescent="0.2">
      <c r="A5" s="716" t="s">
        <v>925</v>
      </c>
      <c r="B5" s="1771">
        <f>'Revenues 9-14'!D5</f>
        <v>490317</v>
      </c>
      <c r="C5" s="585"/>
      <c r="D5" s="1774">
        <f t="shared" ref="D5:D18" si="0">B5-C5</f>
        <v>490317</v>
      </c>
      <c r="E5" s="585">
        <v>513851</v>
      </c>
      <c r="F5" s="1774">
        <f>E5-C5</f>
        <v>513851</v>
      </c>
    </row>
    <row r="6" spans="1:6" ht="13.7" customHeight="1" x14ac:dyDescent="0.2">
      <c r="A6" s="716" t="s">
        <v>431</v>
      </c>
      <c r="B6" s="1771">
        <f>'Revenues 9-14'!E5</f>
        <v>0</v>
      </c>
      <c r="C6" s="585"/>
      <c r="D6" s="1774">
        <f t="shared" si="0"/>
        <v>0</v>
      </c>
      <c r="E6" s="585">
        <v>0</v>
      </c>
      <c r="F6" s="1774">
        <f t="shared" ref="F6:F18" si="1">E6-C6</f>
        <v>0</v>
      </c>
    </row>
    <row r="7" spans="1:6" ht="13.7" customHeight="1" x14ac:dyDescent="0.2">
      <c r="A7" s="716" t="s">
        <v>157</v>
      </c>
      <c r="B7" s="1771">
        <f>'Revenues 9-14'!F5</f>
        <v>168109</v>
      </c>
      <c r="C7" s="585"/>
      <c r="D7" s="1774">
        <f t="shared" si="0"/>
        <v>168109</v>
      </c>
      <c r="E7" s="585">
        <v>176177</v>
      </c>
      <c r="F7" s="1774">
        <f t="shared" si="1"/>
        <v>176177</v>
      </c>
    </row>
    <row r="8" spans="1:6" ht="13.7" customHeight="1" x14ac:dyDescent="0.2">
      <c r="A8" s="716" t="s">
        <v>1241</v>
      </c>
      <c r="B8" s="1771">
        <f>'Revenues 9-14'!G5</f>
        <v>14122</v>
      </c>
      <c r="C8" s="585"/>
      <c r="D8" s="1774">
        <f t="shared" si="0"/>
        <v>14122</v>
      </c>
      <c r="E8" s="585">
        <v>0</v>
      </c>
      <c r="F8" s="1774">
        <f t="shared" si="1"/>
        <v>0</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70046</v>
      </c>
      <c r="C10" s="585"/>
      <c r="D10" s="1774">
        <f t="shared" si="0"/>
        <v>70046</v>
      </c>
      <c r="E10" s="585">
        <v>73407</v>
      </c>
      <c r="F10" s="1774">
        <f t="shared" si="1"/>
        <v>73407</v>
      </c>
    </row>
    <row r="11" spans="1:6" x14ac:dyDescent="0.2">
      <c r="A11" s="716" t="s">
        <v>429</v>
      </c>
      <c r="B11" s="1771">
        <f>'Revenues 9-14'!J5</f>
        <v>381049</v>
      </c>
      <c r="C11" s="585"/>
      <c r="D11" s="1774">
        <f t="shared" si="0"/>
        <v>381049</v>
      </c>
      <c r="E11" s="585">
        <v>325003</v>
      </c>
      <c r="F11" s="1774">
        <f t="shared" si="1"/>
        <v>325003</v>
      </c>
    </row>
    <row r="12" spans="1:6" ht="13.7" customHeight="1" x14ac:dyDescent="0.2">
      <c r="A12" s="716" t="s">
        <v>159</v>
      </c>
      <c r="B12" s="1771">
        <f>'Revenues 9-14'!K5</f>
        <v>70046</v>
      </c>
      <c r="C12" s="585"/>
      <c r="D12" s="1774">
        <f t="shared" si="0"/>
        <v>70046</v>
      </c>
      <c r="E12" s="585">
        <v>73407</v>
      </c>
      <c r="F12" s="1774">
        <f t="shared" si="1"/>
        <v>73407</v>
      </c>
    </row>
    <row r="13" spans="1:6" ht="13.7" customHeight="1" x14ac:dyDescent="0.2">
      <c r="A13" s="716" t="s">
        <v>993</v>
      </c>
      <c r="B13" s="1771">
        <f>SUM('Revenues 9-14'!C6:D6)</f>
        <v>70046</v>
      </c>
      <c r="C13" s="585"/>
      <c r="D13" s="1774">
        <f t="shared" si="0"/>
        <v>70046</v>
      </c>
      <c r="E13" s="585">
        <v>73407</v>
      </c>
      <c r="F13" s="1774">
        <f t="shared" si="1"/>
        <v>73407</v>
      </c>
    </row>
    <row r="14" spans="1:6" ht="13.7" customHeight="1" x14ac:dyDescent="0.2">
      <c r="A14" s="716" t="s">
        <v>430</v>
      </c>
      <c r="B14" s="1771">
        <f>SUM('Revenues 9-14'!C7:D7,'Revenues 9-14'!F7:H7)</f>
        <v>28019</v>
      </c>
      <c r="C14" s="585"/>
      <c r="D14" s="1774">
        <f t="shared" si="0"/>
        <v>28019</v>
      </c>
      <c r="E14" s="585">
        <v>29363</v>
      </c>
      <c r="F14" s="1774">
        <f t="shared" si="1"/>
        <v>29363</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42341</v>
      </c>
      <c r="C16" s="585"/>
      <c r="D16" s="1774">
        <f t="shared" si="0"/>
        <v>42341</v>
      </c>
      <c r="E16" s="585">
        <v>70001</v>
      </c>
      <c r="F16" s="1774">
        <f t="shared" si="1"/>
        <v>70001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2805039</v>
      </c>
      <c r="C19" s="1772">
        <f>SUM(C4:C18)</f>
        <v>0</v>
      </c>
      <c r="D19" s="1772">
        <f>SUM(D4:D18)</f>
        <v>2805039</v>
      </c>
      <c r="E19" s="1772">
        <f>SUM(E4:E18)</f>
        <v>2876168</v>
      </c>
      <c r="F19" s="1772">
        <f>SUM(F4:F18)</f>
        <v>2876168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9" sqref="A19:B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650</v>
      </c>
      <c r="B1" s="2215"/>
      <c r="C1" s="722"/>
    </row>
    <row r="2" spans="1:7" ht="33.75" x14ac:dyDescent="0.2">
      <c r="A2" s="2223" t="s">
        <v>1905</v>
      </c>
      <c r="B2" s="2224"/>
      <c r="C2" s="1908" t="s">
        <v>2038</v>
      </c>
      <c r="D2" s="724" t="s">
        <v>2045</v>
      </c>
      <c r="E2" s="724" t="s">
        <v>2046</v>
      </c>
      <c r="F2" s="1908" t="s">
        <v>2039</v>
      </c>
    </row>
    <row r="3" spans="1:7" ht="15.75" customHeight="1" x14ac:dyDescent="0.2">
      <c r="A3" s="2227" t="s">
        <v>1176</v>
      </c>
      <c r="B3" s="2228"/>
      <c r="C3" s="2216"/>
      <c r="D3" s="2217"/>
      <c r="E3" s="2217"/>
      <c r="F3" s="2218"/>
    </row>
    <row r="4" spans="1:7" ht="12.75" customHeight="1" thickBot="1" x14ac:dyDescent="0.25">
      <c r="A4" s="2225" t="s">
        <v>651</v>
      </c>
      <c r="B4" s="2226"/>
      <c r="C4" s="581"/>
      <c r="D4" s="581"/>
      <c r="E4" s="581"/>
      <c r="F4" s="1776">
        <f>SUM(C4+D4)-E4</f>
        <v>0</v>
      </c>
    </row>
    <row r="5" spans="1:7" ht="15.75" customHeight="1" thickTop="1" x14ac:dyDescent="0.2">
      <c r="A5" s="2210" t="s">
        <v>1172</v>
      </c>
      <c r="B5" s="2211"/>
      <c r="C5" s="2219"/>
      <c r="D5" s="2220"/>
      <c r="E5" s="2220"/>
      <c r="F5" s="222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2" t="s">
        <v>652</v>
      </c>
      <c r="B15" s="2213"/>
      <c r="C15" s="1776">
        <f>SUM(C6:C14)</f>
        <v>0</v>
      </c>
      <c r="D15" s="1776">
        <f>SUM(D6:D14)</f>
        <v>0</v>
      </c>
      <c r="E15" s="1776">
        <f>SUM(E6:E14)</f>
        <v>0</v>
      </c>
      <c r="F15" s="1776">
        <f>SUM(F6:F14)</f>
        <v>0</v>
      </c>
      <c r="G15" s="552"/>
    </row>
    <row r="16" spans="1:7" s="202" customFormat="1" ht="15.75" customHeight="1" thickTop="1" x14ac:dyDescent="0.2">
      <c r="A16" s="2222" t="s">
        <v>1173</v>
      </c>
      <c r="B16" s="2211"/>
      <c r="C16" s="2219"/>
      <c r="D16" s="2220"/>
      <c r="E16" s="2220"/>
      <c r="F16" s="2221"/>
    </row>
    <row r="17" spans="1:11" ht="12.75" customHeight="1" thickBot="1" x14ac:dyDescent="0.25">
      <c r="A17" s="2235" t="s">
        <v>66</v>
      </c>
      <c r="B17" s="2236"/>
      <c r="C17" s="727"/>
      <c r="D17" s="585"/>
      <c r="E17" s="727"/>
      <c r="F17" s="1776">
        <f>SUM(C17+D17)-E17</f>
        <v>0</v>
      </c>
    </row>
    <row r="18" spans="1:11" ht="12.75" customHeight="1" thickTop="1" thickBot="1" x14ac:dyDescent="0.25">
      <c r="A18" s="2235" t="s">
        <v>6</v>
      </c>
      <c r="B18" s="2236"/>
      <c r="C18" s="727"/>
      <c r="D18" s="585"/>
      <c r="E18" s="727"/>
      <c r="F18" s="1776">
        <f>SUM(C18+D18)-E18</f>
        <v>0</v>
      </c>
    </row>
    <row r="19" spans="1:11" ht="12.75" customHeight="1" thickTop="1" thickBot="1" x14ac:dyDescent="0.25">
      <c r="A19" s="2235" t="s">
        <v>406</v>
      </c>
      <c r="B19" s="2236"/>
      <c r="C19" s="727"/>
      <c r="D19" s="585"/>
      <c r="E19" s="727"/>
      <c r="F19" s="1776">
        <f>SUM(C19+D19)-E19</f>
        <v>0</v>
      </c>
    </row>
    <row r="20" spans="1:11" ht="12.75" customHeight="1" thickTop="1" thickBot="1" x14ac:dyDescent="0.25">
      <c r="A20" s="2235" t="s">
        <v>468</v>
      </c>
      <c r="B20" s="2236"/>
      <c r="C20" s="727"/>
      <c r="D20" s="585"/>
      <c r="E20" s="727"/>
      <c r="F20" s="1776">
        <f>SUM(C20+D20)-E20</f>
        <v>0</v>
      </c>
    </row>
    <row r="21" spans="1:11" ht="14.25" thickTop="1" thickBot="1" x14ac:dyDescent="0.25">
      <c r="A21" s="2212" t="s">
        <v>653</v>
      </c>
      <c r="B21" s="2213"/>
      <c r="C21" s="1776">
        <f>SUM(C17:C20)</f>
        <v>0</v>
      </c>
      <c r="D21" s="1776">
        <f>SUM(D17:D20)</f>
        <v>0</v>
      </c>
      <c r="E21" s="1776">
        <f>SUM(E17:E20)</f>
        <v>0</v>
      </c>
      <c r="F21" s="1776">
        <f>SUM(F17:F20)</f>
        <v>0</v>
      </c>
      <c r="G21" s="552"/>
    </row>
    <row r="22" spans="1:11" ht="15.75" customHeight="1" thickTop="1" x14ac:dyDescent="0.2">
      <c r="A22" s="2237" t="s">
        <v>1174</v>
      </c>
      <c r="B22" s="2211"/>
      <c r="C22" s="2219"/>
      <c r="D22" s="2220"/>
      <c r="E22" s="2220"/>
      <c r="F22" s="2221"/>
    </row>
    <row r="23" spans="1:11" ht="13.5" thickBot="1" x14ac:dyDescent="0.25">
      <c r="A23" s="2225" t="s">
        <v>654</v>
      </c>
      <c r="B23" s="2226"/>
      <c r="C23" s="581"/>
      <c r="D23" s="581"/>
      <c r="E23" s="581"/>
      <c r="F23" s="1776">
        <f>SUM(C23+D23)-E23</f>
        <v>0</v>
      </c>
      <c r="G23" s="552"/>
    </row>
    <row r="24" spans="1:11" ht="15.75" customHeight="1" thickTop="1" x14ac:dyDescent="0.2">
      <c r="A24" s="2237" t="s">
        <v>1175</v>
      </c>
      <c r="B24" s="2211"/>
      <c r="C24" s="2219"/>
      <c r="D24" s="2220"/>
      <c r="E24" s="2220"/>
      <c r="F24" s="2221"/>
    </row>
    <row r="25" spans="1:11" ht="13.5" thickBot="1" x14ac:dyDescent="0.25">
      <c r="A25" s="2225" t="s">
        <v>655</v>
      </c>
      <c r="B25" s="2226"/>
      <c r="C25" s="581"/>
      <c r="D25" s="581"/>
      <c r="E25" s="581"/>
      <c r="F25" s="1776">
        <f>SUM(C25+D25)-E25</f>
        <v>0</v>
      </c>
      <c r="G25" s="552"/>
    </row>
    <row r="26" spans="1:11" ht="15.75" customHeight="1" thickTop="1" x14ac:dyDescent="0.2">
      <c r="A26" s="2210" t="s">
        <v>678</v>
      </c>
      <c r="B26" s="2211"/>
      <c r="C26" s="728"/>
      <c r="D26" s="728"/>
      <c r="E26" s="728"/>
      <c r="F26" s="729"/>
    </row>
    <row r="27" spans="1:11" ht="13.5" thickBot="1" x14ac:dyDescent="0.25">
      <c r="A27" s="2212" t="s">
        <v>1130</v>
      </c>
      <c r="B27" s="2213"/>
      <c r="C27" s="585"/>
      <c r="D27" s="585"/>
      <c r="E27" s="585"/>
      <c r="F27" s="1776">
        <f>SUM(C27+D27)-E27</f>
        <v>0</v>
      </c>
      <c r="G27" s="552"/>
    </row>
    <row r="28" spans="1:11" ht="7.5" customHeight="1" thickTop="1" x14ac:dyDescent="0.2">
      <c r="A28" s="594"/>
    </row>
    <row r="29" spans="1:11" ht="23.25" customHeight="1" x14ac:dyDescent="0.2">
      <c r="A29" s="2238" t="s">
        <v>603</v>
      </c>
      <c r="B29" s="2215"/>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9" t="s">
        <v>605</v>
      </c>
      <c r="C52" s="2230"/>
      <c r="D52" s="2230"/>
      <c r="E52" s="750" t="s">
        <v>900</v>
      </c>
      <c r="F52" s="2231"/>
      <c r="G52" s="2232"/>
      <c r="H52" s="737"/>
      <c r="I52" s="737"/>
      <c r="J52" s="747"/>
    </row>
    <row r="53" spans="1:11" ht="11.25" customHeight="1" x14ac:dyDescent="0.2">
      <c r="A53" s="751" t="s">
        <v>969</v>
      </c>
      <c r="B53" s="752" t="s">
        <v>1008</v>
      </c>
      <c r="C53" s="747"/>
      <c r="D53" s="738"/>
      <c r="E53" s="750" t="s">
        <v>518</v>
      </c>
      <c r="F53" s="2233"/>
      <c r="G53" s="2234"/>
      <c r="H53" s="737"/>
      <c r="I53" s="737"/>
      <c r="J53" s="747"/>
    </row>
    <row r="54" spans="1:11" ht="11.25" customHeight="1" x14ac:dyDescent="0.2">
      <c r="A54" s="753" t="s">
        <v>970</v>
      </c>
      <c r="B54" s="748" t="s">
        <v>1009</v>
      </c>
      <c r="C54" s="747"/>
      <c r="D54" s="738"/>
      <c r="E54" s="750" t="s">
        <v>519</v>
      </c>
      <c r="F54" s="2233"/>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25"/>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I15" sqref="I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911</v>
      </c>
      <c r="B1" s="2264"/>
      <c r="C1" s="2264"/>
      <c r="D1" s="2264"/>
      <c r="E1" s="2264"/>
      <c r="F1" s="2264"/>
      <c r="G1" s="2265"/>
      <c r="H1" s="1551"/>
      <c r="I1" s="761"/>
      <c r="J1" s="433"/>
    </row>
    <row r="2" spans="1:11" ht="26.25" x14ac:dyDescent="0.2">
      <c r="A2" s="2242" t="s">
        <v>1776</v>
      </c>
      <c r="B2" s="2243"/>
      <c r="C2" s="2243"/>
      <c r="D2" s="2243"/>
      <c r="E2" s="2244"/>
      <c r="F2" s="762" t="s">
        <v>960</v>
      </c>
      <c r="G2" s="763" t="s">
        <v>1773</v>
      </c>
      <c r="H2" s="763" t="s">
        <v>430</v>
      </c>
      <c r="I2" s="763" t="s">
        <v>1220</v>
      </c>
      <c r="J2" s="763" t="s">
        <v>1919</v>
      </c>
      <c r="K2" s="763" t="s">
        <v>140</v>
      </c>
    </row>
    <row r="3" spans="1:11" x14ac:dyDescent="0.2">
      <c r="A3" s="2245" t="s">
        <v>1698</v>
      </c>
      <c r="B3" s="2246"/>
      <c r="C3" s="2246"/>
      <c r="D3" s="2246"/>
      <c r="E3" s="2247"/>
      <c r="F3" s="764"/>
      <c r="G3" s="765"/>
      <c r="H3" s="765">
        <v>0</v>
      </c>
      <c r="I3" s="765"/>
      <c r="J3" s="766"/>
      <c r="K3" s="766">
        <v>0</v>
      </c>
    </row>
    <row r="4" spans="1:11" x14ac:dyDescent="0.2">
      <c r="A4" s="2248" t="s">
        <v>387</v>
      </c>
      <c r="B4" s="2249"/>
      <c r="C4" s="2249"/>
      <c r="D4" s="2249"/>
      <c r="E4" s="2230"/>
      <c r="F4" s="767"/>
      <c r="G4" s="768"/>
      <c r="H4" s="769"/>
      <c r="I4" s="768"/>
      <c r="J4" s="770"/>
      <c r="K4" s="770"/>
    </row>
    <row r="5" spans="1:11" x14ac:dyDescent="0.2">
      <c r="A5" s="2266" t="s">
        <v>1129</v>
      </c>
      <c r="B5" s="2239"/>
      <c r="C5" s="2239"/>
      <c r="D5" s="2239"/>
      <c r="E5" s="2267"/>
      <c r="F5" s="771" t="s">
        <v>903</v>
      </c>
      <c r="G5" s="772"/>
      <c r="H5" s="765">
        <v>28019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4450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15942</v>
      </c>
    </row>
    <row r="10" spans="1:11" x14ac:dyDescent="0.2">
      <c r="A10" s="2266" t="s">
        <v>1920</v>
      </c>
      <c r="B10" s="2239"/>
      <c r="C10" s="2239"/>
      <c r="D10" s="2239"/>
      <c r="E10" s="2268"/>
      <c r="F10" s="784" t="s">
        <v>917</v>
      </c>
      <c r="G10" s="783"/>
      <c r="H10" s="785"/>
      <c r="I10" s="765"/>
      <c r="J10" s="766"/>
      <c r="K10" s="766"/>
    </row>
    <row r="11" spans="1:11" x14ac:dyDescent="0.2">
      <c r="A11" s="2266" t="s">
        <v>162</v>
      </c>
      <c r="B11" s="2239"/>
      <c r="C11" s="2239"/>
      <c r="D11" s="2239"/>
      <c r="E11" s="2267"/>
      <c r="F11" s="771" t="s">
        <v>907</v>
      </c>
      <c r="G11" s="772"/>
      <c r="H11" s="765"/>
      <c r="I11" s="765"/>
      <c r="J11" s="766"/>
      <c r="K11" s="774"/>
    </row>
    <row r="12" spans="1:11" ht="13.5" thickBot="1" x14ac:dyDescent="0.25">
      <c r="A12" s="2256" t="s">
        <v>961</v>
      </c>
      <c r="B12" s="2257"/>
      <c r="C12" s="2257"/>
      <c r="D12" s="2257"/>
      <c r="E12" s="2258"/>
      <c r="F12" s="1778"/>
      <c r="G12" s="1779">
        <f>SUM(G5:G11)</f>
        <v>0</v>
      </c>
      <c r="H12" s="1779">
        <f>SUM(H5:H11)</f>
        <v>28019</v>
      </c>
      <c r="I12" s="1779">
        <f>SUM(I5:I11)</f>
        <v>0</v>
      </c>
      <c r="J12" s="1779">
        <f>SUM(J5:J11)</f>
        <v>0</v>
      </c>
      <c r="K12" s="1779">
        <f>SUM(K5:K11)</f>
        <v>20392</v>
      </c>
    </row>
    <row r="13" spans="1:11" ht="13.5" thickTop="1" x14ac:dyDescent="0.2">
      <c r="A13" s="2250" t="s">
        <v>388</v>
      </c>
      <c r="B13" s="2251"/>
      <c r="C13" s="2251"/>
      <c r="D13" s="2251"/>
      <c r="E13" s="2252"/>
      <c r="F13" s="786"/>
      <c r="G13" s="787"/>
      <c r="H13" s="788"/>
      <c r="I13" s="789"/>
      <c r="J13" s="789"/>
      <c r="K13" s="789"/>
    </row>
    <row r="14" spans="1:11" x14ac:dyDescent="0.2">
      <c r="A14" s="2272" t="s">
        <v>476</v>
      </c>
      <c r="B14" s="2272"/>
      <c r="C14" s="2272"/>
      <c r="D14" s="2272"/>
      <c r="E14" s="2273"/>
      <c r="F14" s="790" t="s">
        <v>909</v>
      </c>
      <c r="G14" s="783"/>
      <c r="H14" s="765">
        <v>28019</v>
      </c>
      <c r="I14" s="772"/>
      <c r="J14" s="774"/>
      <c r="K14" s="766">
        <v>20392</v>
      </c>
    </row>
    <row r="15" spans="1:11" x14ac:dyDescent="0.2">
      <c r="A15" s="2239" t="s">
        <v>4</v>
      </c>
      <c r="B15" s="2239"/>
      <c r="C15" s="2239"/>
      <c r="D15" s="2239"/>
      <c r="E15" s="2267"/>
      <c r="F15" s="790" t="s">
        <v>910</v>
      </c>
      <c r="G15" s="772"/>
      <c r="H15" s="765"/>
      <c r="I15" s="765"/>
      <c r="J15" s="766"/>
      <c r="K15" s="766"/>
    </row>
    <row r="16" spans="1:11" x14ac:dyDescent="0.2">
      <c r="A16" s="2239" t="s">
        <v>316</v>
      </c>
      <c r="B16" s="2239"/>
      <c r="C16" s="2239"/>
      <c r="D16" s="2239"/>
      <c r="E16" s="2267"/>
      <c r="F16" s="790" t="s">
        <v>980</v>
      </c>
      <c r="G16" s="773"/>
      <c r="H16" s="768"/>
      <c r="I16" s="768"/>
      <c r="J16" s="770"/>
      <c r="K16" s="770"/>
    </row>
    <row r="17" spans="1:11" x14ac:dyDescent="0.2">
      <c r="A17" s="2261" t="s">
        <v>992</v>
      </c>
      <c r="B17" s="2261"/>
      <c r="C17" s="2261"/>
      <c r="D17" s="2261"/>
      <c r="E17" s="2262"/>
      <c r="F17" s="791"/>
      <c r="G17" s="792"/>
      <c r="H17" s="793"/>
      <c r="I17" s="793"/>
      <c r="J17" s="794"/>
      <c r="K17" s="795"/>
    </row>
    <row r="18" spans="1:11" x14ac:dyDescent="0.2">
      <c r="A18" s="2253" t="s">
        <v>386</v>
      </c>
      <c r="B18" s="2254"/>
      <c r="C18" s="2254"/>
      <c r="D18" s="2254"/>
      <c r="E18" s="2255"/>
      <c r="F18" s="790" t="s">
        <v>989</v>
      </c>
      <c r="G18" s="783"/>
      <c r="H18" s="783"/>
      <c r="I18" s="783"/>
      <c r="J18" s="766"/>
      <c r="K18" s="796"/>
    </row>
    <row r="19" spans="1:11" ht="21.75" customHeight="1" x14ac:dyDescent="0.2">
      <c r="A19" s="2274" t="s">
        <v>1916</v>
      </c>
      <c r="B19" s="2274"/>
      <c r="C19" s="2274"/>
      <c r="D19" s="2274"/>
      <c r="E19" s="2275"/>
      <c r="F19" s="790" t="s">
        <v>990</v>
      </c>
      <c r="G19" s="783"/>
      <c r="H19" s="783"/>
      <c r="I19" s="783"/>
      <c r="J19" s="766"/>
      <c r="K19" s="796"/>
    </row>
    <row r="20" spans="1:11" x14ac:dyDescent="0.2">
      <c r="A20" s="2253" t="s">
        <v>1921</v>
      </c>
      <c r="B20" s="2254"/>
      <c r="C20" s="2254"/>
      <c r="D20" s="2254"/>
      <c r="E20" s="2255"/>
      <c r="F20" s="790" t="s">
        <v>991</v>
      </c>
      <c r="G20" s="783"/>
      <c r="H20" s="783"/>
      <c r="I20" s="783"/>
      <c r="J20" s="766"/>
      <c r="K20" s="796"/>
    </row>
    <row r="21" spans="1:11" ht="13.5" thickBot="1" x14ac:dyDescent="0.25">
      <c r="A21" s="2259" t="s">
        <v>659</v>
      </c>
      <c r="B21" s="2259"/>
      <c r="C21" s="2259"/>
      <c r="D21" s="2259"/>
      <c r="E21" s="2259"/>
      <c r="F21" s="1780"/>
      <c r="G21" s="793"/>
      <c r="H21" s="797"/>
      <c r="I21" s="797"/>
      <c r="J21" s="1781">
        <f>SUM(J18:J20)</f>
        <v>0</v>
      </c>
      <c r="K21" s="794"/>
    </row>
    <row r="22" spans="1:11" ht="13.5" thickTop="1" x14ac:dyDescent="0.2">
      <c r="A22" s="2239" t="s">
        <v>1922</v>
      </c>
      <c r="B22" s="2239"/>
      <c r="C22" s="2239"/>
      <c r="D22" s="2239"/>
      <c r="E22" s="2267"/>
      <c r="F22" s="790" t="s">
        <v>917</v>
      </c>
      <c r="G22" s="783"/>
      <c r="H22" s="765"/>
      <c r="I22" s="765"/>
      <c r="J22" s="798"/>
      <c r="K22" s="766"/>
    </row>
    <row r="23" spans="1:11" ht="13.5" thickBot="1" x14ac:dyDescent="0.25">
      <c r="A23" s="2260" t="s">
        <v>962</v>
      </c>
      <c r="B23" s="2259"/>
      <c r="C23" s="2259"/>
      <c r="D23" s="2259"/>
      <c r="E23" s="2259"/>
      <c r="F23" s="1782"/>
      <c r="G23" s="1779">
        <f>SUM(G14:G16,G21,G22)</f>
        <v>0</v>
      </c>
      <c r="H23" s="1779">
        <f>SUM(H14:H16,H21,H22)</f>
        <v>28019</v>
      </c>
      <c r="I23" s="1779">
        <f>SUM(I14:I16,I21,I22)</f>
        <v>0</v>
      </c>
      <c r="J23" s="1779">
        <f>SUM(J14:J16,J21,J22)</f>
        <v>0</v>
      </c>
      <c r="K23" s="1779">
        <f>SUM(K14:K16,K21,K22)</f>
        <v>20392</v>
      </c>
    </row>
    <row r="24" spans="1:11" ht="14.25" thickTop="1" thickBot="1" x14ac:dyDescent="0.25">
      <c r="A24" s="2260" t="s">
        <v>2026</v>
      </c>
      <c r="B24" s="2259"/>
      <c r="C24" s="2259"/>
      <c r="D24" s="2259"/>
      <c r="E24" s="2259"/>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9"/>
      <c r="I31" s="2270"/>
      <c r="J31" s="2270"/>
      <c r="K31" s="2270"/>
    </row>
    <row r="32" spans="1:11" x14ac:dyDescent="0.2">
      <c r="A32" s="810"/>
      <c r="B32" s="237"/>
      <c r="C32" s="237"/>
      <c r="D32" s="237"/>
      <c r="E32" s="806"/>
      <c r="F32" s="812" t="s">
        <v>561</v>
      </c>
      <c r="G32" s="765"/>
      <c r="H32" s="2271"/>
      <c r="I32" s="2270"/>
      <c r="J32" s="2270"/>
      <c r="K32" s="2270"/>
    </row>
    <row r="33" spans="1:11" ht="1.5" customHeight="1" x14ac:dyDescent="0.2">
      <c r="A33" s="813" t="s">
        <v>1231</v>
      </c>
      <c r="B33" s="364"/>
      <c r="C33" s="364"/>
      <c r="D33" s="364"/>
      <c r="E33" s="364"/>
      <c r="F33" s="364"/>
      <c r="G33" s="814"/>
      <c r="H33" s="2271"/>
      <c r="I33" s="2270"/>
      <c r="J33" s="2270"/>
      <c r="K33" s="227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40"/>
      <c r="C41" s="2240"/>
      <c r="D41" s="2240"/>
      <c r="E41" s="2240"/>
      <c r="F41" s="224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2035</v>
      </c>
      <c r="B1" s="2279"/>
      <c r="C1" s="2280"/>
      <c r="D1" s="827"/>
      <c r="E1" s="828"/>
      <c r="F1" s="828"/>
      <c r="G1" s="829"/>
      <c r="H1" s="830"/>
      <c r="I1" s="831"/>
      <c r="J1" s="2276"/>
      <c r="K1" s="2277"/>
      <c r="L1" s="227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704470</v>
      </c>
      <c r="D5" s="842"/>
      <c r="E5" s="842"/>
      <c r="F5" s="1781">
        <f>(C5+D5)-E5</f>
        <v>704470</v>
      </c>
      <c r="G5" s="838"/>
      <c r="H5" s="843"/>
      <c r="I5" s="843"/>
      <c r="J5" s="843"/>
      <c r="K5" s="794"/>
      <c r="L5" s="1790">
        <f>F5-K5</f>
        <v>704470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57559</v>
      </c>
      <c r="D8" s="845"/>
      <c r="E8" s="845"/>
      <c r="F8" s="1781">
        <f>(C8+D8)-E8</f>
        <v>57559</v>
      </c>
      <c r="G8" s="844">
        <v>50</v>
      </c>
      <c r="H8" s="766">
        <v>23024</v>
      </c>
      <c r="I8" s="766">
        <v>2878</v>
      </c>
      <c r="J8" s="766"/>
      <c r="K8" s="1790">
        <f>(H8+I8)-J8</f>
        <v>25902</v>
      </c>
      <c r="L8" s="1790">
        <f>F8-K8</f>
        <v>31657</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567218</v>
      </c>
      <c r="D12" s="845">
        <v>105373</v>
      </c>
      <c r="E12" s="845">
        <v>50459</v>
      </c>
      <c r="F12" s="1781">
        <f>(C12+D12)-E12</f>
        <v>622132</v>
      </c>
      <c r="G12" s="844">
        <v>10</v>
      </c>
      <c r="H12" s="766">
        <v>246716</v>
      </c>
      <c r="I12" s="766">
        <v>64570</v>
      </c>
      <c r="J12" s="766">
        <v>50459</v>
      </c>
      <c r="K12" s="1790">
        <f>(H12+I12)-J12</f>
        <v>260827</v>
      </c>
      <c r="L12" s="1790">
        <f>F12-K12</f>
        <v>361305</v>
      </c>
    </row>
    <row r="13" spans="1:14" ht="14.25" thickTop="1" thickBot="1" x14ac:dyDescent="0.25">
      <c r="A13" s="849" t="s">
        <v>1184</v>
      </c>
      <c r="B13" s="841">
        <v>252</v>
      </c>
      <c r="C13" s="845">
        <v>328280</v>
      </c>
      <c r="D13" s="845"/>
      <c r="E13" s="845"/>
      <c r="F13" s="1781">
        <f>(C13+D13)-E13</f>
        <v>328280</v>
      </c>
      <c r="G13" s="844">
        <v>5</v>
      </c>
      <c r="H13" s="766">
        <v>166557</v>
      </c>
      <c r="I13" s="766">
        <v>65657</v>
      </c>
      <c r="J13" s="766"/>
      <c r="K13" s="1790">
        <f>(H13+I13)-J13</f>
        <v>232214</v>
      </c>
      <c r="L13" s="1790">
        <f>F13-K13</f>
        <v>96066</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25429</v>
      </c>
      <c r="D15" s="845">
        <v>20992</v>
      </c>
      <c r="E15" s="845"/>
      <c r="F15" s="1781">
        <f>(C15+D15)-E15</f>
        <v>46421</v>
      </c>
      <c r="G15" s="850" t="s">
        <v>917</v>
      </c>
      <c r="H15" s="782"/>
      <c r="I15" s="782"/>
      <c r="J15" s="782"/>
      <c r="K15" s="782"/>
      <c r="L15" s="1790">
        <f>F15-K15</f>
        <v>46421</v>
      </c>
    </row>
    <row r="16" spans="1:14" ht="15" customHeight="1" thickTop="1" thickBot="1" x14ac:dyDescent="0.25">
      <c r="A16" s="1786" t="s">
        <v>664</v>
      </c>
      <c r="B16" s="1787">
        <v>200</v>
      </c>
      <c r="C16" s="1781">
        <f>SUM(C3,C5:C6,C8:C10,C12:C15)</f>
        <v>1682956</v>
      </c>
      <c r="D16" s="1781">
        <f>SUM(D3,D5:D6,D8:D10,D12:D15)</f>
        <v>126365</v>
      </c>
      <c r="E16" s="1781">
        <f>SUM(E3,E5:E6,E8:E10,E12:E15)</f>
        <v>50459</v>
      </c>
      <c r="F16" s="1781">
        <f>SUM(F3,F5:F6,F8:F10,F12:F15)</f>
        <v>1758862</v>
      </c>
      <c r="G16" s="844"/>
      <c r="H16" s="1781">
        <f>SUM(H3,H6,H8:H10,H12:H14,)</f>
        <v>436297</v>
      </c>
      <c r="I16" s="1781">
        <f>SUM(I3,I6,I8:I10,I12:I14,)</f>
        <v>133105</v>
      </c>
      <c r="J16" s="1781">
        <f>SUM(J3,J6,J8:J10,J12:J14,)</f>
        <v>50459</v>
      </c>
      <c r="K16" s="1781">
        <f>(H16+I16)-J16</f>
        <v>518943</v>
      </c>
      <c r="L16" s="1781">
        <f>F16-K16</f>
        <v>1239919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133105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statement&amp;"Arial,Regular"&amp;10.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1699</v>
      </c>
      <c r="B1" s="2285"/>
      <c r="C1" s="2285"/>
      <c r="D1" s="2285"/>
      <c r="E1" s="2285"/>
      <c r="F1" s="2286"/>
      <c r="G1" s="856"/>
    </row>
    <row r="2" spans="1:7" ht="15" customHeight="1" thickBot="1" x14ac:dyDescent="0.25">
      <c r="A2" s="2287" t="s">
        <v>498</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2945254</v>
      </c>
      <c r="G8" s="866"/>
    </row>
    <row r="9" spans="1:7" x14ac:dyDescent="0.2">
      <c r="A9" s="870" t="s">
        <v>480</v>
      </c>
      <c r="B9" s="871" t="s">
        <v>1989</v>
      </c>
      <c r="C9" s="872"/>
      <c r="D9" s="870" t="s">
        <v>522</v>
      </c>
      <c r="E9" s="869"/>
      <c r="F9" s="1934">
        <f>'Expenditures 15-22'!K151</f>
        <v>411518</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381773</v>
      </c>
      <c r="G11" s="873"/>
    </row>
    <row r="12" spans="1:7" x14ac:dyDescent="0.2">
      <c r="A12" s="870" t="s">
        <v>482</v>
      </c>
      <c r="B12" s="871" t="s">
        <v>1992</v>
      </c>
      <c r="C12" s="872"/>
      <c r="D12" s="870" t="s">
        <v>522</v>
      </c>
      <c r="E12" s="869"/>
      <c r="F12" s="1934">
        <f>'Expenditures 15-22'!K295</f>
        <v>103157</v>
      </c>
      <c r="G12" s="873"/>
    </row>
    <row r="13" spans="1:7" x14ac:dyDescent="0.2">
      <c r="A13" s="870" t="s">
        <v>108</v>
      </c>
      <c r="B13" s="871" t="s">
        <v>1993</v>
      </c>
      <c r="C13" s="872"/>
      <c r="D13" s="870" t="s">
        <v>522</v>
      </c>
      <c r="E13" s="869"/>
      <c r="F13" s="1934">
        <f>'Expenditures 15-22'!K342</f>
        <v>274981</v>
      </c>
      <c r="G13" s="874"/>
    </row>
    <row r="14" spans="1:7" ht="12" customHeight="1" thickBot="1" x14ac:dyDescent="0.25">
      <c r="A14" s="1791"/>
      <c r="B14" s="1792"/>
      <c r="C14" s="1793"/>
      <c r="D14" s="1794" t="s">
        <v>522</v>
      </c>
      <c r="E14" s="1795" t="s">
        <v>1015</v>
      </c>
      <c r="F14" s="1796">
        <f>SUM(F8:F13)</f>
        <v>4116683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33755</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297680</v>
      </c>
      <c r="G53" s="866"/>
    </row>
    <row r="54" spans="1:7" x14ac:dyDescent="0.2">
      <c r="A54" s="870" t="s">
        <v>479</v>
      </c>
      <c r="B54" s="870" t="s">
        <v>1552</v>
      </c>
      <c r="C54" s="890" t="s">
        <v>1039</v>
      </c>
      <c r="D54" s="886" t="s">
        <v>1157</v>
      </c>
      <c r="E54" s="869"/>
      <c r="F54" s="1938">
        <f>'Expenditures 15-22'!G114</f>
        <v>62342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100558</v>
      </c>
      <c r="G57" s="866"/>
    </row>
    <row r="58" spans="1:7" x14ac:dyDescent="0.2">
      <c r="A58" s="870" t="s">
        <v>480</v>
      </c>
      <c r="B58" s="870" t="s">
        <v>1995</v>
      </c>
      <c r="C58" s="887" t="s">
        <v>1039</v>
      </c>
      <c r="D58" s="886" t="s">
        <v>1157</v>
      </c>
      <c r="E58" s="869"/>
      <c r="F58" s="1940">
        <f>'Expenditures 15-22'!G151</f>
        <v>42167</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34933</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571435</v>
      </c>
      <c r="G76" s="866"/>
    </row>
    <row r="77" spans="1:8" s="894" customFormat="1" ht="12" customHeight="1" thickTop="1" thickBot="1" x14ac:dyDescent="0.25">
      <c r="A77" s="1800"/>
      <c r="B77" s="1797"/>
      <c r="C77" s="1793"/>
      <c r="D77" s="1798" t="s">
        <v>2012</v>
      </c>
      <c r="E77" s="1795"/>
      <c r="F77" s="1801">
        <f>(F14-F76)</f>
        <v>3545248</v>
      </c>
      <c r="G77" s="870"/>
    </row>
    <row r="78" spans="1:8" s="894" customFormat="1" ht="12" customHeight="1" thickTop="1" x14ac:dyDescent="0.2">
      <c r="A78" s="1802"/>
      <c r="B78" s="1797"/>
      <c r="C78" s="1793"/>
      <c r="D78" s="1798" t="s">
        <v>2059</v>
      </c>
      <c r="E78" s="1795"/>
      <c r="F78" s="899">
        <v>302.52</v>
      </c>
      <c r="G78" s="900"/>
      <c r="H78" s="870"/>
    </row>
    <row r="79" spans="1:8" s="894" customFormat="1" ht="12" customHeight="1" thickBot="1" x14ac:dyDescent="0.25">
      <c r="A79" s="1803"/>
      <c r="B79" s="1797"/>
      <c r="C79" s="1793"/>
      <c r="D79" s="1798" t="s">
        <v>2013</v>
      </c>
      <c r="E79" s="1795" t="s">
        <v>1015</v>
      </c>
      <c r="F79" s="1804">
        <f>IF(F78&gt;0,F77/F78," Complete Line 78")</f>
        <v>11719.053285733175</v>
      </c>
      <c r="G79" s="870"/>
    </row>
    <row r="80" spans="1:8" s="894" customFormat="1" ht="8.25" customHeight="1" thickTop="1" x14ac:dyDescent="0.2">
      <c r="A80" s="901"/>
      <c r="B80" s="870"/>
      <c r="C80" s="872"/>
      <c r="D80" s="902"/>
      <c r="E80" s="869"/>
      <c r="F80" s="903"/>
      <c r="G80" s="870"/>
    </row>
    <row r="81" spans="1:7" s="894" customFormat="1" ht="12" thickBot="1" x14ac:dyDescent="0.25">
      <c r="A81" s="2281" t="s">
        <v>1167</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15695</v>
      </c>
      <c r="G94" s="913"/>
    </row>
    <row r="95" spans="1:7" x14ac:dyDescent="0.2">
      <c r="A95" s="909" t="s">
        <v>142</v>
      </c>
      <c r="B95" s="909" t="s">
        <v>177</v>
      </c>
      <c r="C95" s="911">
        <v>1700</v>
      </c>
      <c r="D95" s="919" t="str">
        <f>'Revenues 9-14'!A82</f>
        <v>Total District/School Activity Income</v>
      </c>
      <c r="E95" s="907"/>
      <c r="F95" s="1810">
        <f>SUM('Revenues 9-14'!C82,'Revenues 9-14'!D82)</f>
        <v>18546</v>
      </c>
      <c r="G95" s="913"/>
    </row>
    <row r="96" spans="1:7" x14ac:dyDescent="0.2">
      <c r="A96" s="909" t="s">
        <v>479</v>
      </c>
      <c r="B96" s="909" t="s">
        <v>178</v>
      </c>
      <c r="C96" s="911">
        <f>'Revenues 9-14'!B84</f>
        <v>1811</v>
      </c>
      <c r="D96" s="912" t="str">
        <f>'Revenues 9-14'!A84</f>
        <v>Rentals - Regular Textbooks</v>
      </c>
      <c r="E96" s="907"/>
      <c r="F96" s="1810">
        <f>'Revenues 9-14'!C84</f>
        <v>25880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767</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18262</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133565</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48557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57265</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497</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15942</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240739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34948</v>
      </c>
      <c r="G129" s="931"/>
    </row>
    <row r="130" spans="1:7" x14ac:dyDescent="0.2">
      <c r="A130" s="928" t="s">
        <v>689</v>
      </c>
      <c r="B130" s="928" t="s">
        <v>804</v>
      </c>
      <c r="C130" s="933">
        <v>4300</v>
      </c>
      <c r="D130" s="934" t="str">
        <f>'Revenues 9-14'!A211</f>
        <v>Total Title I</v>
      </c>
      <c r="E130" s="907"/>
      <c r="F130" s="1810">
        <f>SUM('Revenues 9-14'!C211,'Revenues 9-14'!D211,'Revenues 9-14'!F211,'Revenues 9-14'!G211)</f>
        <v>80008</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3084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3924</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20669</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v>99163</v>
      </c>
      <c r="G175" s="928"/>
    </row>
    <row r="176" spans="1:7" x14ac:dyDescent="0.2">
      <c r="A176" s="1943" t="s">
        <v>685</v>
      </c>
      <c r="B176" s="1944" t="s">
        <v>2058</v>
      </c>
      <c r="C176" s="1945">
        <v>3300</v>
      </c>
      <c r="D176" s="1946" t="s">
        <v>2062</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817511</v>
      </c>
    </row>
    <row r="179" spans="1:7" ht="12" customHeight="1" x14ac:dyDescent="0.2">
      <c r="A179" s="1791"/>
      <c r="B179" s="1805"/>
      <c r="C179" s="1806"/>
      <c r="D179" s="1807" t="s">
        <v>2015</v>
      </c>
      <c r="E179" s="1808"/>
      <c r="F179" s="1810">
        <f>'PCTC-OEPP 27-28'!F77-F178</f>
        <v>2727737</v>
      </c>
    </row>
    <row r="180" spans="1:7" ht="12" customHeight="1" x14ac:dyDescent="0.2">
      <c r="A180" s="1791"/>
      <c r="B180" s="1805"/>
      <c r="C180" s="1806"/>
      <c r="D180" s="1807" t="s">
        <v>1924</v>
      </c>
      <c r="E180" s="1808"/>
      <c r="F180" s="1810">
        <f>'Cap Outlay Deprec 26'!I18</f>
        <v>133105</v>
      </c>
    </row>
    <row r="181" spans="1:7" ht="12" customHeight="1" x14ac:dyDescent="0.2">
      <c r="A181" s="1791"/>
      <c r="B181" s="1805"/>
      <c r="C181" s="1806"/>
      <c r="D181" s="1807" t="s">
        <v>2016</v>
      </c>
      <c r="E181" s="1808"/>
      <c r="F181" s="1810">
        <f>F179+F180</f>
        <v>2860842</v>
      </c>
    </row>
    <row r="182" spans="1:7" ht="12" customHeight="1" x14ac:dyDescent="0.2">
      <c r="A182" s="1791"/>
      <c r="B182" s="1811"/>
      <c r="C182" s="1806"/>
      <c r="D182" s="1807" t="str">
        <f>D78</f>
        <v>9 Month ADA from District Average Daily Attendance/Prior General State Aid Inquiry 2017-2018</v>
      </c>
      <c r="E182" s="1808"/>
      <c r="F182" s="1812">
        <f>'PCTC-OEPP 27-28'!F78</f>
        <v>302.52</v>
      </c>
      <c r="G182" s="931"/>
    </row>
    <row r="183" spans="1:7" ht="12" customHeight="1" thickBot="1" x14ac:dyDescent="0.25">
      <c r="A183" s="1791"/>
      <c r="B183" s="1811"/>
      <c r="C183" s="1806"/>
      <c r="D183" s="1807" t="s">
        <v>2017</v>
      </c>
      <c r="E183" s="1808" t="s">
        <v>1626</v>
      </c>
      <c r="F183" s="1813">
        <f>F181/F182</f>
        <v>9456.7036890122981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25"/>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6"/>
  <sheetViews>
    <sheetView showGridLines="0" workbookViewId="0">
      <pane ySplit="16" topLeftCell="A17" activePane="bottomLeft" state="frozen"/>
      <selection pane="bottomLeft" activeCell="I8" sqref="I8"/>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9" ht="15" customHeight="1" x14ac:dyDescent="0.25">
      <c r="A1" s="1680" t="s">
        <v>1940</v>
      </c>
      <c r="B1" s="1681"/>
      <c r="C1" s="1681"/>
      <c r="D1" s="1681"/>
      <c r="E1" s="1681"/>
      <c r="F1" s="1681"/>
      <c r="G1" s="1964" t="s">
        <v>2126</v>
      </c>
    </row>
    <row r="2" spans="1:9" x14ac:dyDescent="0.25">
      <c r="A2" s="1678"/>
      <c r="B2" s="1678"/>
      <c r="C2" s="1679" t="s">
        <v>1036</v>
      </c>
      <c r="D2" s="1678"/>
      <c r="E2" s="1678"/>
      <c r="F2" s="1678"/>
      <c r="G2" s="1678"/>
    </row>
    <row r="3" spans="1:9" ht="5.25" customHeight="1" x14ac:dyDescent="0.25">
      <c r="A3" s="1566"/>
      <c r="B3" s="1566"/>
      <c r="C3" s="1566"/>
      <c r="D3" s="1566"/>
      <c r="E3" s="1566"/>
      <c r="F3" s="1566"/>
      <c r="G3" s="1566"/>
    </row>
    <row r="4" spans="1:9" ht="18.75" customHeight="1" x14ac:dyDescent="0.25">
      <c r="A4" s="2295" t="s">
        <v>1925</v>
      </c>
      <c r="B4" s="2296"/>
      <c r="C4" s="2296"/>
      <c r="D4" s="2296"/>
      <c r="E4" s="2296"/>
      <c r="F4" s="2296"/>
      <c r="G4" s="2297"/>
    </row>
    <row r="5" spans="1:9" x14ac:dyDescent="0.25">
      <c r="A5" s="2298"/>
      <c r="B5" s="2299"/>
      <c r="C5" s="2299"/>
      <c r="D5" s="2299"/>
      <c r="E5" s="2299"/>
      <c r="F5" s="2299"/>
      <c r="G5" s="2300"/>
    </row>
    <row r="6" spans="1:9" ht="18.75" x14ac:dyDescent="0.25">
      <c r="A6" s="1555" t="s">
        <v>1926</v>
      </c>
      <c r="B6" s="1556"/>
      <c r="C6" s="1556"/>
      <c r="D6" s="1556"/>
      <c r="E6" s="1556"/>
      <c r="F6" s="1556"/>
      <c r="G6" s="1557"/>
    </row>
    <row r="7" spans="1:9" ht="30.75" customHeight="1" x14ac:dyDescent="0.25">
      <c r="A7" s="2301" t="s">
        <v>2075</v>
      </c>
      <c r="B7" s="2302"/>
      <c r="C7" s="2302"/>
      <c r="D7" s="2302"/>
      <c r="E7" s="2302"/>
      <c r="F7" s="2302"/>
      <c r="G7" s="2303"/>
    </row>
    <row r="8" spans="1:9" ht="15.75" customHeight="1" x14ac:dyDescent="0.25">
      <c r="A8" s="2304" t="s">
        <v>2024</v>
      </c>
      <c r="B8" s="2305"/>
      <c r="C8" s="2305"/>
      <c r="D8" s="2305"/>
      <c r="E8" s="2305"/>
      <c r="F8" s="2305"/>
      <c r="G8" s="2306"/>
      <c r="I8" s="1965" t="s">
        <v>1231</v>
      </c>
    </row>
    <row r="9" spans="1:9" ht="35.25" customHeight="1" x14ac:dyDescent="0.25">
      <c r="A9" s="2301" t="s">
        <v>2023</v>
      </c>
      <c r="B9" s="2302"/>
      <c r="C9" s="2302"/>
      <c r="D9" s="2302"/>
      <c r="E9" s="2302"/>
      <c r="F9" s="2302"/>
      <c r="G9" s="2303"/>
    </row>
    <row r="10" spans="1:9" ht="15" customHeight="1" x14ac:dyDescent="0.25">
      <c r="A10" s="1558" t="s">
        <v>1927</v>
      </c>
      <c r="B10" s="1559"/>
      <c r="C10" s="1559"/>
      <c r="D10" s="1559"/>
      <c r="E10" s="1559"/>
      <c r="F10" s="1559"/>
      <c r="G10" s="1560"/>
    </row>
    <row r="11" spans="1:9" ht="17.25" customHeight="1" x14ac:dyDescent="0.25">
      <c r="A11" s="2301" t="s">
        <v>1941</v>
      </c>
      <c r="B11" s="2302"/>
      <c r="C11" s="2302"/>
      <c r="D11" s="2302"/>
      <c r="E11" s="2302"/>
      <c r="F11" s="2302"/>
      <c r="G11" s="2303"/>
    </row>
    <row r="12" spans="1:9" ht="15" customHeight="1" x14ac:dyDescent="0.25">
      <c r="A12" s="1558" t="s">
        <v>1932</v>
      </c>
      <c r="B12" s="1559"/>
      <c r="C12" s="1559"/>
      <c r="D12" s="1559"/>
      <c r="E12" s="1559"/>
      <c r="F12" s="1559"/>
      <c r="G12" s="1560"/>
    </row>
    <row r="13" spans="1:9" ht="32.25" customHeight="1" x14ac:dyDescent="0.25">
      <c r="A13" s="2292" t="s">
        <v>1933</v>
      </c>
      <c r="B13" s="2293"/>
      <c r="C13" s="2293"/>
      <c r="D13" s="2293"/>
      <c r="E13" s="2293"/>
      <c r="F13" s="2293"/>
      <c r="G13" s="2294"/>
    </row>
    <row r="14" spans="1:9" x14ac:dyDescent="0.25">
      <c r="A14" s="1682" t="s">
        <v>1942</v>
      </c>
      <c r="B14" s="1683"/>
      <c r="C14" s="1683"/>
      <c r="D14" s="1683"/>
      <c r="E14" s="1683"/>
      <c r="F14" s="1683"/>
      <c r="G14" s="1684"/>
    </row>
    <row r="15" spans="1:9" ht="61.5" customHeight="1" x14ac:dyDescent="0.25">
      <c r="A15" s="1567" t="s">
        <v>1934</v>
      </c>
      <c r="B15" s="1567" t="s">
        <v>1935</v>
      </c>
      <c r="C15" s="1567" t="s">
        <v>1936</v>
      </c>
      <c r="D15" s="1568" t="s">
        <v>1937</v>
      </c>
      <c r="E15" s="1568" t="s">
        <v>1928</v>
      </c>
      <c r="F15" s="1568" t="s">
        <v>1938</v>
      </c>
      <c r="G15" s="1568" t="s">
        <v>1939</v>
      </c>
    </row>
    <row r="16" spans="1:9"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2108</v>
      </c>
      <c r="B17" s="1956" t="s">
        <v>2104</v>
      </c>
      <c r="C17" s="1957" t="s">
        <v>2105</v>
      </c>
      <c r="D17" s="1866">
        <v>71400</v>
      </c>
      <c r="E17" s="1561">
        <f t="shared" ref="E17:E136" si="1">IF(D17&lt;=25000,D17,IF(D17&gt;25000,25000,0))</f>
        <v>25000</v>
      </c>
      <c r="F17" s="1814">
        <f t="shared" si="0"/>
        <v>25000</v>
      </c>
      <c r="G17" s="1815">
        <f>IF(F17=0,0,D17-F17)</f>
        <v>46400</v>
      </c>
      <c r="H17" s="1668"/>
    </row>
    <row r="18" spans="1:8" x14ac:dyDescent="0.25">
      <c r="A18" s="1955" t="s">
        <v>2109</v>
      </c>
      <c r="B18" s="1956" t="s">
        <v>2107</v>
      </c>
      <c r="C18" s="1957" t="s">
        <v>2106</v>
      </c>
      <c r="D18" s="1866">
        <v>55179</v>
      </c>
      <c r="E18" s="1561">
        <f t="shared" ref="E18:E135" si="2">IF(D18&lt;=25000,D18,IF(D18&gt;25000,25000,0))</f>
        <v>25000</v>
      </c>
      <c r="F18" s="1814">
        <f t="shared" ref="F18:F1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35" si="4">IF(F18=0,0,D18-F18)</f>
        <v>30179</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8"/>
      <c r="C21" s="1675"/>
      <c r="D21" s="1866"/>
      <c r="E21" s="1561">
        <f t="shared" si="2"/>
        <v>0</v>
      </c>
      <c r="F21" s="1814">
        <f t="shared" si="3"/>
        <v>0</v>
      </c>
      <c r="G21" s="1815">
        <f t="shared" si="4"/>
        <v>0</v>
      </c>
    </row>
    <row r="22" spans="1:8" x14ac:dyDescent="0.25">
      <c r="A22" s="1674"/>
      <c r="B22" s="1868"/>
      <c r="C22" s="1675"/>
      <c r="D22" s="1866"/>
      <c r="E22" s="1561">
        <f t="shared" si="2"/>
        <v>0</v>
      </c>
      <c r="F22" s="1814">
        <f t="shared" si="3"/>
        <v>0</v>
      </c>
      <c r="G22" s="1815">
        <f t="shared" si="4"/>
        <v>0</v>
      </c>
    </row>
    <row r="23" spans="1:8" x14ac:dyDescent="0.25">
      <c r="A23" s="1674"/>
      <c r="B23" s="1868"/>
      <c r="C23" s="1675"/>
      <c r="D23" s="1866"/>
      <c r="E23" s="1561">
        <f t="shared" si="2"/>
        <v>0</v>
      </c>
      <c r="F23" s="1814">
        <f t="shared" si="3"/>
        <v>0</v>
      </c>
      <c r="G23" s="1815">
        <f t="shared" si="4"/>
        <v>0</v>
      </c>
    </row>
    <row r="24" spans="1:8" x14ac:dyDescent="0.25">
      <c r="A24" s="1674"/>
      <c r="B24" s="1868"/>
      <c r="C24" s="1675"/>
      <c r="D24" s="1866"/>
      <c r="E24" s="1561">
        <f t="shared" si="2"/>
        <v>0</v>
      </c>
      <c r="F24" s="1814">
        <f t="shared" si="3"/>
        <v>0</v>
      </c>
      <c r="G24" s="1815">
        <f t="shared" si="4"/>
        <v>0</v>
      </c>
    </row>
    <row r="25" spans="1:8" x14ac:dyDescent="0.25">
      <c r="A25" s="1674"/>
      <c r="B25" s="1868"/>
      <c r="C25" s="1675"/>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688"/>
      <c r="C33" s="1675"/>
      <c r="D33" s="1866"/>
      <c r="E33" s="1561">
        <f t="shared" si="2"/>
        <v>0</v>
      </c>
      <c r="F33" s="1814">
        <f t="shared" si="3"/>
        <v>0</v>
      </c>
      <c r="G33" s="1815">
        <f t="shared" si="4"/>
        <v>0</v>
      </c>
    </row>
    <row r="34" spans="1:7" x14ac:dyDescent="0.25">
      <c r="A34" s="1674"/>
      <c r="B34" s="1688"/>
      <c r="C34" s="1675"/>
      <c r="D34" s="1866"/>
      <c r="E34" s="1561">
        <f t="shared" si="2"/>
        <v>0</v>
      </c>
      <c r="F34" s="1814">
        <f t="shared" si="3"/>
        <v>0</v>
      </c>
      <c r="G34" s="1815">
        <f t="shared" si="4"/>
        <v>0</v>
      </c>
    </row>
    <row r="35" spans="1:7" x14ac:dyDescent="0.25">
      <c r="A35" s="1674"/>
      <c r="B35" s="1688"/>
      <c r="C35" s="1675"/>
      <c r="D35" s="1866"/>
      <c r="E35" s="1561">
        <f t="shared" si="2"/>
        <v>0</v>
      </c>
      <c r="F35" s="1814">
        <f t="shared" si="3"/>
        <v>0</v>
      </c>
      <c r="G35" s="1815">
        <f t="shared" si="4"/>
        <v>0</v>
      </c>
    </row>
    <row r="36" spans="1:7" x14ac:dyDescent="0.25">
      <c r="A36" s="1674"/>
      <c r="B36" s="1688"/>
      <c r="C36" s="1675"/>
      <c r="D36" s="1866"/>
      <c r="E36" s="1561">
        <f t="shared" si="2"/>
        <v>0</v>
      </c>
      <c r="F36" s="1814">
        <f t="shared" si="3"/>
        <v>0</v>
      </c>
      <c r="G36" s="1815">
        <f t="shared" si="4"/>
        <v>0</v>
      </c>
    </row>
    <row r="37" spans="1:7" x14ac:dyDescent="0.25">
      <c r="A37" s="1674"/>
      <c r="B37" s="168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6"/>
      <c r="B59" s="1688"/>
      <c r="C59" s="1677"/>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4"/>
      <c r="B64" s="1688"/>
      <c r="C64" s="1675"/>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ref="E68:E79" si="5">IF(D68&lt;=25000,D68,IF(D68&gt;25000,25000,0))</f>
        <v>0</v>
      </c>
      <c r="F68" s="1814">
        <f t="shared" ref="F68:F79" si="6">IF(OR(B68="10-1000-100",B68="10-1000-200",B68="10-1000-300",B68="10-1000-400",B68="10-1000-600",B68="10-1000-800",B68="50-1000-200",B68="10-2100-100",B68="10-2100-200",B68="10-2100-300",B68="10-2100-400",B68="10-2100-600",B68="10-2100-800",B68="20-2100-200",B68="20-2190-100",B68="20-2190-200",B68="20-2190-300",B68="20-2190-400",B68="20-2190-600",B68="20-2190-800",B68="40-2190-100",B68="40-2190-200",B68="40-2190-300",B68="40-2190-400",B68="40-2190-600",B68="40-2190-800",B68="50-2190-200",B68="10-2200-100",B68="10-2200-200",B68="10-2200-300",B68="10-2200-400",B68="10-2200-600",B68="10-2200-800",B68="50-2200-200",B68="10-2300-100",B68="10-2300-200",B68="10-2300-300",B68="10-2300-400",B68="10-2300-600",B68="10-2300-800",B68="50-2300-200",B68="80-2300-100",B68="80-2300-200",B68="80-2300-300",B68="80-2300-400",B68="80-2300-600",B68="80-2300-800",B68="10-2400-100",B68="10-2400-200",B68="10-2400-300",B68="10-2400-400",B68="10-2400-600",B68="10-2400-800",B68="50-2400-200",B68="10-2510-100",B68="10-2510-200",B68="10-2510-300",B68="10-2510-400",B68="10-2510-600",B68="10-2510-800",B68="20-2510-100",B68="20-2510-200",B68="20-2510-300",B68="20-2510-400",B68="20-2510-600",B68="20-2510-800",B68="50-2510-200",B68="10-2520-100",B68="10-2520-200",B68="10-2520-300",B68="10-2520-400",B68="10-2520-600",B68="10-2520-800",B68="50-2520-200",B68="10-2540-100",B68="10-2540-200",B68="10-2540-300",B68="10-2540-400",B68="10-2540-600",B68="20-2540-800",B68="20-2540-100",B68="20-2540-200",B68="20-2540-300",B68="20-2540-400",B68="20-2540-600",B68="50-2540-200",B68="90-2540-100",B68="90-2540-200",B68="90-2540-300",B68="90-2540-400",B68="90-2540-600",B68="90-2540-800",B68="90-2540-800",B68="10-2550-100",B68="10-2550-200",B68="10-2550-300",B68="10-2550-400",B68="10-2550-600",B68="10-2550-800",B68="20-2550-100",B68="20-2550-200",B68="20-2550-300",B68="20-2550-400",B68="20-2550-600",B68="20-2550-800",B68="40-2550-100",B68="40-2550-200",B68="40-2550-300",B68="40-2550-400",B68="40-2550-600",B68="40-2550-800",B68="50-2550-200",B68="10-2560-100",B68="10-2560-200",B68="10-2560-300",B68="10-2560-400",B68="10-2560-600",B68="10-2560-800",B68="20-2560-100",B68="20-2560-200",B68="20-2560-300",B68="20-2560-400",B68="20-2560-600",B68="20-2560-800",B68="50-2560-200",B68="10-2570-100",B68="10-2570-200",B68="10-2570-300",B68="10-2570-400",B68="10-2570-600",B68="10-2570-800",B68="50-2570-200",B68="10-2610-100",B68="10-2610-200",B68="10-2610-300",B68="10-2610-400",B68="10-2610-600",B68="10-2610-800",B68="50-2610-200",B68="10-2620-100",B68="10-2620-200",B68="10-2620-300",B68="10-2620-400",B68="10-2620-600",B68="10-2620-800",B68="50-2620-200",B68="10-2630-100",B68="10-2630-200",B68="10-2630-300",B68="10-2630-400",B68="10-2630-600",B68="10-2630-800",B68="50-2630-200",B68="10-2640-100",B68="10-2640-200",B68="10-2640-300",B68="10-2640-400",B68="10-2640-600",B68="10-2640-800",B68="50-2640-200",B68="10-2660-100",B68="10-2660-200",B68="10-2660-300",B68="10-2660-400",B68="10-2660-600",B68="10-2660-800",B68="50-2660-200",B68="10-2900-100",B68="10-2900-200",B68="10-2900-300",B68="10-2900-400",B68="10-2900-600",B68="10-2900-800",B68="20-2900-100",B68="20-2900-200",B68="20-2900-300",B68="20-2900-400",B68="20-2900-600",B68="20-2900-800",B68="40-2900-100",B68="40-2900-200",B68="40-2900-300",B68="40-2900-400",B68="40-2900-600",B68="40-2900-800",B68="50-2900-200",B68="60-2900-100",B68="60-2900-200",B68="60-2900-300",B68="60-2900-400",B68="60-2900-600",B68="60-2900-800",B68="90-2900-100",B68="90-2900-200",B68="90-2900-300",B68="90-2900-400",B68="90-2900-600",B68="90-2900-800",B68="10-3000-100",B68="10-3000-200",B68="10-3000-300",B68="10-3000-400",B68="10-3000-600",B68="10-3000-800",B68="20-3000-100",B68="20-3000-200",B68="20-3000-300",B68="20-3000-400",B68="20-3000-600",B68="20-3000-800",B68="40-3000-100",B68="40-3000-200",B68="40-3000-300",B68="40-3000-400",B68="40-3000-600",B68="40-3000-800",B68="50-3000-200"),E68,0)</f>
        <v>0</v>
      </c>
      <c r="G68" s="1815">
        <f t="shared" ref="G68:G79" si="7">IF(F68=0,0,D68-F68)</f>
        <v>0</v>
      </c>
    </row>
    <row r="69" spans="1:7" x14ac:dyDescent="0.25">
      <c r="A69" s="1674"/>
      <c r="B69" s="1688"/>
      <c r="C69" s="1675"/>
      <c r="D69" s="1866"/>
      <c r="E69" s="1561">
        <f t="shared" si="5"/>
        <v>0</v>
      </c>
      <c r="F69" s="1814">
        <f t="shared" si="6"/>
        <v>0</v>
      </c>
      <c r="G69" s="1815">
        <f t="shared" si="7"/>
        <v>0</v>
      </c>
    </row>
    <row r="70" spans="1:7" x14ac:dyDescent="0.25">
      <c r="A70" s="1674"/>
      <c r="B70" s="1688"/>
      <c r="C70" s="1675"/>
      <c r="D70" s="1866"/>
      <c r="E70" s="1561">
        <f t="shared" si="5"/>
        <v>0</v>
      </c>
      <c r="F70" s="1814">
        <f t="shared" si="6"/>
        <v>0</v>
      </c>
      <c r="G70" s="1815">
        <f t="shared" si="7"/>
        <v>0</v>
      </c>
    </row>
    <row r="71" spans="1:7" x14ac:dyDescent="0.25">
      <c r="A71" s="1674"/>
      <c r="B71" s="1688"/>
      <c r="C71" s="1675"/>
      <c r="D71" s="1866"/>
      <c r="E71" s="1561">
        <f t="shared" si="5"/>
        <v>0</v>
      </c>
      <c r="F71" s="1814">
        <f t="shared" si="6"/>
        <v>0</v>
      </c>
      <c r="G71" s="1815">
        <f t="shared" si="7"/>
        <v>0</v>
      </c>
    </row>
    <row r="72" spans="1:7" x14ac:dyDescent="0.25">
      <c r="A72" s="1674"/>
      <c r="B72" s="1688"/>
      <c r="C72" s="1675"/>
      <c r="D72" s="1866"/>
      <c r="E72" s="1561">
        <f t="shared" si="5"/>
        <v>0</v>
      </c>
      <c r="F72" s="1814">
        <f t="shared" si="6"/>
        <v>0</v>
      </c>
      <c r="G72" s="1815">
        <f t="shared" si="7"/>
        <v>0</v>
      </c>
    </row>
    <row r="73" spans="1:7" x14ac:dyDescent="0.25">
      <c r="A73" s="1674"/>
      <c r="B73" s="1688"/>
      <c r="C73" s="1675"/>
      <c r="D73" s="1866"/>
      <c r="E73" s="1561">
        <f t="shared" si="5"/>
        <v>0</v>
      </c>
      <c r="F73" s="1814">
        <f t="shared" si="6"/>
        <v>0</v>
      </c>
      <c r="G73" s="1815">
        <f t="shared" si="7"/>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2"/>
        <v>0</v>
      </c>
      <c r="F80" s="1814">
        <f t="shared" si="3"/>
        <v>0</v>
      </c>
      <c r="G80" s="1815">
        <f t="shared" si="4"/>
        <v>0</v>
      </c>
    </row>
    <row r="81" spans="1:7" x14ac:dyDescent="0.25">
      <c r="A81" s="1674"/>
      <c r="B81" s="1688"/>
      <c r="C81" s="1675"/>
      <c r="D81" s="1866"/>
      <c r="E81" s="1561">
        <f t="shared" si="2"/>
        <v>0</v>
      </c>
      <c r="F81" s="1814">
        <f t="shared" si="3"/>
        <v>0</v>
      </c>
      <c r="G81" s="1815">
        <f t="shared" si="4"/>
        <v>0</v>
      </c>
    </row>
    <row r="82" spans="1:7" x14ac:dyDescent="0.25">
      <c r="A82" s="1674"/>
      <c r="B82" s="1688"/>
      <c r="C82" s="1675"/>
      <c r="D82" s="1866"/>
      <c r="E82" s="1561">
        <f t="shared" si="2"/>
        <v>0</v>
      </c>
      <c r="F82" s="1814">
        <f t="shared" si="3"/>
        <v>0</v>
      </c>
      <c r="G82" s="1815">
        <f t="shared" si="4"/>
        <v>0</v>
      </c>
    </row>
    <row r="83" spans="1:7" x14ac:dyDescent="0.25">
      <c r="A83" s="1674"/>
      <c r="B83" s="1688"/>
      <c r="C83" s="1675"/>
      <c r="D83" s="1866"/>
      <c r="E83" s="1561">
        <f t="shared" si="2"/>
        <v>0</v>
      </c>
      <c r="F83" s="1814">
        <f t="shared" si="3"/>
        <v>0</v>
      </c>
      <c r="G83" s="1815">
        <f t="shared" si="4"/>
        <v>0</v>
      </c>
    </row>
    <row r="84" spans="1:7" x14ac:dyDescent="0.25">
      <c r="A84" s="1674"/>
      <c r="B84" s="1688"/>
      <c r="C84" s="1675"/>
      <c r="D84" s="1866"/>
      <c r="E84" s="1561">
        <f t="shared" si="2"/>
        <v>0</v>
      </c>
      <c r="F84" s="1814">
        <f t="shared" si="3"/>
        <v>0</v>
      </c>
      <c r="G84" s="1815">
        <f t="shared" si="4"/>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ref="E88" si="8">IF(D88&lt;=25000,D88,IF(D88&gt;25000,25000,0))</f>
        <v>0</v>
      </c>
      <c r="F88" s="1814">
        <f t="shared" ref="F88" si="9">IF(OR(B88="10-1000-100",B88="10-1000-200",B88="10-1000-300",B88="10-1000-400",B88="10-1000-600",B88="10-1000-800",B88="50-1000-200",B88="10-2100-100",B88="10-2100-200",B88="10-2100-300",B88="10-2100-400",B88="10-2100-600",B88="10-2100-800",B88="20-2100-200",B88="20-2190-100",B88="20-2190-200",B88="20-2190-300",B88="20-2190-400",B88="20-2190-600",B88="20-2190-800",B88="40-2190-100",B88="40-2190-200",B88="40-2190-300",B88="40-2190-400",B88="40-2190-600",B88="40-2190-800",B88="50-2190-200",B88="10-2200-100",B88="10-2200-200",B88="10-2200-300",B88="10-2200-400",B88="10-2200-600",B88="10-2200-800",B88="50-2200-200",B88="10-2300-100",B88="10-2300-200",B88="10-2300-300",B88="10-2300-400",B88="10-2300-600",B88="10-2300-800",B88="50-2300-200",B88="80-2300-100",B88="80-2300-200",B88="80-2300-300",B88="80-2300-400",B88="80-2300-600",B88="80-2300-800",B88="10-2400-100",B88="10-2400-200",B88="10-2400-300",B88="10-2400-400",B88="10-2400-600",B88="10-2400-800",B88="50-2400-200",B88="10-2510-100",B88="10-2510-200",B88="10-2510-300",B88="10-2510-400",B88="10-2510-600",B88="10-2510-800",B88="20-2510-100",B88="20-2510-200",B88="20-2510-300",B88="20-2510-400",B88="20-2510-600",B88="20-2510-800",B88="50-2510-200",B88="10-2520-100",B88="10-2520-200",B88="10-2520-300",B88="10-2520-400",B88="10-2520-600",B88="10-2520-800",B88="50-2520-200",B88="10-2540-100",B88="10-2540-200",B88="10-2540-300",B88="10-2540-400",B88="10-2540-600",B88="20-2540-800",B88="20-2540-100",B88="20-2540-200",B88="20-2540-300",B88="20-2540-400",B88="20-2540-600",B88="50-2540-200",B88="90-2540-100",B88="90-2540-200",B88="90-2540-300",B88="90-2540-400",B88="90-2540-600",B88="90-2540-800",B88="90-2540-800",B88="10-2550-100",B88="10-2550-200",B88="10-2550-300",B88="10-2550-400",B88="10-2550-600",B88="10-2550-800",B88="20-2550-100",B88="20-2550-200",B88="20-2550-300",B88="20-2550-400",B88="20-2550-600",B88="20-2550-800",B88="40-2550-100",B88="40-2550-200",B88="40-2550-300",B88="40-2550-400",B88="40-2550-600",B88="40-2550-800",B88="50-2550-200",B88="10-2560-100",B88="10-2560-200",B88="10-2560-300",B88="10-2560-400",B88="10-2560-600",B88="10-2560-800",B88="20-2560-100",B88="20-2560-200",B88="20-2560-300",B88="20-2560-400",B88="20-2560-600",B88="20-2560-800",B88="50-2560-200",B88="10-2570-100",B88="10-2570-200",B88="10-2570-300",B88="10-2570-400",B88="10-2570-600",B88="10-2570-800",B88="50-2570-200",B88="10-2610-100",B88="10-2610-200",B88="10-2610-300",B88="10-2610-400",B88="10-2610-600",B88="10-2610-800",B88="50-2610-200",B88="10-2620-100",B88="10-2620-200",B88="10-2620-300",B88="10-2620-400",B88="10-2620-600",B88="10-2620-800",B88="50-2620-200",B88="10-2630-100",B88="10-2630-200",B88="10-2630-300",B88="10-2630-400",B88="10-2630-600",B88="10-2630-800",B88="50-2630-200",B88="10-2640-100",B88="10-2640-200",B88="10-2640-300",B88="10-2640-400",B88="10-2640-600",B88="10-2640-800",B88="50-2640-200",B88="10-2660-100",B88="10-2660-200",B88="10-2660-300",B88="10-2660-400",B88="10-2660-600",B88="10-2660-800",B88="50-2660-200",B88="10-2900-100",B88="10-2900-200",B88="10-2900-300",B88="10-2900-400",B88="10-2900-600",B88="10-2900-800",B88="20-2900-100",B88="20-2900-200",B88="20-2900-300",B88="20-2900-400",B88="20-2900-600",B88="20-2900-800",B88="40-2900-100",B88="40-2900-200",B88="40-2900-300",B88="40-2900-400",B88="40-2900-600",B88="40-2900-800",B88="50-2900-200",B88="60-2900-100",B88="60-2900-200",B88="60-2900-300",B88="60-2900-400",B88="60-2900-600",B88="60-2900-800",B88="90-2900-100",B88="90-2900-200",B88="90-2900-300",B88="90-2900-400",B88="90-2900-600",B88="90-2900-800",B88="10-3000-100",B88="10-3000-200",B88="10-3000-300",B88="10-3000-400",B88="10-3000-600",B88="10-3000-800",B88="20-3000-100",B88="20-3000-200",B88="20-3000-300",B88="20-3000-400",B88="20-3000-600",B88="20-3000-800",B88="40-3000-100",B88="40-3000-200",B88="40-3000-300",B88="40-3000-400",B88="40-3000-600",B88="40-3000-800",B88="50-3000-200"),E88,0)</f>
        <v>0</v>
      </c>
      <c r="G88" s="1815">
        <f t="shared" ref="G88" si="10">IF(F88=0,0,D88-F88)</f>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ref="E90:E93" si="11">IF(D90&lt;=25000,D90,IF(D90&gt;25000,25000,0))</f>
        <v>0</v>
      </c>
      <c r="F90" s="1814">
        <f t="shared" ref="F90:F93" si="12">IF(OR(B90="10-1000-100",B90="10-1000-200",B90="10-1000-300",B90="10-1000-400",B90="10-1000-600",B90="10-1000-800",B90="50-1000-200",B90="10-2100-100",B90="10-2100-200",B90="10-2100-300",B90="10-2100-400",B90="10-2100-600",B90="10-2100-800",B90="20-2100-200",B90="20-2190-100",B90="20-2190-200",B90="20-2190-300",B90="20-2190-400",B90="20-2190-600",B90="20-2190-800",B90="40-2190-100",B90="40-2190-200",B90="40-2190-300",B90="40-2190-400",B90="40-2190-600",B90="40-2190-800",B90="50-2190-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20-2540-800",B90="20-2540-100",B90="20-2540-200",B90="20-2540-300",B90="20-2540-400",B90="20-2540-600",B90="50-2540-200",B90="90-2540-100",B90="90-2540-200",B90="90-2540-300",B90="90-2540-400",B90="90-2540-600",B90="90-2540-800",B90="90-2540-800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20-2560-100",B90="20-2560-200",B90="20-2560-300",B90="20-2560-400",B90="20-2560-600",B90="20-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60-2900-100",B90="60-2900-200",B90="60-2900-300",B90="60-2900-400",B90="60-2900-600",B90="60-2900-800",B90="90-2900-100",B90="90-2900-200",B90="90-2900-300",B90="90-2900-400",B90="90-2900-600",B90="90-2900-800",B90="10-3000-100",B90="10-3000-200",B90="10-3000-300",B90="10-3000-400",B90="10-3000-600",B90="10-3000-800",B90="20-3000-100",B90="20-3000-200",B90="20-3000-300",B90="20-3000-400",B90="20-3000-600",B90="20-3000-800",B90="40-3000-100",B90="40-3000-200",B90="40-3000-300",B90="40-3000-400",B90="40-3000-600",B90="40-3000-800",B90="50-3000-200"),E90,0)</f>
        <v>0</v>
      </c>
      <c r="G90" s="1815">
        <f t="shared" ref="G90:G93" si="13">IF(F90=0,0,D90-F90)</f>
        <v>0</v>
      </c>
    </row>
    <row r="91" spans="1:7" x14ac:dyDescent="0.25">
      <c r="A91" s="1674"/>
      <c r="B91" s="1688"/>
      <c r="C91" s="1675"/>
      <c r="D91" s="1866"/>
      <c r="E91" s="1561">
        <f t="shared" si="11"/>
        <v>0</v>
      </c>
      <c r="F91" s="1814">
        <f t="shared" si="12"/>
        <v>0</v>
      </c>
      <c r="G91" s="1815">
        <f t="shared" si="13"/>
        <v>0</v>
      </c>
    </row>
    <row r="92" spans="1:7" x14ac:dyDescent="0.25">
      <c r="A92" s="1674"/>
      <c r="B92" s="1688"/>
      <c r="C92" s="1675"/>
      <c r="D92" s="1866"/>
      <c r="E92" s="1561">
        <f t="shared" si="11"/>
        <v>0</v>
      </c>
      <c r="F92" s="1814">
        <f t="shared" si="12"/>
        <v>0</v>
      </c>
      <c r="G92" s="1815">
        <f t="shared" si="13"/>
        <v>0</v>
      </c>
    </row>
    <row r="93" spans="1:7" x14ac:dyDescent="0.25">
      <c r="A93" s="1674"/>
      <c r="B93" s="1688"/>
      <c r="C93" s="1675"/>
      <c r="D93" s="1866"/>
      <c r="E93" s="1561">
        <f t="shared" si="11"/>
        <v>0</v>
      </c>
      <c r="F93" s="1814">
        <f t="shared" si="12"/>
        <v>0</v>
      </c>
      <c r="G93" s="1815">
        <f t="shared" si="13"/>
        <v>0</v>
      </c>
    </row>
    <row r="94" spans="1:7" x14ac:dyDescent="0.25">
      <c r="A94" s="1674"/>
      <c r="B94" s="1688"/>
      <c r="C94" s="1675"/>
      <c r="D94" s="1866"/>
      <c r="E94" s="1561">
        <f t="shared" ref="E94" si="14">IF(D94&lt;=25000,D94,IF(D94&gt;25000,25000,0))</f>
        <v>0</v>
      </c>
      <c r="F94" s="1814">
        <f t="shared" ref="F94" si="15">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815">
        <f t="shared" ref="G94" si="16">IF(F94=0,0,D94-F94)</f>
        <v>0</v>
      </c>
    </row>
    <row r="95" spans="1:7" x14ac:dyDescent="0.25">
      <c r="A95" s="1674"/>
      <c r="B95" s="1688"/>
      <c r="C95" s="1675"/>
      <c r="D95" s="1866"/>
      <c r="E95" s="1561">
        <f t="shared" ref="E95:E107" si="17">IF(D95&lt;=25000,D95,IF(D95&gt;25000,25000,0))</f>
        <v>0</v>
      </c>
      <c r="F95" s="1814">
        <f t="shared" ref="F95:F107" si="18">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107" si="19">IF(F95=0,0,D95-F95)</f>
        <v>0</v>
      </c>
    </row>
    <row r="96" spans="1:7" x14ac:dyDescent="0.25">
      <c r="A96" s="1674"/>
      <c r="B96" s="1688"/>
      <c r="C96" s="1675"/>
      <c r="D96" s="1866"/>
      <c r="E96" s="1561">
        <f t="shared" si="17"/>
        <v>0</v>
      </c>
      <c r="F96" s="1814">
        <f t="shared" si="18"/>
        <v>0</v>
      </c>
      <c r="G96" s="1815">
        <f t="shared" si="19"/>
        <v>0</v>
      </c>
    </row>
    <row r="97" spans="1:7" x14ac:dyDescent="0.25">
      <c r="A97" s="1674"/>
      <c r="B97" s="1688"/>
      <c r="C97" s="1675"/>
      <c r="D97" s="1866"/>
      <c r="E97" s="1561">
        <f t="shared" si="17"/>
        <v>0</v>
      </c>
      <c r="F97" s="1814">
        <f t="shared" si="18"/>
        <v>0</v>
      </c>
      <c r="G97" s="1815">
        <f t="shared" si="19"/>
        <v>0</v>
      </c>
    </row>
    <row r="98" spans="1:7" x14ac:dyDescent="0.25">
      <c r="A98" s="1674"/>
      <c r="B98" s="1688"/>
      <c r="C98" s="1675"/>
      <c r="D98" s="1866"/>
      <c r="E98" s="1561">
        <f t="shared" si="17"/>
        <v>0</v>
      </c>
      <c r="F98" s="1814">
        <f t="shared" si="18"/>
        <v>0</v>
      </c>
      <c r="G98" s="1815">
        <f t="shared" si="19"/>
        <v>0</v>
      </c>
    </row>
    <row r="99" spans="1:7" x14ac:dyDescent="0.25">
      <c r="A99" s="1674"/>
      <c r="B99" s="1688"/>
      <c r="C99" s="1675"/>
      <c r="D99" s="1866"/>
      <c r="E99" s="1561">
        <f t="shared" si="17"/>
        <v>0</v>
      </c>
      <c r="F99" s="1814">
        <f t="shared" si="18"/>
        <v>0</v>
      </c>
      <c r="G99" s="1815">
        <f t="shared" si="19"/>
        <v>0</v>
      </c>
    </row>
    <row r="100" spans="1:7" x14ac:dyDescent="0.25">
      <c r="A100" s="1674"/>
      <c r="B100" s="1688"/>
      <c r="C100" s="1675"/>
      <c r="D100" s="1866"/>
      <c r="E100" s="1561">
        <f t="shared" si="17"/>
        <v>0</v>
      </c>
      <c r="F100" s="1814">
        <f t="shared" si="18"/>
        <v>0</v>
      </c>
      <c r="G100" s="1815">
        <f t="shared" si="19"/>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ref="E108:E120" si="20">IF(D108&lt;=25000,D108,IF(D108&gt;25000,25000,0))</f>
        <v>0</v>
      </c>
      <c r="F108" s="1814">
        <f t="shared" ref="F108:F120" si="21">IF(OR(B108="10-1000-100",B108="10-1000-200",B108="10-1000-300",B108="10-1000-400",B108="10-1000-600",B108="10-1000-800",B108="50-1000-200",B108="10-2100-100",B108="10-2100-200",B108="10-2100-300",B108="10-2100-400",B108="10-2100-600",B108="10-2100-800",B108="20-2100-200",B108="20-2190-100",B108="20-2190-200",B108="20-2190-300",B108="20-2190-400",B108="20-2190-600",B108="20-2190-800",B108="40-2190-100",B108="40-2190-200",B108="40-2190-300",B108="40-2190-400",B108="40-2190-600",B108="40-2190-800",B108="50-2190-200",B108="10-2200-100",B108="10-2200-200",B108="10-2200-300",B108="10-2200-400",B108="10-2200-600",B108="10-2200-800",B108="50-2200-200",B108="10-2300-100",B108="10-2300-200",B108="10-2300-300",B108="10-2300-400",B108="10-2300-600",B108="10-2300-800",B108="50-2300-200",B108="80-2300-100",B108="80-2300-200",B108="80-2300-300",B108="80-2300-400",B108="80-2300-600",B108="80-2300-800",B108="10-2400-100",B108="10-2400-200",B108="10-2400-300",B108="10-2400-400",B108="10-2400-600",B108="10-2400-800",B108="50-2400-200",B108="10-2510-100",B108="10-2510-200",B108="10-2510-300",B108="10-2510-400",B108="10-2510-600",B108="10-2510-800",B108="20-2510-100",B108="20-2510-200",B108="20-2510-300",B108="20-2510-400",B108="20-2510-600",B108="20-2510-800",B108="50-2510-200",B108="10-2520-100",B108="10-2520-200",B108="10-2520-300",B108="10-2520-400",B108="10-2520-600",B108="10-2520-800",B108="50-2520-200",B108="10-2540-100",B108="10-2540-200",B108="10-2540-300",B108="10-2540-400",B108="10-2540-600",B108="20-2540-800",B108="20-2540-100",B108="20-2540-200",B108="20-2540-300",B108="20-2540-400",B108="20-2540-600",B108="50-2540-200",B108="90-2540-100",B108="90-2540-200",B108="90-2540-300",B108="90-2540-400",B108="90-2540-600",B108="90-2540-800",B108="90-2540-800",B108="10-2550-100",B108="10-2550-200",B108="10-2550-300",B108="10-2550-400",B108="10-2550-600",B108="10-2550-800",B108="20-2550-100",B108="20-2550-200",B108="20-2550-300",B108="20-2550-400",B108="20-2550-600",B108="20-2550-800",B108="40-2550-100",B108="40-2550-200",B108="40-2550-300",B108="40-2550-400",B108="40-2550-600",B108="40-2550-800",B108="50-2550-200",B108="10-2560-100",B108="10-2560-200",B108="10-2560-300",B108="10-2560-400",B108="10-2560-600",B108="10-2560-800",B108="20-2560-100",B108="20-2560-200",B108="20-2560-300",B108="20-2560-400",B108="20-2560-600",B108="20-2560-800",B108="50-2560-200",B108="10-2570-100",B108="10-2570-200",B108="10-2570-300",B108="10-2570-400",B108="10-2570-600",B108="10-2570-800",B108="50-2570-200",B108="10-2610-100",B108="10-2610-200",B108="10-2610-300",B108="10-2610-400",B108="10-2610-600",B108="10-2610-800",B108="50-2610-200",B108="10-2620-100",B108="10-2620-200",B108="10-2620-300",B108="10-2620-400",B108="10-2620-600",B108="10-2620-800",B108="50-2620-200",B108="10-2630-100",B108="10-2630-200",B108="10-2630-300",B108="10-2630-400",B108="10-2630-600",B108="10-2630-800",B108="50-2630-200",B108="10-2640-100",B108="10-2640-200",B108="10-2640-300",B108="10-2640-400",B108="10-2640-600",B108="10-2640-800",B108="50-2640-200",B108="10-2660-100",B108="10-2660-200",B108="10-2660-300",B108="10-2660-400",B108="10-2660-600",B108="10-2660-800",B108="50-2660-200",B108="10-2900-100",B108="10-2900-200",B108="10-2900-300",B108="10-2900-400",B108="10-2900-600",B108="10-2900-800",B108="20-2900-100",B108="20-2900-200",B108="20-2900-300",B108="20-2900-400",B108="20-2900-600",B108="20-2900-800",B108="40-2900-100",B108="40-2900-200",B108="40-2900-300",B108="40-2900-400",B108="40-2900-600",B108="40-2900-800",B108="50-2900-200",B108="60-2900-100",B108="60-2900-200",B108="60-2900-300",B108="60-2900-400",B108="60-2900-600",B108="60-2900-800",B108="90-2900-100",B108="90-2900-200",B108="90-2900-300",B108="90-2900-400",B108="90-2900-600",B108="90-2900-800",B108="10-3000-100",B108="10-3000-200",B108="10-3000-300",B108="10-3000-400",B108="10-3000-600",B108="10-3000-800",B108="20-3000-100",B108="20-3000-200",B108="20-3000-300",B108="20-3000-400",B108="20-3000-600",B108="20-3000-800",B108="40-3000-100",B108="40-3000-200",B108="40-3000-300",B108="40-3000-400",B108="40-3000-600",B108="40-3000-800",B108="50-3000-200"),E108,0)</f>
        <v>0</v>
      </c>
      <c r="G108" s="1815">
        <f t="shared" ref="G108:G120" si="22">IF(F108=0,0,D108-F108)</f>
        <v>0</v>
      </c>
    </row>
    <row r="109" spans="1:7" x14ac:dyDescent="0.25">
      <c r="A109" s="1674"/>
      <c r="B109" s="1688"/>
      <c r="C109" s="1675"/>
      <c r="D109" s="1866"/>
      <c r="E109" s="1561">
        <f t="shared" si="20"/>
        <v>0</v>
      </c>
      <c r="F109" s="1814">
        <f t="shared" si="21"/>
        <v>0</v>
      </c>
      <c r="G109" s="1815">
        <f t="shared" si="22"/>
        <v>0</v>
      </c>
    </row>
    <row r="110" spans="1:7" x14ac:dyDescent="0.25">
      <c r="A110" s="1674"/>
      <c r="B110" s="1688"/>
      <c r="C110" s="1675"/>
      <c r="D110" s="1866"/>
      <c r="E110" s="1561">
        <f t="shared" si="20"/>
        <v>0</v>
      </c>
      <c r="F110" s="1814">
        <f t="shared" si="21"/>
        <v>0</v>
      </c>
      <c r="G110" s="1815">
        <f t="shared" si="22"/>
        <v>0</v>
      </c>
    </row>
    <row r="111" spans="1:7" x14ac:dyDescent="0.25">
      <c r="A111" s="1674"/>
      <c r="B111" s="1688"/>
      <c r="C111" s="1675"/>
      <c r="D111" s="1866"/>
      <c r="E111" s="1561">
        <f t="shared" si="20"/>
        <v>0</v>
      </c>
      <c r="F111" s="1814">
        <f t="shared" si="21"/>
        <v>0</v>
      </c>
      <c r="G111" s="1815">
        <f t="shared" si="22"/>
        <v>0</v>
      </c>
    </row>
    <row r="112" spans="1:7" x14ac:dyDescent="0.25">
      <c r="A112" s="1674"/>
      <c r="B112" s="1688"/>
      <c r="C112" s="1675"/>
      <c r="D112" s="1866"/>
      <c r="E112" s="1561">
        <f t="shared" si="20"/>
        <v>0</v>
      </c>
      <c r="F112" s="1814">
        <f t="shared" si="21"/>
        <v>0</v>
      </c>
      <c r="G112" s="1815">
        <f t="shared" si="22"/>
        <v>0</v>
      </c>
    </row>
    <row r="113" spans="1:7" x14ac:dyDescent="0.25">
      <c r="A113" s="1674"/>
      <c r="B113" s="1688"/>
      <c r="C113" s="1675"/>
      <c r="D113" s="1866"/>
      <c r="E113" s="1561">
        <f t="shared" si="20"/>
        <v>0</v>
      </c>
      <c r="F113" s="1814">
        <f t="shared" si="21"/>
        <v>0</v>
      </c>
      <c r="G113" s="1815">
        <f t="shared" si="22"/>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ref="E121:E129" si="23">IF(D121&lt;=25000,D121,IF(D121&gt;25000,25000,0))</f>
        <v>0</v>
      </c>
      <c r="F121" s="1814">
        <f t="shared" ref="F121:F129" si="24">IF(OR(B121="10-1000-100",B121="10-1000-200",B121="10-1000-300",B121="10-1000-400",B121="10-1000-600",B121="10-1000-800",B121="50-1000-200",B121="10-2100-100",B121="10-2100-200",B121="10-2100-300",B121="10-2100-400",B121="10-2100-600",B121="10-2100-800",B121="20-2100-200",B121="20-2190-100",B121="20-2190-200",B121="20-2190-300",B121="20-2190-400",B121="20-2190-600",B121="20-2190-800",B121="40-2190-100",B121="40-2190-200",B121="40-2190-300",B121="40-2190-400",B121="40-2190-600",B121="40-2190-800",B121="50-2190-200",B121="10-2200-100",B121="10-2200-200",B121="10-2200-300",B121="10-2200-400",B121="10-2200-600",B121="10-2200-800",B121="50-2200-200",B121="10-2300-100",B121="10-2300-200",B121="10-2300-300",B121="10-2300-400",B121="10-2300-600",B121="10-2300-800",B121="50-2300-200",B121="80-2300-100",B121="80-2300-200",B121="80-2300-300",B121="80-2300-400",B121="80-2300-600",B121="80-2300-800",B121="10-2400-100",B121="10-2400-200",B121="10-2400-300",B121="10-2400-400",B121="10-2400-600",B121="10-2400-800",B121="50-2400-200",B121="10-2510-100",B121="10-2510-200",B121="10-2510-300",B121="10-2510-400",B121="10-2510-600",B121="10-2510-800",B121="20-2510-100",B121="20-2510-200",B121="20-2510-300",B121="20-2510-400",B121="20-2510-600",B121="20-2510-800",B121="50-2510-200",B121="10-2520-100",B121="10-2520-200",B121="10-2520-300",B121="10-2520-400",B121="10-2520-600",B121="10-2520-800",B121="50-2520-200",B121="10-2540-100",B121="10-2540-200",B121="10-2540-300",B121="10-2540-400",B121="10-2540-600",B121="20-2540-800",B121="20-2540-100",B121="20-2540-200",B121="20-2540-300",B121="20-2540-400",B121="20-2540-600",B121="50-2540-200",B121="90-2540-100",B121="90-2540-200",B121="90-2540-300",B121="90-2540-400",B121="90-2540-600",B121="90-2540-800",B121="90-2540-800",B121="10-2550-100",B121="10-2550-200",B121="10-2550-300",B121="10-2550-400",B121="10-2550-600",B121="10-2550-800",B121="20-2550-100",B121="20-2550-200",B121="20-2550-300",B121="20-2550-400",B121="20-2550-600",B121="20-2550-800",B121="40-2550-100",B121="40-2550-200",B121="40-2550-300",B121="40-2550-400",B121="40-2550-600",B121="40-2550-800",B121="50-2550-200",B121="10-2560-100",B121="10-2560-200",B121="10-2560-300",B121="10-2560-400",B121="10-2560-600",B121="10-2560-800",B121="20-2560-100",B121="20-2560-200",B121="20-2560-300",B121="20-2560-400",B121="20-2560-600",B121="20-2560-800",B121="50-2560-200",B121="10-2570-100",B121="10-2570-200",B121="10-2570-300",B121="10-2570-400",B121="10-2570-600",B121="10-2570-800",B121="50-2570-200",B121="10-2610-100",B121="10-2610-200",B121="10-2610-300",B121="10-2610-400",B121="10-2610-600",B121="10-2610-800",B121="50-2610-200",B121="10-2620-100",B121="10-2620-200",B121="10-2620-300",B121="10-2620-400",B121="10-2620-600",B121="10-2620-800",B121="50-2620-200",B121="10-2630-100",B121="10-2630-200",B121="10-2630-300",B121="10-2630-400",B121="10-2630-600",B121="10-2630-800",B121="50-2630-200",B121="10-2640-100",B121="10-2640-200",B121="10-2640-300",B121="10-2640-400",B121="10-2640-600",B121="10-2640-800",B121="50-2640-200",B121="10-2660-100",B121="10-2660-200",B121="10-2660-300",B121="10-2660-400",B121="10-2660-600",B121="10-2660-800",B121="50-2660-200",B121="10-2900-100",B121="10-2900-200",B121="10-2900-300",B121="10-2900-400",B121="10-2900-600",B121="10-2900-800",B121="20-2900-100",B121="20-2900-200",B121="20-2900-300",B121="20-2900-400",B121="20-2900-600",B121="20-2900-800",B121="40-2900-100",B121="40-2900-200",B121="40-2900-300",B121="40-2900-400",B121="40-2900-600",B121="40-2900-800",B121="50-2900-200",B121="60-2900-100",B121="60-2900-200",B121="60-2900-300",B121="60-2900-400",B121="60-2900-600",B121="60-2900-800",B121="90-2900-100",B121="90-2900-200",B121="90-2900-300",B121="90-2900-400",B121="90-2900-600",B121="90-2900-800",B121="10-3000-100",B121="10-3000-200",B121="10-3000-300",B121="10-3000-400",B121="10-3000-600",B121="10-3000-800",B121="20-3000-100",B121="20-3000-200",B121="20-3000-300",B121="20-3000-400",B121="20-3000-600",B121="20-3000-800",B121="40-3000-100",B121="40-3000-200",B121="40-3000-300",B121="40-3000-400",B121="40-3000-600",B121="40-3000-800",B121="50-3000-200"),E121,0)</f>
        <v>0</v>
      </c>
      <c r="G121" s="1815">
        <f t="shared" ref="G121:G129" si="25">IF(F121=0,0,D121-F121)</f>
        <v>0</v>
      </c>
    </row>
    <row r="122" spans="1:7" x14ac:dyDescent="0.25">
      <c r="A122" s="1674"/>
      <c r="B122" s="1688"/>
      <c r="C122" s="1675"/>
      <c r="D122" s="1866"/>
      <c r="E122" s="1561">
        <f t="shared" si="23"/>
        <v>0</v>
      </c>
      <c r="F122" s="1814">
        <f t="shared" si="24"/>
        <v>0</v>
      </c>
      <c r="G122" s="1815">
        <f t="shared" si="25"/>
        <v>0</v>
      </c>
    </row>
    <row r="123" spans="1:7" x14ac:dyDescent="0.25">
      <c r="A123" s="1674"/>
      <c r="B123" s="1688"/>
      <c r="C123" s="1675"/>
      <c r="D123" s="1866"/>
      <c r="E123" s="1561">
        <f t="shared" si="23"/>
        <v>0</v>
      </c>
      <c r="F123" s="1814">
        <f t="shared" si="24"/>
        <v>0</v>
      </c>
      <c r="G123" s="1815">
        <f t="shared" si="25"/>
        <v>0</v>
      </c>
    </row>
    <row r="124" spans="1:7" x14ac:dyDescent="0.25">
      <c r="A124" s="1674"/>
      <c r="B124" s="1688"/>
      <c r="C124" s="1675"/>
      <c r="D124" s="1866"/>
      <c r="E124" s="1561">
        <f t="shared" si="23"/>
        <v>0</v>
      </c>
      <c r="F124" s="1814">
        <f t="shared" si="24"/>
        <v>0</v>
      </c>
      <c r="G124" s="1815">
        <f t="shared" si="25"/>
        <v>0</v>
      </c>
    </row>
    <row r="125" spans="1:7" x14ac:dyDescent="0.25">
      <c r="A125" s="1674"/>
      <c r="B125" s="1688"/>
      <c r="C125" s="1675"/>
      <c r="D125" s="1866"/>
      <c r="E125" s="1561">
        <f t="shared" si="23"/>
        <v>0</v>
      </c>
      <c r="F125" s="1814">
        <f t="shared" si="24"/>
        <v>0</v>
      </c>
      <c r="G125" s="1815">
        <f t="shared" si="25"/>
        <v>0</v>
      </c>
    </row>
    <row r="126" spans="1:7" x14ac:dyDescent="0.25">
      <c r="A126" s="1674"/>
      <c r="B126" s="1859"/>
      <c r="C126" s="1675"/>
      <c r="D126" s="1866"/>
      <c r="E126" s="1561">
        <f t="shared" si="23"/>
        <v>0</v>
      </c>
      <c r="F126" s="1814">
        <f t="shared" si="24"/>
        <v>0</v>
      </c>
      <c r="G126" s="1815">
        <f t="shared" si="25"/>
        <v>0</v>
      </c>
    </row>
    <row r="127" spans="1:7" x14ac:dyDescent="0.25">
      <c r="A127" s="1674"/>
      <c r="B127" s="1859"/>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ref="E130:E134" si="26">IF(D130&lt;=25000,D130,IF(D130&gt;25000,25000,0))</f>
        <v>0</v>
      </c>
      <c r="F130" s="1814">
        <f t="shared" ref="F130:F134" si="27">IF(OR(B130="10-1000-100",B130="10-1000-200",B130="10-1000-300",B130="10-1000-400",B130="10-1000-600",B130="10-1000-800",B130="50-1000-200",B130="10-2100-100",B130="10-2100-200",B130="10-2100-300",B130="10-2100-400",B130="10-2100-600",B130="10-2100-800",B130="20-2100-200",B130="20-2190-100",B130="20-2190-200",B130="20-2190-300",B130="20-2190-400",B130="20-2190-600",B130="20-2190-800",B130="40-2190-100",B130="40-2190-200",B130="40-2190-300",B130="40-2190-400",B130="40-2190-600",B130="40-2190-800",B130="50-2190-200",B130="10-2200-100",B130="10-2200-200",B130="10-2200-300",B130="10-2200-400",B130="10-2200-600",B130="10-2200-800",B130="50-2200-200",B130="10-2300-100",B130="10-2300-200",B130="10-2300-300",B130="10-2300-400",B130="10-2300-600",B130="10-2300-800",B130="50-2300-200",B130="80-2300-100",B130="80-2300-200",B130="80-2300-300",B130="80-2300-400",B130="80-2300-600",B130="80-2300-800",B130="10-2400-100",B130="10-2400-200",B130="10-2400-300",B130="10-2400-400",B130="10-2400-600",B130="10-2400-800",B130="50-2400-200",B130="10-2510-100",B130="10-2510-200",B130="10-2510-300",B130="10-2510-400",B130="10-2510-600",B130="10-2510-800",B130="20-2510-100",B130="20-2510-200",B130="20-2510-300",B130="20-2510-400",B130="20-2510-600",B130="20-2510-800",B130="50-2510-200",B130="10-2520-100",B130="10-2520-200",B130="10-2520-300",B130="10-2520-400",B130="10-2520-600",B130="10-2520-800",B130="50-2520-200",B130="10-2540-100",B130="10-2540-200",B130="10-2540-300",B130="10-2540-400",B130="10-2540-600",B130="20-2540-800",B130="20-2540-100",B130="20-2540-200",B130="20-2540-300",B130="20-2540-400",B130="20-2540-600",B130="50-2540-200",B130="90-2540-100",B130="90-2540-200",B130="90-2540-300",B130="90-2540-400",B130="90-2540-600",B130="90-2540-800",B130="90-2540-800",B130="10-2550-100",B130="10-2550-200",B130="10-2550-300",B130="10-2550-400",B130="10-2550-600",B130="10-2550-800",B130="20-2550-100",B130="20-2550-200",B130="20-2550-300",B130="20-2550-400",B130="20-2550-600",B130="20-2550-800",B130="40-2550-100",B130="40-2550-200",B130="40-2550-300",B130="40-2550-400",B130="40-2550-600",B130="40-2550-800",B130="50-2550-200",B130="10-2560-100",B130="10-2560-200",B130="10-2560-300",B130="10-2560-400",B130="10-2560-600",B130="10-2560-800",B130="20-2560-100",B130="20-2560-200",B130="20-2560-300",B130="20-2560-400",B130="20-2560-600",B130="20-2560-800",B130="50-2560-200",B130="10-2570-100",B130="10-2570-200",B130="10-2570-300",B130="10-2570-400",B130="10-2570-600",B130="10-2570-800",B130="50-2570-200",B130="10-2610-100",B130="10-2610-200",B130="10-2610-300",B130="10-2610-400",B130="10-2610-600",B130="10-2610-800",B130="50-2610-200",B130="10-2620-100",B130="10-2620-200",B130="10-2620-300",B130="10-2620-400",B130="10-2620-600",B130="10-2620-800",B130="50-2620-200",B130="10-2630-100",B130="10-2630-200",B130="10-2630-300",B130="10-2630-400",B130="10-2630-600",B130="10-2630-800",B130="50-2630-200",B130="10-2640-100",B130="10-2640-200",B130="10-2640-300",B130="10-2640-400",B130="10-2640-600",B130="10-2640-800",B130="50-2640-200",B130="10-2660-100",B130="10-2660-200",B130="10-2660-300",B130="10-2660-400",B130="10-2660-600",B130="10-2660-800",B130="50-2660-200",B130="10-2900-100",B130="10-2900-200",B130="10-2900-300",B130="10-2900-400",B130="10-2900-600",B130="10-2900-800",B130="20-2900-100",B130="20-2900-200",B130="20-2900-300",B130="20-2900-400",B130="20-2900-600",B130="20-2900-800",B130="40-2900-100",B130="40-2900-200",B130="40-2900-300",B130="40-2900-400",B130="40-2900-600",B130="40-2900-800",B130="50-2900-200",B130="60-2900-100",B130="60-2900-200",B130="60-2900-300",B130="60-2900-400",B130="60-2900-600",B130="60-2900-800",B130="90-2900-100",B130="90-2900-200",B130="90-2900-300",B130="90-2900-400",B130="90-2900-600",B130="90-2900-800",B130="10-3000-100",B130="10-3000-200",B130="10-3000-300",B130="10-3000-400",B130="10-3000-600",B130="10-3000-800",B130="20-3000-100",B130="20-3000-200",B130="20-3000-300",B130="20-3000-400",B130="20-3000-600",B130="20-3000-800",B130="40-3000-100",B130="40-3000-200",B130="40-3000-300",B130="40-3000-400",B130="40-3000-600",B130="40-3000-800",B130="50-3000-200"),E130,0)</f>
        <v>0</v>
      </c>
      <c r="G130" s="1815">
        <f t="shared" ref="G130:G134" si="28">IF(F130=0,0,D130-F130)</f>
        <v>0</v>
      </c>
    </row>
    <row r="131" spans="1:7" x14ac:dyDescent="0.25">
      <c r="A131" s="1674"/>
      <c r="B131" s="1688"/>
      <c r="C131" s="1675"/>
      <c r="D131" s="1866"/>
      <c r="E131" s="1561">
        <f t="shared" si="26"/>
        <v>0</v>
      </c>
      <c r="F131" s="1814">
        <f t="shared" si="27"/>
        <v>0</v>
      </c>
      <c r="G131" s="1815">
        <f t="shared" si="28"/>
        <v>0</v>
      </c>
    </row>
    <row r="132" spans="1:7" x14ac:dyDescent="0.25">
      <c r="A132" s="1674"/>
      <c r="B132" s="1688"/>
      <c r="C132" s="1675"/>
      <c r="D132" s="1866"/>
      <c r="E132" s="1561">
        <f t="shared" si="26"/>
        <v>0</v>
      </c>
      <c r="F132" s="1814">
        <f t="shared" si="27"/>
        <v>0</v>
      </c>
      <c r="G132" s="1815">
        <f t="shared" si="28"/>
        <v>0</v>
      </c>
    </row>
    <row r="133" spans="1:7" x14ac:dyDescent="0.25">
      <c r="A133" s="1674"/>
      <c r="B133" s="1688"/>
      <c r="C133" s="1675"/>
      <c r="D133" s="1866"/>
      <c r="E133" s="1561">
        <f t="shared" si="26"/>
        <v>0</v>
      </c>
      <c r="F133" s="1814">
        <f t="shared" si="27"/>
        <v>0</v>
      </c>
      <c r="G133" s="1815">
        <f t="shared" si="28"/>
        <v>0</v>
      </c>
    </row>
    <row r="134" spans="1:7" x14ac:dyDescent="0.25">
      <c r="A134" s="1674"/>
      <c r="B134" s="1688"/>
      <c r="C134" s="1675"/>
      <c r="D134" s="1866"/>
      <c r="E134" s="1561">
        <f t="shared" si="26"/>
        <v>0</v>
      </c>
      <c r="F134" s="1814">
        <f t="shared" si="27"/>
        <v>0</v>
      </c>
      <c r="G134" s="1815">
        <f t="shared" si="28"/>
        <v>0</v>
      </c>
    </row>
    <row r="135" spans="1:7" x14ac:dyDescent="0.25">
      <c r="A135" s="1674"/>
      <c r="B135" s="1687"/>
      <c r="C135" s="1675"/>
      <c r="D135" s="1866"/>
      <c r="E135" s="1561">
        <f t="shared" si="2"/>
        <v>0</v>
      </c>
      <c r="F135" s="1814">
        <f t="shared" si="3"/>
        <v>0</v>
      </c>
      <c r="G135" s="1815">
        <f t="shared" si="4"/>
        <v>0</v>
      </c>
    </row>
    <row r="136" spans="1:7" x14ac:dyDescent="0.25">
      <c r="A136" s="1818" t="s">
        <v>158</v>
      </c>
      <c r="B136" s="1819"/>
      <c r="C136" s="1820"/>
      <c r="D136" s="1816">
        <f>SUM(D17:D135)</f>
        <v>126579</v>
      </c>
      <c r="E136" s="1562">
        <f t="shared" si="1"/>
        <v>25000</v>
      </c>
      <c r="F136" s="1816">
        <f>SUM(F17:F135)</f>
        <v>50000</v>
      </c>
      <c r="G136" s="1817">
        <f>SUM(G17:G135)</f>
        <v>76579</v>
      </c>
    </row>
  </sheetData>
  <sheetProtection selectLockedCells="1"/>
  <mergeCells count="6">
    <mergeCell ref="A13:G13"/>
    <mergeCell ref="A4:G5"/>
    <mergeCell ref="A11:G11"/>
    <mergeCell ref="A7:G7"/>
    <mergeCell ref="A8:G8"/>
    <mergeCell ref="A9:G9"/>
  </mergeCells>
  <pageMargins left="0.2" right="0.2" top="0.5" bottom="0.35" header="0.3" footer="0.25"/>
  <pageSetup scale="83" firstPageNumber="30" fitToHeight="0" orientation="landscape" r:id="rId1"/>
  <headerFoot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7" t="s">
        <v>1778</v>
      </c>
      <c r="B5" s="2308"/>
      <c r="C5" s="2308"/>
      <c r="D5" s="2308"/>
      <c r="E5" s="2308"/>
      <c r="F5" s="2308"/>
      <c r="G5" s="2309"/>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36501</v>
      </c>
      <c r="F10" s="975"/>
      <c r="G10" s="976"/>
      <c r="H10" s="162"/>
      <c r="I10" s="162"/>
    </row>
    <row r="11" spans="1:9" s="669" customFormat="1" ht="22.5" customHeight="1" x14ac:dyDescent="0.2">
      <c r="A11" s="2312" t="s">
        <v>1945</v>
      </c>
      <c r="B11" s="2313"/>
      <c r="C11" s="2313"/>
      <c r="D11" s="2314"/>
      <c r="E11" s="978">
        <v>4746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2028646</v>
      </c>
      <c r="F19" s="1821"/>
      <c r="G19" s="1823">
        <f>'Expenditures 15-22'!K33-SUM('Expenditures 15-22'!G33,'Expenditures 15-22'!I33)+'Expenditures 15-22'!D229</f>
        <v>2028646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75539</v>
      </c>
      <c r="F21" s="1824"/>
      <c r="G21" s="1827">
        <f>'Expenditures 15-22'!K42-SUM('Expenditures 15-22'!G42,'Expenditures 15-22'!I42)+'Expenditures 15-22'!K120-SUM('Expenditures 15-22'!G120,'Expenditures 15-22'!I120)+'Expenditures 15-22'!K180-SUM('Expenditures 15-22'!G180,'Expenditures 15-22'!I180)+'Expenditures 15-22'!D238</f>
        <v>75539</v>
      </c>
      <c r="H21" s="988"/>
      <c r="I21" s="162"/>
    </row>
    <row r="22" spans="1:9" s="669" customFormat="1" ht="12" customHeight="1" x14ac:dyDescent="0.2">
      <c r="A22" s="995" t="s">
        <v>585</v>
      </c>
      <c r="B22" s="996"/>
      <c r="C22" s="994">
        <v>2200</v>
      </c>
      <c r="D22" s="1824"/>
      <c r="E22" s="1826">
        <f>'Expenditures 15-22'!K47-SUM('Expenditures 15-22'!G47,'Expenditures 15-22'!I47)+'Expenditures 15-22'!D243</f>
        <v>2619</v>
      </c>
      <c r="F22" s="1824"/>
      <c r="G22" s="1827">
        <f>'Expenditures 15-22'!K47-SUM('Expenditures 15-22'!G47,'Expenditures 15-22'!I47)+'Expenditures 15-22'!D243</f>
        <v>2619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441647</v>
      </c>
      <c r="F23" s="1824"/>
      <c r="G23" s="1826">
        <f>'Expenditures 15-22'!K53-SUM('Expenditures 15-22'!G53,'Expenditures 15-22'!I53)+'Expenditures 15-22'!D257+'Expenditures 15-22'!K330-SUM('Expenditures 15-22'!G330,'Expenditures 15-22'!I330)</f>
        <v>441647</v>
      </c>
      <c r="H23" s="988"/>
      <c r="I23" s="162"/>
    </row>
    <row r="24" spans="1:9" s="669" customFormat="1" ht="12" customHeight="1" x14ac:dyDescent="0.2">
      <c r="A24" s="995" t="s">
        <v>587</v>
      </c>
      <c r="B24" s="996"/>
      <c r="C24" s="994">
        <v>2400</v>
      </c>
      <c r="D24" s="1824"/>
      <c r="E24" s="1826">
        <f>'Expenditures 15-22'!K57-SUM('Expenditures 15-22'!G57,'Expenditures 15-22'!I57)+'Expenditures 15-22'!D261</f>
        <v>227077</v>
      </c>
      <c r="F24" s="1824"/>
      <c r="G24" s="1827">
        <f>'Expenditures 15-22'!K57-SUM('Expenditures 15-22'!G57,'Expenditures 15-22'!I57)+'Expenditures 15-22'!D261</f>
        <v>227077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51903</v>
      </c>
      <c r="E27" s="1826">
        <f>E8</f>
        <v>0</v>
      </c>
      <c r="F27" s="1826">
        <f>'Expenditures 15-22'!K60-SUM('Expenditures 15-22'!G60,'Expenditures 15-22'!I60)+'Expenditures 15-22'!D264-E8</f>
        <v>51903</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209289</v>
      </c>
      <c r="F28" s="1828">
        <f>'Expenditures 15-22'!K61-SUM('Expenditures 15-22'!G61,'Expenditures 15-22'!I61)+'Expenditures 15-22'!K124-SUM('Expenditures 15-22'!G124,'Expenditures 15-22'!I124)+'Expenditures 15-22'!D266-E9</f>
        <v>209289</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371389</v>
      </c>
      <c r="F29" s="1824"/>
      <c r="G29" s="1827">
        <f>'Expenditures 15-22'!K62-SUM('Expenditures 15-22'!G62,'Expenditures 15-22'!I62)+'Expenditures 15-22'!K125-SUM('Expenditures 15-22'!G125,'Expenditures 15-22'!I125)+'Expenditures 15-22'!K182-SUM('Expenditures 15-22'!G182,'Expenditures 15-22'!I182)+'Expenditures 15-22'!D267</f>
        <v>371389</v>
      </c>
      <c r="H29" s="986"/>
    </row>
    <row r="30" spans="1:9" ht="12" customHeight="1" x14ac:dyDescent="0.2">
      <c r="A30" s="995" t="s">
        <v>102</v>
      </c>
      <c r="B30" s="998"/>
      <c r="C30" s="994">
        <v>2560</v>
      </c>
      <c r="D30" s="1824"/>
      <c r="E30" s="1826">
        <f>'Expenditures 15-22'!K63-SUM('Expenditures 15-22'!G63,'Expenditures 15-22'!I63)+'Expenditures 15-22'!D268-E10</f>
        <v>-36501</v>
      </c>
      <c r="F30" s="1824"/>
      <c r="G30" s="1826">
        <f>'Expenditures 15-22'!K63-SUM('Expenditures 15-22'!G63,'Expenditures 15-22'!I63)+'Expenditures 15-22'!D268-E10</f>
        <v>-36501</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79091</v>
      </c>
      <c r="E37" s="1826">
        <f>E14</f>
        <v>0</v>
      </c>
      <c r="F37" s="1826">
        <f>'Expenditures 15-22'!K71-SUM('Expenditures 15-22'!G71,'Expenditures 15-22'!I71)+'Expenditures 15-22'!D276-E14</f>
        <v>79091</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90939</v>
      </c>
      <c r="F38" s="1824"/>
      <c r="G38" s="1826">
        <f>'Expenditures 15-22'!K73-SUM('Expenditures 15-22'!G73,'Expenditures 15-22'!I73)+'Expenditures 15-22'!K128-SUM('Expenditures 15-22'!G128,'Expenditures 15-22'!I128)+'Expenditures 15-22'!K183-SUM('Expenditures 15-22'!G183,'Expenditures 15-22'!I183)+'Expenditures 15-22'!D278</f>
        <v>90939</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29'!G136</f>
        <v>-76579</v>
      </c>
      <c r="F40" s="1824"/>
      <c r="G40" s="1828">
        <f>-'Contracts Paid in CY 29'!G136</f>
        <v>-76579</v>
      </c>
    </row>
    <row r="41" spans="1:7" ht="12" customHeight="1" x14ac:dyDescent="0.2">
      <c r="A41" s="999" t="s">
        <v>158</v>
      </c>
      <c r="B41" s="1000"/>
      <c r="C41" s="1001"/>
      <c r="D41" s="1828">
        <f>SUM(D19:D39)</f>
        <v>130994</v>
      </c>
      <c r="E41" s="1828">
        <f>SUM(E19:E40)</f>
        <v>3334065</v>
      </c>
      <c r="F41" s="1828">
        <f>SUM(F19:F39)</f>
        <v>340283</v>
      </c>
      <c r="G41" s="1828">
        <f>SUM(G19:G40)</f>
        <v>3124776</v>
      </c>
    </row>
    <row r="42" spans="1:7" x14ac:dyDescent="0.2">
      <c r="A42" s="988"/>
      <c r="B42" s="162"/>
      <c r="C42" s="1002"/>
      <c r="D42" s="2310" t="s">
        <v>543</v>
      </c>
      <c r="E42" s="2311"/>
      <c r="F42" s="1003" t="s">
        <v>544</v>
      </c>
      <c r="G42" s="1004"/>
    </row>
    <row r="43" spans="1:7" ht="12" customHeight="1" x14ac:dyDescent="0.2">
      <c r="A43" s="988"/>
      <c r="B43" s="162"/>
      <c r="C43" s="1002"/>
      <c r="D43" s="1829" t="s">
        <v>493</v>
      </c>
      <c r="E43" s="1830">
        <f>D41</f>
        <v>130994</v>
      </c>
      <c r="F43" s="1829" t="s">
        <v>495</v>
      </c>
      <c r="G43" s="1830">
        <f>F41</f>
        <v>340283</v>
      </c>
    </row>
    <row r="44" spans="1:7" ht="12" customHeight="1" x14ac:dyDescent="0.2">
      <c r="A44" s="988"/>
      <c r="B44" s="162"/>
      <c r="C44" s="1002"/>
      <c r="D44" s="1829" t="s">
        <v>494</v>
      </c>
      <c r="E44" s="1830">
        <f>E41</f>
        <v>3334065</v>
      </c>
      <c r="F44" s="1829" t="s">
        <v>494</v>
      </c>
      <c r="G44" s="1830">
        <f>G41</f>
        <v>3124776</v>
      </c>
    </row>
    <row r="45" spans="1:7" ht="12" customHeight="1" x14ac:dyDescent="0.2">
      <c r="A45" s="988"/>
      <c r="B45" s="162"/>
      <c r="C45" s="162"/>
      <c r="D45" s="1831" t="s">
        <v>1063</v>
      </c>
      <c r="E45" s="1832">
        <f>(E43/E44)</f>
        <v>3.9289575938081592E-2</v>
      </c>
      <c r="F45" s="1831" t="s">
        <v>1063</v>
      </c>
      <c r="G45" s="1832">
        <f>(G43/G44)</f>
        <v>0.10889836583486304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1" activePane="bottomLeft" state="frozen"/>
      <selection activeCell="A47" sqref="A47"/>
      <selection pane="bottomLeft" activeCell="F19" sqref="F1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8" t="s">
        <v>1446</v>
      </c>
      <c r="B1" s="2318"/>
      <c r="C1" s="2318"/>
      <c r="D1" s="2318"/>
      <c r="E1" s="2318"/>
      <c r="F1" s="2318"/>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9" t="s">
        <v>1627</v>
      </c>
      <c r="B5" s="2320"/>
      <c r="C5" s="2321"/>
      <c r="D5" s="2321"/>
      <c r="E5" s="2321"/>
      <c r="F5" s="2321"/>
    </row>
    <row r="6" spans="1:10" ht="12" customHeight="1" x14ac:dyDescent="0.25">
      <c r="A6" s="1874"/>
      <c r="B6" s="1875"/>
      <c r="C6" s="2322" t="str">
        <f>COVER!A17</f>
        <v>Illini West HS Dist 307</v>
      </c>
      <c r="D6" s="2322"/>
      <c r="E6" s="2322"/>
      <c r="F6" s="1876"/>
    </row>
    <row r="7" spans="1:10" ht="11.25" customHeight="1" thickBot="1" x14ac:dyDescent="0.3">
      <c r="A7" s="1874"/>
      <c r="B7" s="1875"/>
      <c r="C7" s="2323">
        <f>COVER!A13</f>
        <v>26034307016</v>
      </c>
      <c r="D7" s="2323"/>
      <c r="E7" s="2323"/>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t="s">
        <v>2077</v>
      </c>
      <c r="D12" s="1889" t="s">
        <v>2077</v>
      </c>
      <c r="E12" s="1892" t="s">
        <v>2077</v>
      </c>
      <c r="F12" s="1891" t="s">
        <v>2096</v>
      </c>
      <c r="H12" s="1902">
        <f t="shared" ref="H12:H33" si="0">IF(C12="X",5,0)</f>
        <v>5</v>
      </c>
      <c r="I12" s="1902">
        <f t="shared" ref="I12:I33" si="1">IF(D12="X",5,0)</f>
        <v>5</v>
      </c>
      <c r="J12" s="1902">
        <f t="shared" ref="J12:J33" si="2">IF(E12="X",5,0)</f>
        <v>5</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2096</v>
      </c>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t="s">
        <v>2077</v>
      </c>
      <c r="D18" s="1889" t="s">
        <v>2077</v>
      </c>
      <c r="E18" s="1892" t="s">
        <v>2077</v>
      </c>
      <c r="F18" s="1891" t="s">
        <v>2096</v>
      </c>
      <c r="H18" s="1902">
        <f t="shared" si="0"/>
        <v>5</v>
      </c>
      <c r="I18" s="1902">
        <f t="shared" si="1"/>
        <v>5</v>
      </c>
      <c r="J18" s="1902">
        <f t="shared" si="2"/>
        <v>5</v>
      </c>
    </row>
    <row r="19" spans="1:12" ht="12" customHeight="1" x14ac:dyDescent="0.2">
      <c r="A19" s="1887" t="s">
        <v>1608</v>
      </c>
      <c r="B19" s="1888"/>
      <c r="C19" s="1889" t="s">
        <v>2077</v>
      </c>
      <c r="D19" s="1889" t="s">
        <v>2077</v>
      </c>
      <c r="E19" s="1892" t="s">
        <v>2077</v>
      </c>
      <c r="F19" s="1891" t="s">
        <v>2103</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2077</v>
      </c>
      <c r="D24" s="1889" t="s">
        <v>2077</v>
      </c>
      <c r="E24" s="1892" t="s">
        <v>2077</v>
      </c>
      <c r="F24" s="1891" t="s">
        <v>2097</v>
      </c>
      <c r="H24" s="1902">
        <f t="shared" si="0"/>
        <v>5</v>
      </c>
      <c r="I24" s="1902">
        <f t="shared" si="1"/>
        <v>5</v>
      </c>
      <c r="J24" s="1902">
        <f t="shared" si="2"/>
        <v>5</v>
      </c>
    </row>
    <row r="25" spans="1:12" ht="12" customHeight="1" x14ac:dyDescent="0.2">
      <c r="A25" s="1887" t="s">
        <v>1614</v>
      </c>
      <c r="B25" s="1888"/>
      <c r="C25" s="1889" t="s">
        <v>2077</v>
      </c>
      <c r="D25" s="1889" t="s">
        <v>2077</v>
      </c>
      <c r="E25" s="1892" t="s">
        <v>2077</v>
      </c>
      <c r="F25" s="1891" t="s">
        <v>2096</v>
      </c>
      <c r="H25" s="1902">
        <f t="shared" si="0"/>
        <v>5</v>
      </c>
      <c r="I25" s="1902">
        <f t="shared" si="1"/>
        <v>5</v>
      </c>
      <c r="J25" s="1902">
        <f t="shared" si="2"/>
        <v>5</v>
      </c>
    </row>
    <row r="26" spans="1:12" ht="12" customHeight="1" x14ac:dyDescent="0.2">
      <c r="A26" s="1887" t="s">
        <v>1615</v>
      </c>
      <c r="B26" s="1888"/>
      <c r="C26" s="1889" t="s">
        <v>2077</v>
      </c>
      <c r="D26" s="1889" t="s">
        <v>2077</v>
      </c>
      <c r="E26" s="1892" t="s">
        <v>2077</v>
      </c>
      <c r="F26" s="1891" t="s">
        <v>2098</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t="s">
        <v>2077</v>
      </c>
      <c r="F28" s="1891" t="s">
        <v>2099</v>
      </c>
      <c r="H28" s="1902">
        <f t="shared" si="0"/>
        <v>5</v>
      </c>
      <c r="I28" s="1902">
        <f t="shared" si="1"/>
        <v>5</v>
      </c>
      <c r="J28" s="1902">
        <f t="shared" si="2"/>
        <v>5</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2077</v>
      </c>
      <c r="F30" s="1891" t="s">
        <v>2100</v>
      </c>
      <c r="H30" s="1902">
        <f t="shared" si="0"/>
        <v>5</v>
      </c>
      <c r="I30" s="1902">
        <f t="shared" si="1"/>
        <v>5</v>
      </c>
      <c r="J30" s="1902">
        <f t="shared" si="2"/>
        <v>5</v>
      </c>
    </row>
    <row r="31" spans="1:12" ht="12" customHeight="1" x14ac:dyDescent="0.2">
      <c r="A31" s="1887" t="s">
        <v>1620</v>
      </c>
      <c r="B31" s="1888"/>
      <c r="C31" s="1889" t="s">
        <v>2077</v>
      </c>
      <c r="D31" s="1889" t="s">
        <v>2077</v>
      </c>
      <c r="E31" s="1892" t="s">
        <v>2077</v>
      </c>
      <c r="F31" s="1891" t="s">
        <v>2101</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50</v>
      </c>
      <c r="I34" s="1902">
        <f>SUM(I11:I32)</f>
        <v>50</v>
      </c>
      <c r="J34" s="1902">
        <f>SUM(J11:J32)</f>
        <v>50</v>
      </c>
      <c r="K34" s="1902">
        <f>SUM(H34:J34)</f>
        <v>150</v>
      </c>
    </row>
    <row r="35" spans="1:11" ht="12" customHeight="1" x14ac:dyDescent="0.2">
      <c r="A35" s="1895" t="s">
        <v>1459</v>
      </c>
      <c r="B35" s="1896"/>
      <c r="C35" s="2324"/>
      <c r="D35" s="2324"/>
      <c r="E35" s="2324"/>
      <c r="F35" s="2325"/>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29"/>
      <c r="B38" s="2330"/>
      <c r="C38" s="2330"/>
      <c r="D38" s="2330"/>
      <c r="E38" s="2330"/>
      <c r="F38" s="2331"/>
    </row>
    <row r="39" spans="1:11" ht="4.5" hidden="1" customHeight="1" x14ac:dyDescent="0.2">
      <c r="A39" s="1897"/>
      <c r="B39" s="1897"/>
      <c r="C39" s="1897"/>
      <c r="D39" s="1897"/>
      <c r="E39" s="1897"/>
      <c r="F39" s="1897"/>
    </row>
    <row r="40" spans="1:11" s="1894" customFormat="1" ht="12" customHeight="1" x14ac:dyDescent="0.25">
      <c r="A40" s="1898" t="s">
        <v>1458</v>
      </c>
      <c r="B40" s="1899"/>
      <c r="C40" s="2332"/>
      <c r="D40" s="2332"/>
      <c r="E40" s="2332"/>
      <c r="F40" s="2333"/>
      <c r="H40" s="1903"/>
      <c r="I40" s="1903"/>
      <c r="J40" s="1903"/>
      <c r="K40" s="1903"/>
    </row>
    <row r="41" spans="1:11" s="1894" customFormat="1" ht="12" customHeight="1" x14ac:dyDescent="0.25">
      <c r="A41" s="2334" t="s">
        <v>2102</v>
      </c>
      <c r="B41" s="2335"/>
      <c r="C41" s="2335"/>
      <c r="D41" s="2335"/>
      <c r="E41" s="2335"/>
      <c r="F41" s="2336"/>
      <c r="H41" s="1903"/>
      <c r="I41" s="1903"/>
      <c r="J41" s="1903"/>
      <c r="K41" s="1903"/>
    </row>
    <row r="42" spans="1:11" s="1894" customFormat="1" ht="12" customHeight="1" x14ac:dyDescent="0.25">
      <c r="A42" s="2334"/>
      <c r="B42" s="2335"/>
      <c r="C42" s="2335"/>
      <c r="D42" s="2335"/>
      <c r="E42" s="2335"/>
      <c r="F42" s="2336"/>
      <c r="H42" s="1903"/>
      <c r="I42" s="1903"/>
      <c r="J42" s="1903"/>
      <c r="K42" s="1903"/>
    </row>
    <row r="43" spans="1:11" s="1894" customFormat="1" ht="15" x14ac:dyDescent="0.25">
      <c r="A43" s="2326"/>
      <c r="B43" s="2327"/>
      <c r="C43" s="2327"/>
      <c r="D43" s="2327"/>
      <c r="E43" s="2327"/>
      <c r="F43" s="2328"/>
      <c r="H43" s="1903"/>
      <c r="I43" s="1903"/>
      <c r="J43" s="1903"/>
      <c r="K43" s="1903"/>
    </row>
    <row r="44" spans="1:11" s="1894" customFormat="1" ht="12" hidden="1" customHeight="1" x14ac:dyDescent="0.25">
      <c r="A44" s="2326"/>
      <c r="B44" s="2327"/>
      <c r="C44" s="2327"/>
      <c r="D44" s="2327"/>
      <c r="E44" s="2327"/>
      <c r="F44" s="2328"/>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71"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16" sqref="M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2" t="str">
        <f>COVER!A17</f>
        <v>Illini West HS Dist 307</v>
      </c>
      <c r="J6" s="2343"/>
      <c r="Q6" s="1685"/>
    </row>
    <row r="7" spans="1:17" x14ac:dyDescent="0.2">
      <c r="A7" s="2344" t="s">
        <v>924</v>
      </c>
      <c r="B7" s="2345"/>
      <c r="C7" s="2345"/>
      <c r="D7" s="2345"/>
      <c r="E7" s="2346"/>
      <c r="F7" s="1018"/>
      <c r="G7" s="1010"/>
      <c r="H7" s="1017" t="s">
        <v>390</v>
      </c>
      <c r="I7" s="2347">
        <f>COVER!A13</f>
        <v>26034307016</v>
      </c>
      <c r="J7" s="2347"/>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141850</v>
      </c>
      <c r="F12" s="1040"/>
      <c r="G12" s="1833">
        <f t="shared" ref="G12:G18" si="0">SUM(E12:F12)</f>
        <v>141850</v>
      </c>
      <c r="H12" s="1041">
        <v>149523</v>
      </c>
      <c r="I12" s="1040"/>
      <c r="J12" s="1833">
        <f t="shared" ref="J12:J18" si="1">SUM(H12:I12)</f>
        <v>149523</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1" t="s">
        <v>7</v>
      </c>
      <c r="C18" s="2352"/>
      <c r="D18" s="2353"/>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141850</v>
      </c>
      <c r="F19" s="1835">
        <f t="shared" si="2"/>
        <v>0</v>
      </c>
      <c r="G19" s="1835">
        <f t="shared" si="2"/>
        <v>141850</v>
      </c>
      <c r="H19" s="1835">
        <f t="shared" si="2"/>
        <v>149523</v>
      </c>
      <c r="I19" s="1835">
        <f t="shared" si="2"/>
        <v>0</v>
      </c>
      <c r="J19" s="1835">
        <f t="shared" si="2"/>
        <v>149523</v>
      </c>
    </row>
    <row r="20" spans="1:10" ht="13.5" thickTop="1" x14ac:dyDescent="0.2">
      <c r="A20" s="1036">
        <v>9</v>
      </c>
      <c r="B20" s="2354" t="s">
        <v>1703</v>
      </c>
      <c r="C20" s="2354"/>
      <c r="D20" s="2355"/>
      <c r="E20" s="1047"/>
      <c r="F20" s="1047"/>
      <c r="G20" s="1047"/>
      <c r="H20" s="1047"/>
      <c r="I20" s="1047"/>
      <c r="J20" s="1836">
        <f>IF(AND(G19&gt;0,J19&gt;0),(((J19-G19)/G19)),"Enter Budget Data")</f>
        <v>5.4092351075079308E-2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1944</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0"/>
  <sheetViews>
    <sheetView showGridLines="0" topLeftCell="A10" zoomScale="110" zoomScaleNormal="110" workbookViewId="0">
      <selection activeCell="B37" sqref="B3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276</v>
      </c>
      <c r="C2" s="1961"/>
    </row>
    <row r="3" spans="1:4" x14ac:dyDescent="0.2">
      <c r="A3" s="329" t="s">
        <v>277</v>
      </c>
      <c r="C3" s="1961"/>
    </row>
    <row r="4" spans="1:4" x14ac:dyDescent="0.2">
      <c r="C4" s="1961"/>
    </row>
    <row r="5" spans="1:4" x14ac:dyDescent="0.2">
      <c r="A5" s="1958" t="s">
        <v>2118</v>
      </c>
      <c r="C5" s="1961"/>
    </row>
    <row r="6" spans="1:4" x14ac:dyDescent="0.2">
      <c r="A6" s="1069"/>
      <c r="B6" s="329" t="s">
        <v>2110</v>
      </c>
      <c r="C6" s="1961"/>
      <c r="D6" s="1959"/>
    </row>
    <row r="7" spans="1:4" ht="15" x14ac:dyDescent="0.35">
      <c r="A7" s="1069"/>
      <c r="B7" s="329" t="s">
        <v>2111</v>
      </c>
      <c r="C7" s="1961" t="s">
        <v>1015</v>
      </c>
      <c r="D7" s="1960">
        <v>767</v>
      </c>
    </row>
    <row r="8" spans="1:4" x14ac:dyDescent="0.2">
      <c r="A8" s="1069"/>
      <c r="C8" s="1961"/>
      <c r="D8" s="1959"/>
    </row>
    <row r="9" spans="1:4" x14ac:dyDescent="0.2">
      <c r="A9" s="1958" t="s">
        <v>2117</v>
      </c>
      <c r="B9" s="1962"/>
      <c r="C9" s="1961"/>
      <c r="D9" s="1959"/>
    </row>
    <row r="10" spans="1:4" x14ac:dyDescent="0.2">
      <c r="A10" s="1069"/>
      <c r="B10" s="329" t="s">
        <v>2110</v>
      </c>
      <c r="C10" s="1961"/>
      <c r="D10" s="1959"/>
    </row>
    <row r="11" spans="1:4" ht="15" x14ac:dyDescent="0.35">
      <c r="A11" s="1069"/>
      <c r="B11" s="329" t="s">
        <v>2112</v>
      </c>
      <c r="C11" s="1961" t="s">
        <v>1015</v>
      </c>
      <c r="D11" s="1960">
        <v>460</v>
      </c>
    </row>
    <row r="12" spans="1:4" x14ac:dyDescent="0.2">
      <c r="A12" s="1069"/>
      <c r="C12" s="1961"/>
      <c r="D12" s="1959"/>
    </row>
    <row r="13" spans="1:4" x14ac:dyDescent="0.2">
      <c r="A13" s="1958" t="s">
        <v>2116</v>
      </c>
      <c r="C13" s="1961"/>
      <c r="D13" s="1959"/>
    </row>
    <row r="14" spans="1:4" x14ac:dyDescent="0.2">
      <c r="A14" s="1069"/>
      <c r="B14" s="329" t="s">
        <v>2113</v>
      </c>
      <c r="C14" s="1961"/>
      <c r="D14" s="1959"/>
    </row>
    <row r="15" spans="1:4" x14ac:dyDescent="0.2">
      <c r="A15" s="1069"/>
      <c r="B15" s="329" t="s">
        <v>2124</v>
      </c>
      <c r="C15" s="1961" t="s">
        <v>1015</v>
      </c>
      <c r="D15" s="1959">
        <v>12</v>
      </c>
    </row>
    <row r="16" spans="1:4" x14ac:dyDescent="0.2">
      <c r="A16" s="1069"/>
      <c r="B16" s="329" t="s">
        <v>2114</v>
      </c>
      <c r="C16" s="1961"/>
      <c r="D16" s="1959">
        <v>17727</v>
      </c>
    </row>
    <row r="17" spans="1:4" ht="15" x14ac:dyDescent="0.35">
      <c r="A17" s="1069"/>
      <c r="B17" s="329" t="s">
        <v>2115</v>
      </c>
      <c r="C17" s="1961"/>
      <c r="D17" s="1963">
        <v>1800</v>
      </c>
    </row>
    <row r="18" spans="1:4" x14ac:dyDescent="0.2">
      <c r="A18" s="1069"/>
      <c r="C18" s="1961"/>
      <c r="D18" s="1959"/>
    </row>
    <row r="19" spans="1:4" ht="15" x14ac:dyDescent="0.35">
      <c r="A19" s="1069"/>
      <c r="B19" s="329" t="s">
        <v>158</v>
      </c>
      <c r="C19" s="1961" t="s">
        <v>1015</v>
      </c>
      <c r="D19" s="1960">
        <f>SUM(D15:D18)</f>
        <v>19539</v>
      </c>
    </row>
    <row r="20" spans="1:4" x14ac:dyDescent="0.2">
      <c r="A20" s="1069"/>
      <c r="C20" s="1961"/>
      <c r="D20" s="1959"/>
    </row>
    <row r="21" spans="1:4" x14ac:dyDescent="0.2">
      <c r="A21" s="1958" t="s">
        <v>2120</v>
      </c>
      <c r="C21" s="1961"/>
      <c r="D21" s="1959"/>
    </row>
    <row r="22" spans="1:4" x14ac:dyDescent="0.2">
      <c r="A22" s="1069"/>
      <c r="B22" s="329" t="s">
        <v>2113</v>
      </c>
      <c r="C22" s="1961"/>
      <c r="D22" s="1959"/>
    </row>
    <row r="23" spans="1:4" ht="15" x14ac:dyDescent="0.35">
      <c r="A23" s="1069"/>
      <c r="B23" s="329" t="s">
        <v>2119</v>
      </c>
      <c r="C23" s="1961" t="s">
        <v>1015</v>
      </c>
      <c r="D23" s="1960">
        <v>74345</v>
      </c>
    </row>
    <row r="24" spans="1:4" x14ac:dyDescent="0.2">
      <c r="A24" s="1069"/>
      <c r="C24" s="1961"/>
      <c r="D24" s="1959"/>
    </row>
    <row r="25" spans="1:4" x14ac:dyDescent="0.2">
      <c r="A25" s="1958" t="s">
        <v>2123</v>
      </c>
      <c r="B25" s="1962"/>
      <c r="C25" s="1961"/>
      <c r="D25" s="1959"/>
    </row>
    <row r="26" spans="1:4" x14ac:dyDescent="0.2">
      <c r="A26" s="1069"/>
      <c r="B26" s="329" t="s">
        <v>2113</v>
      </c>
      <c r="C26" s="1961"/>
      <c r="D26" s="1959"/>
    </row>
    <row r="27" spans="1:4" ht="15" x14ac:dyDescent="0.35">
      <c r="A27" s="1069"/>
      <c r="B27" s="329" t="s">
        <v>2121</v>
      </c>
      <c r="C27" s="1961" t="s">
        <v>1015</v>
      </c>
      <c r="D27" s="1960">
        <v>71400</v>
      </c>
    </row>
    <row r="28" spans="1:4" x14ac:dyDescent="0.2">
      <c r="A28" s="1069"/>
      <c r="C28" s="1961"/>
      <c r="D28" s="1959"/>
    </row>
    <row r="29" spans="1:4" x14ac:dyDescent="0.2">
      <c r="A29" s="1958" t="s">
        <v>2125</v>
      </c>
      <c r="C29" s="1961"/>
      <c r="D29" s="1959"/>
    </row>
    <row r="30" spans="1:4" x14ac:dyDescent="0.2">
      <c r="A30" s="1069"/>
      <c r="B30" s="329" t="s">
        <v>2113</v>
      </c>
      <c r="C30" s="1961"/>
      <c r="D30" s="1959"/>
    </row>
    <row r="31" spans="1:4" ht="15" x14ac:dyDescent="0.35">
      <c r="A31" s="1069"/>
      <c r="B31" s="329" t="s">
        <v>2122</v>
      </c>
      <c r="C31" s="1961" t="s">
        <v>1015</v>
      </c>
      <c r="D31" s="1960">
        <v>100558</v>
      </c>
    </row>
    <row r="32" spans="1:4" x14ac:dyDescent="0.2">
      <c r="A32" s="1069"/>
      <c r="C32" s="1961"/>
      <c r="D32" s="1959"/>
    </row>
    <row r="33" spans="1:4" x14ac:dyDescent="0.2">
      <c r="A33" s="1069"/>
      <c r="D33" s="1959"/>
    </row>
    <row r="34" spans="1:4" x14ac:dyDescent="0.2">
      <c r="A34" s="1069"/>
      <c r="D34" s="1959"/>
    </row>
    <row r="35" spans="1:4" x14ac:dyDescent="0.2">
      <c r="A35" s="1069"/>
      <c r="D35" s="1959"/>
    </row>
    <row r="36" spans="1:4" x14ac:dyDescent="0.2">
      <c r="A36" s="1069"/>
      <c r="D36" s="1959"/>
    </row>
    <row r="37" spans="1:4" x14ac:dyDescent="0.2">
      <c r="A37" s="1069"/>
    </row>
    <row r="38" spans="1:4" x14ac:dyDescent="0.2">
      <c r="A38" s="1069"/>
    </row>
    <row r="39" spans="1:4" x14ac:dyDescent="0.2">
      <c r="A39" s="1069"/>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2" x14ac:dyDescent="0.2">
      <c r="A49" s="1069"/>
      <c r="B49" s="258" t="str">
        <f>COVER!A17</f>
        <v>Illini West HS Dist 307</v>
      </c>
    </row>
    <row r="50" spans="1:2" x14ac:dyDescent="0.2">
      <c r="B50" s="1070">
        <f>COVER!A13</f>
        <v>26034307016</v>
      </c>
    </row>
  </sheetData>
  <phoneticPr fontId="14" type="noConversion"/>
  <pageMargins left="0.2" right="0.2" top="1.17" bottom="0.75" header="0.19" footer="0.25"/>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Q1" sqref="AQ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1" t="s">
        <v>1784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0</xdr:col>
                <xdr:colOff>57150</xdr:colOff>
                <xdr:row>0</xdr:row>
                <xdr:rowOff>114300</xdr:rowOff>
              </from>
              <to>
                <xdr:col>1</xdr:col>
                <xdr:colOff>847725</xdr:colOff>
                <xdr:row>4</xdr:row>
                <xdr:rowOff>95250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7">
            <anchor moveWithCells="1">
              <from>
                <xdr:col>1</xdr:col>
                <xdr:colOff>1123950</xdr:colOff>
                <xdr:row>0</xdr:row>
                <xdr:rowOff>142875</xdr:rowOff>
              </from>
              <to>
                <xdr:col>1</xdr:col>
                <xdr:colOff>2038350</xdr:colOff>
                <xdr:row>4</xdr:row>
                <xdr:rowOff>133350</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8">
          <objectPr defaultSize="0" r:id="rId9">
            <anchor moveWithCells="1">
              <from>
                <xdr:col>1</xdr:col>
                <xdr:colOff>2286000</xdr:colOff>
                <xdr:row>0</xdr:row>
                <xdr:rowOff>161925</xdr:rowOff>
              </from>
              <to>
                <xdr:col>1</xdr:col>
                <xdr:colOff>3200400</xdr:colOff>
                <xdr:row>4</xdr:row>
                <xdr:rowOff>142875</xdr:rowOff>
              </to>
            </anchor>
          </objectPr>
        </oleObject>
      </mc:Choice>
      <mc:Fallback>
        <oleObject progId="Acrobat.Document.2015" dvAspect="DVASPECT_ICON" shapeId="35843" r:id="rId8"/>
      </mc:Fallback>
    </mc:AlternateContent>
    <mc:AlternateContent xmlns:mc="http://schemas.openxmlformats.org/markup-compatibility/2006">
      <mc:Choice Requires="x14">
        <oleObject progId="Acrobat.Document.2015" dvAspect="DVASPECT_ICON" shapeId="35844" r:id="rId10">
          <objectPr defaultSize="0" r:id="rId11">
            <anchor moveWithCells="1">
              <from>
                <xdr:col>1</xdr:col>
                <xdr:colOff>3419475</xdr:colOff>
                <xdr:row>1</xdr:row>
                <xdr:rowOff>19050</xdr:rowOff>
              </from>
              <to>
                <xdr:col>2</xdr:col>
                <xdr:colOff>247650</xdr:colOff>
                <xdr:row>5</xdr:row>
                <xdr:rowOff>0</xdr:rowOff>
              </to>
            </anchor>
          </objectPr>
        </oleObject>
      </mc:Choice>
      <mc:Fallback>
        <oleObject progId="Acrobat.Document.2015"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4"/>
      <c r="H2" s="1074"/>
    </row>
    <row r="3" spans="1:8" ht="57" customHeight="1" x14ac:dyDescent="0.2">
      <c r="A3" s="2375" t="s">
        <v>1786</v>
      </c>
      <c r="B3" s="2376"/>
      <c r="C3" s="2376"/>
      <c r="D3" s="2376"/>
      <c r="E3" s="2376"/>
      <c r="F3" s="2377"/>
      <c r="G3" s="1074"/>
      <c r="H3" s="1074"/>
    </row>
    <row r="4" spans="1:8" ht="14.25" customHeight="1" x14ac:dyDescent="0.2">
      <c r="A4" s="2381" t="s">
        <v>2056</v>
      </c>
      <c r="B4" s="2382"/>
      <c r="C4" s="2382"/>
      <c r="D4" s="2382"/>
      <c r="E4" s="2382"/>
      <c r="F4" s="2383"/>
      <c r="G4" s="1074"/>
      <c r="H4" s="1074"/>
    </row>
    <row r="5" spans="1:8" ht="14.25" customHeight="1" x14ac:dyDescent="0.2">
      <c r="A5" s="2384" t="s">
        <v>2057</v>
      </c>
      <c r="B5" s="2385"/>
      <c r="C5" s="2385"/>
      <c r="D5" s="2385"/>
      <c r="E5" s="2385"/>
      <c r="F5" s="2386"/>
      <c r="G5" s="1074"/>
      <c r="H5" s="1074"/>
    </row>
    <row r="6" spans="1:8" s="1075" customFormat="1" ht="41.25" customHeight="1" x14ac:dyDescent="0.2">
      <c r="A6" s="2378" t="s">
        <v>1792</v>
      </c>
      <c r="B6" s="2379"/>
      <c r="C6" s="2379"/>
      <c r="D6" s="2379"/>
      <c r="E6" s="2379"/>
      <c r="F6" s="2380"/>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3078843</v>
      </c>
      <c r="C8" s="1837">
        <f>'Acct Summary 7-8'!D8</f>
        <v>576062</v>
      </c>
      <c r="D8" s="1837">
        <f>'Acct Summary 7-8'!F8</f>
        <v>479476</v>
      </c>
      <c r="E8" s="1837">
        <f>'Acct Summary 7-8'!I8</f>
        <v>71429</v>
      </c>
      <c r="F8" s="1837">
        <f>SUM(B8:E8)</f>
        <v>4205810</v>
      </c>
    </row>
    <row r="9" spans="1:8" s="1079" customFormat="1" ht="14.25" customHeight="1" thickBot="1" x14ac:dyDescent="0.25">
      <c r="A9" s="1078" t="s">
        <v>1436</v>
      </c>
      <c r="B9" s="1838">
        <f>'Acct Summary 7-8'!C17</f>
        <v>2945254</v>
      </c>
      <c r="C9" s="1838">
        <f>'Acct Summary 7-8'!D17</f>
        <v>411518</v>
      </c>
      <c r="D9" s="1838">
        <f>'Acct Summary 7-8'!F17</f>
        <v>381773</v>
      </c>
      <c r="E9" s="1837"/>
      <c r="F9" s="1837">
        <f>SUM(B9:E9)</f>
        <v>3738545</v>
      </c>
    </row>
    <row r="10" spans="1:8" s="1079" customFormat="1" ht="14.25" thickTop="1" thickBot="1" x14ac:dyDescent="0.25">
      <c r="A10" s="1080" t="s">
        <v>1437</v>
      </c>
      <c r="B10" s="1839">
        <f>(B8-B9)</f>
        <v>133589</v>
      </c>
      <c r="C10" s="1839">
        <f>(C8-C9)</f>
        <v>164544</v>
      </c>
      <c r="D10" s="1839">
        <f>(D8-D9)</f>
        <v>97703</v>
      </c>
      <c r="E10" s="1838">
        <f>(E8-E9)</f>
        <v>71429</v>
      </c>
      <c r="F10" s="1840">
        <f>SUM(F8-F9)</f>
        <v>467265</v>
      </c>
    </row>
    <row r="11" spans="1:8" s="1079" customFormat="1" ht="14.25" thickTop="1" thickBot="1" x14ac:dyDescent="0.25">
      <c r="A11" s="1081" t="s">
        <v>1785</v>
      </c>
      <c r="B11" s="1841">
        <f>'Acct Summary 7-8'!C81</f>
        <v>1828919</v>
      </c>
      <c r="C11" s="1841">
        <f>'Acct Summary 7-8'!D81</f>
        <v>303690</v>
      </c>
      <c r="D11" s="1841">
        <f>'Acct Summary 7-8'!F81</f>
        <v>415026</v>
      </c>
      <c r="E11" s="1841">
        <f>'Acct Summary 7-8'!I81</f>
        <v>270142</v>
      </c>
      <c r="F11" s="1842">
        <f>SUM(B11:E11)</f>
        <v>2817777</v>
      </c>
    </row>
    <row r="12" spans="1:8" ht="16.5" customHeight="1" thickTop="1" x14ac:dyDescent="0.2">
      <c r="A12" s="1082"/>
      <c r="B12" s="1083"/>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4"/>
      <c r="B13" s="1085"/>
      <c r="C13" s="2366"/>
      <c r="D13" s="2367"/>
      <c r="E13" s="2367"/>
      <c r="F13" s="2368"/>
      <c r="H13" s="1074"/>
    </row>
    <row r="14" spans="1:8" ht="19.5" customHeight="1" x14ac:dyDescent="0.2">
      <c r="A14" s="1084"/>
      <c r="B14" s="1085"/>
      <c r="C14" s="2366"/>
      <c r="D14" s="2367"/>
      <c r="E14" s="2367"/>
      <c r="F14" s="2368"/>
      <c r="H14" s="1074"/>
    </row>
    <row r="15" spans="1:8" ht="17.25" customHeight="1" x14ac:dyDescent="0.2">
      <c r="A15" s="1084"/>
      <c r="B15" s="1085"/>
      <c r="C15" s="2369"/>
      <c r="D15" s="2370"/>
      <c r="E15" s="2370"/>
      <c r="F15" s="2371"/>
      <c r="H15" s="1074"/>
    </row>
    <row r="16" spans="1:8" s="310" customFormat="1" ht="51.75" hidden="1" customHeight="1" x14ac:dyDescent="0.2">
      <c r="A16" s="2365" t="s">
        <v>1787</v>
      </c>
      <c r="B16" s="2365"/>
      <c r="C16" s="2365"/>
      <c r="D16" s="2365"/>
      <c r="E16" s="2365"/>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7" t="s">
        <v>686</v>
      </c>
      <c r="B3" s="2388"/>
      <c r="C3" s="2388"/>
      <c r="D3" s="2389"/>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8" t="s">
        <v>1584</v>
      </c>
      <c r="D7" s="2399"/>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2" t="s">
        <v>332</v>
      </c>
      <c r="D21" s="2403"/>
    </row>
    <row r="22" spans="1:10" ht="12.75" x14ac:dyDescent="0.2">
      <c r="A22" s="1139"/>
      <c r="B22" s="1140">
        <v>2</v>
      </c>
      <c r="C22" s="2400" t="s">
        <v>1605</v>
      </c>
      <c r="D22" s="2401"/>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4" t="s">
        <v>557</v>
      </c>
      <c r="D43" s="2405"/>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6" t="s">
        <v>817</v>
      </c>
      <c r="D56" s="2397"/>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6" t="s">
        <v>1797</v>
      </c>
      <c r="D70" s="2397"/>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29'!D136&gt;0,"OK","PLEASE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26034307016</v>
      </c>
    </row>
    <row r="3" spans="1:2" x14ac:dyDescent="0.2">
      <c r="A3" t="s">
        <v>1013</v>
      </c>
      <c r="B3" s="138" t="str">
        <f>COVER!A15</f>
        <v>HANCOCK</v>
      </c>
    </row>
    <row r="4" spans="1:2" x14ac:dyDescent="0.2">
      <c r="A4" t="s">
        <v>1064</v>
      </c>
      <c r="B4" s="138" t="str">
        <f>COVER!A17</f>
        <v>Illini West HS Dist 307</v>
      </c>
    </row>
    <row r="5" spans="1:2" x14ac:dyDescent="0.2">
      <c r="A5" t="s">
        <v>728</v>
      </c>
      <c r="B5" s="138" t="str">
        <f>COVER!A38</f>
        <v>KIM SCHILSON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066-003689</v>
      </c>
    </row>
    <row r="16" spans="1:2" x14ac:dyDescent="0.2">
      <c r="A16" t="s">
        <v>442</v>
      </c>
      <c r="B16" s="138" t="str">
        <f>COVER!T13</f>
        <v>GRAY HUNTER STENN LLP</v>
      </c>
    </row>
    <row r="17" spans="1:2" x14ac:dyDescent="0.2">
      <c r="A17" t="s">
        <v>939</v>
      </c>
      <c r="B17" s="138" t="str">
        <f>COVER!T15</f>
        <v>LOWELL A. YATES, C.P.A.</v>
      </c>
    </row>
    <row r="18" spans="1:2" x14ac:dyDescent="0.2">
      <c r="A18" t="s">
        <v>1212</v>
      </c>
      <c r="B18" s="138" t="str">
        <f>COVER!T17</f>
        <v>500 MAINE STREET, PO BOX 32</v>
      </c>
    </row>
    <row r="19" spans="1:2" x14ac:dyDescent="0.2">
      <c r="A19" t="s">
        <v>941</v>
      </c>
      <c r="B19" s="138" t="str">
        <f>COVER!T25</f>
        <v>lay@gray-hunter-stenn.com</v>
      </c>
    </row>
    <row r="20" spans="1:2" x14ac:dyDescent="0.2">
      <c r="A20" t="s">
        <v>942</v>
      </c>
      <c r="B20" s="138" t="str">
        <f>COVER!T19</f>
        <v>QUINCY</v>
      </c>
    </row>
    <row r="21" spans="1:2" x14ac:dyDescent="0.2">
      <c r="A21" t="s">
        <v>500</v>
      </c>
      <c r="B21" s="138" t="str">
        <f>COVER!X19</f>
        <v>IL</v>
      </c>
    </row>
    <row r="22" spans="1:2" x14ac:dyDescent="0.2">
      <c r="A22" t="s">
        <v>943</v>
      </c>
      <c r="B22" s="138" t="str">
        <f>COVER!Z19</f>
        <v>62306-0032</v>
      </c>
    </row>
    <row r="23" spans="1:2" x14ac:dyDescent="0.2">
      <c r="A23" t="s">
        <v>1214</v>
      </c>
      <c r="B23" s="138" t="str">
        <f>COVER!T21</f>
        <v>217-222-0304</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1008000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1829662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743</v>
      </c>
      <c r="C91" s="2" t="s">
        <v>594</v>
      </c>
      <c r="D91" s="2" t="str">
        <f t="shared" si="0"/>
        <v>Error?</v>
      </c>
    </row>
    <row r="92" spans="1:4" x14ac:dyDescent="0.2">
      <c r="A92" s="5">
        <v>31</v>
      </c>
      <c r="B92" s="138">
        <f>'Assets-Liab 5-6'!C39</f>
        <v>1711679</v>
      </c>
      <c r="D92" s="2" t="str">
        <f t="shared" si="0"/>
        <v>Error?</v>
      </c>
    </row>
    <row r="93" spans="1:4" x14ac:dyDescent="0.2">
      <c r="A93" s="5">
        <v>32</v>
      </c>
      <c r="B93" s="138">
        <f>'Assets-Liab 5-6'!C41</f>
        <v>1829662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303690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303690</v>
      </c>
      <c r="D123" s="2" t="str">
        <f t="shared" si="0"/>
        <v>Error?</v>
      </c>
    </row>
    <row r="124" spans="1:4" x14ac:dyDescent="0.2">
      <c r="A124" s="5">
        <v>63</v>
      </c>
      <c r="B124" s="138">
        <f>'Assets-Liab 5-6'!D41</f>
        <v>303690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415026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415026</v>
      </c>
      <c r="D170" s="2" t="str">
        <f t="shared" si="1"/>
        <v>Error?</v>
      </c>
    </row>
    <row r="171" spans="1:4" x14ac:dyDescent="0.2">
      <c r="A171" s="5">
        <v>110</v>
      </c>
      <c r="B171" s="138">
        <f>'Assets-Liab 5-6'!F41</f>
        <v>415026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261286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261286</v>
      </c>
      <c r="D189" s="2" t="str">
        <f t="shared" si="1"/>
        <v>Error?</v>
      </c>
    </row>
    <row r="190" spans="1:4" x14ac:dyDescent="0.2">
      <c r="A190" s="5">
        <v>129</v>
      </c>
      <c r="B190" s="138">
        <f>'Assets-Liab 5-6'!G41</f>
        <v>261286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4846</v>
      </c>
      <c r="D212" s="2" t="str">
        <f t="shared" si="2"/>
        <v>Error?</v>
      </c>
    </row>
    <row r="213" spans="1:4" x14ac:dyDescent="0.2">
      <c r="A213" s="12">
        <v>152</v>
      </c>
      <c r="B213" s="138">
        <f>'Assets-Liab 5-6'!H41</f>
        <v>4846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704470</v>
      </c>
      <c r="D273" s="2" t="str">
        <f t="shared" si="3"/>
        <v>Error?</v>
      </c>
    </row>
    <row r="274" spans="1:4" x14ac:dyDescent="0.2">
      <c r="A274" s="5">
        <v>213</v>
      </c>
      <c r="B274" s="138">
        <f>'Assets-Liab 5-6'!M17</f>
        <v>57559</v>
      </c>
      <c r="D274" s="2" t="str">
        <f t="shared" si="3"/>
        <v>Error?</v>
      </c>
    </row>
    <row r="275" spans="1:4" x14ac:dyDescent="0.2">
      <c r="A275" s="5">
        <v>214</v>
      </c>
      <c r="B275" s="138">
        <f>'Assets-Liab 5-6'!M18</f>
        <v>0</v>
      </c>
      <c r="D275" s="2" t="str">
        <f t="shared" si="3"/>
        <v>Error?</v>
      </c>
    </row>
    <row r="276" spans="1:4" x14ac:dyDescent="0.2">
      <c r="A276" s="5">
        <v>215</v>
      </c>
      <c r="B276" s="138">
        <f>'Assets-Liab 5-6'!M19</f>
        <v>950412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1758862</v>
      </c>
      <c r="C279" s="2" t="s">
        <v>594</v>
      </c>
      <c r="D279" s="2" t="str">
        <f t="shared" si="3"/>
        <v>Error?</v>
      </c>
    </row>
    <row r="280" spans="1:4" x14ac:dyDescent="0.2">
      <c r="A280" s="5">
        <v>219</v>
      </c>
      <c r="B280" s="138">
        <f>'Assets-Liab 5-6'!M40</f>
        <v>1758862</v>
      </c>
      <c r="D280" s="2" t="str">
        <f t="shared" si="3"/>
        <v>Error?</v>
      </c>
    </row>
    <row r="281" spans="1:4" x14ac:dyDescent="0.2">
      <c r="A281" s="5">
        <v>220</v>
      </c>
      <c r="B281" s="138">
        <f>'Assets-Liab 5-6'!M41</f>
        <v>1758862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853467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223254</v>
      </c>
      <c r="D717" s="2" t="str">
        <f t="shared" si="10"/>
        <v>Error?</v>
      </c>
    </row>
    <row r="718" spans="1:4" x14ac:dyDescent="0.2">
      <c r="A718" s="5">
        <v>657</v>
      </c>
      <c r="B718" s="138">
        <f>'Expenditures 15-22'!C14</f>
        <v>113419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1420223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55178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55178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104834</v>
      </c>
      <c r="D733" s="2" t="str">
        <f t="shared" si="10"/>
        <v>Error?</v>
      </c>
    </row>
    <row r="734" spans="1:4" x14ac:dyDescent="0.2">
      <c r="A734" s="5">
        <v>673</v>
      </c>
      <c r="B734" s="138">
        <f>'Expenditures 15-22'!C53</f>
        <v>104834</v>
      </c>
      <c r="C734" s="2" t="s">
        <v>594</v>
      </c>
      <c r="D734" s="2" t="str">
        <f t="shared" si="10"/>
        <v>Error?</v>
      </c>
    </row>
    <row r="735" spans="1:4" x14ac:dyDescent="0.2">
      <c r="A735" s="5">
        <v>674</v>
      </c>
      <c r="B735" s="138">
        <f>'Expenditures 15-22'!C55</f>
        <v>168049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168049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34798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34798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37080</v>
      </c>
      <c r="D751" s="2" t="str">
        <f t="shared" si="10"/>
        <v>Error?</v>
      </c>
    </row>
    <row r="752" spans="1:4" x14ac:dyDescent="0.2">
      <c r="A752" s="10">
        <v>691</v>
      </c>
      <c r="D752" s="2" t="str">
        <f t="shared" si="10"/>
        <v>OK</v>
      </c>
    </row>
    <row r="753" spans="1:4" x14ac:dyDescent="0.2">
      <c r="A753" s="5">
        <v>692</v>
      </c>
      <c r="B753" s="138">
        <f>'Expenditures 15-22'!C72</f>
        <v>37080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399939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1820162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270041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55917</v>
      </c>
      <c r="D775" s="2" t="str">
        <f t="shared" si="11"/>
        <v>Error?</v>
      </c>
    </row>
    <row r="776" spans="1:4" x14ac:dyDescent="0.2">
      <c r="A776" s="5">
        <v>715</v>
      </c>
      <c r="B776" s="138">
        <f>'Expenditures 15-22'!D14</f>
        <v>6030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378071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16514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16514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31194</v>
      </c>
      <c r="D791" s="2" t="str">
        <f t="shared" si="11"/>
        <v>Error?</v>
      </c>
    </row>
    <row r="792" spans="1:4" x14ac:dyDescent="0.2">
      <c r="A792" s="5">
        <v>731</v>
      </c>
      <c r="B792" s="138">
        <f>'Expenditures 15-22'!D53</f>
        <v>31194</v>
      </c>
      <c r="C792" s="2" t="s">
        <v>594</v>
      </c>
      <c r="D792" s="2" t="str">
        <f t="shared" si="11"/>
        <v>Error?</v>
      </c>
    </row>
    <row r="793" spans="1:4" x14ac:dyDescent="0.2">
      <c r="A793" s="5">
        <v>732</v>
      </c>
      <c r="B793" s="138">
        <f>'Expenditures 15-22'!D55</f>
        <v>48916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48916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9542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9542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7634</v>
      </c>
      <c r="D809" s="2" t="str">
        <f t="shared" si="11"/>
        <v>Error?</v>
      </c>
    </row>
    <row r="810" spans="1:4" x14ac:dyDescent="0.2">
      <c r="A810" s="10">
        <v>749</v>
      </c>
      <c r="D810" s="2" t="str">
        <f t="shared" si="11"/>
        <v>OK</v>
      </c>
    </row>
    <row r="811" spans="1:4" x14ac:dyDescent="0.2">
      <c r="A811" s="5">
        <v>750</v>
      </c>
      <c r="B811" s="138">
        <f>'Expenditures 15-22'!D72</f>
        <v>7634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113800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491871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19499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2853</v>
      </c>
      <c r="D833" s="2" t="str">
        <f t="shared" si="12"/>
        <v>Error?</v>
      </c>
    </row>
    <row r="834" spans="1:4" x14ac:dyDescent="0.2">
      <c r="A834" s="5">
        <v>773</v>
      </c>
      <c r="B834" s="138">
        <f>'Expenditures 15-22'!E14</f>
        <v>27772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57254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2521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2696</v>
      </c>
      <c r="C843" s="2" t="s">
        <v>594</v>
      </c>
      <c r="D843" s="2" t="str">
        <f t="shared" si="12"/>
        <v>Error?</v>
      </c>
    </row>
    <row r="844" spans="1:4" x14ac:dyDescent="0.2">
      <c r="A844" s="5">
        <v>783</v>
      </c>
      <c r="B844" s="138">
        <f>'Expenditures 15-22'!E44</f>
        <v>37</v>
      </c>
      <c r="D844" s="2" t="str">
        <f t="shared" si="12"/>
        <v>Error?</v>
      </c>
    </row>
    <row r="845" spans="1:4" x14ac:dyDescent="0.2">
      <c r="A845" s="5">
        <v>784</v>
      </c>
      <c r="B845" s="138">
        <f>'Expenditures 15-22'!E45</f>
        <v>200</v>
      </c>
      <c r="D845" s="2" t="str">
        <f t="shared" si="12"/>
        <v>Error?</v>
      </c>
    </row>
    <row r="846" spans="1:4" x14ac:dyDescent="0.2">
      <c r="A846" s="5">
        <v>785</v>
      </c>
      <c r="B846" s="138">
        <f>'Expenditures 15-22'!E46</f>
        <v>2382</v>
      </c>
      <c r="D846" s="2" t="str">
        <f t="shared" si="12"/>
        <v>Error?</v>
      </c>
    </row>
    <row r="847" spans="1:4" x14ac:dyDescent="0.2">
      <c r="A847" s="5">
        <v>786</v>
      </c>
      <c r="B847" s="138">
        <f>'Expenditures 15-22'!E47</f>
        <v>2619</v>
      </c>
      <c r="C847" s="2" t="s">
        <v>594</v>
      </c>
      <c r="D847" s="2" t="str">
        <f t="shared" si="12"/>
        <v>Error?</v>
      </c>
    </row>
    <row r="848" spans="1:4" x14ac:dyDescent="0.2">
      <c r="A848" s="5">
        <v>787</v>
      </c>
      <c r="B848" s="138">
        <f>'Expenditures 15-22'!E49</f>
        <v>8617</v>
      </c>
      <c r="D848" s="2" t="str">
        <f t="shared" si="12"/>
        <v>Error?</v>
      </c>
    </row>
    <row r="849" spans="1:4" x14ac:dyDescent="0.2">
      <c r="A849" s="5">
        <v>788</v>
      </c>
      <c r="B849" s="138">
        <f>'Expenditures 15-22'!E50</f>
        <v>4014</v>
      </c>
      <c r="D849" s="2" t="str">
        <f t="shared" si="12"/>
        <v>Error?</v>
      </c>
    </row>
    <row r="850" spans="1:4" x14ac:dyDescent="0.2">
      <c r="A850" s="5">
        <v>789</v>
      </c>
      <c r="B850" s="138">
        <f>'Expenditures 15-22'!E53</f>
        <v>12631</v>
      </c>
      <c r="C850" s="2" t="s">
        <v>594</v>
      </c>
      <c r="D850" s="2" t="str">
        <f t="shared" si="12"/>
        <v>Error?</v>
      </c>
    </row>
    <row r="851" spans="1:4" x14ac:dyDescent="0.2">
      <c r="A851" s="5">
        <v>790</v>
      </c>
      <c r="B851" s="138">
        <f>'Expenditures 15-22'!E55</f>
        <v>973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4790</v>
      </c>
      <c r="D867" s="2" t="str">
        <f t="shared" si="12"/>
        <v>Error?</v>
      </c>
    </row>
    <row r="868" spans="1:4" x14ac:dyDescent="0.2">
      <c r="A868" s="10">
        <v>807</v>
      </c>
      <c r="D868" s="2" t="str">
        <f t="shared" si="12"/>
        <v>OK</v>
      </c>
    </row>
    <row r="869" spans="1:4" x14ac:dyDescent="0.2">
      <c r="A869" s="5">
        <v>808</v>
      </c>
      <c r="B869" s="138">
        <f>'Expenditures 15-22'!E72</f>
        <v>4790</v>
      </c>
      <c r="C869" s="2" t="s">
        <v>594</v>
      </c>
      <c r="D869" s="2" t="str">
        <f t="shared" si="12"/>
        <v>Error?</v>
      </c>
    </row>
    <row r="870" spans="1:4" x14ac:dyDescent="0.2">
      <c r="A870" s="5">
        <v>809</v>
      </c>
      <c r="B870" s="138">
        <f>'Expenditures 15-22'!E73</f>
        <v>19539</v>
      </c>
      <c r="D870" s="2" t="str">
        <f t="shared" si="12"/>
        <v>Error?</v>
      </c>
    </row>
    <row r="871" spans="1:4" x14ac:dyDescent="0.2">
      <c r="A871" s="5">
        <v>810</v>
      </c>
      <c r="B871" s="138">
        <f>'Expenditures 15-22'!E74</f>
        <v>43471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288145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26576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41249</v>
      </c>
      <c r="D891" s="2" t="str">
        <f t="shared" si="12"/>
        <v>Error?</v>
      </c>
    </row>
    <row r="892" spans="1:4" x14ac:dyDescent="0.2">
      <c r="A892" s="5">
        <v>831</v>
      </c>
      <c r="B892" s="138">
        <f>'Expenditures 15-22'!F14</f>
        <v>19047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88913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364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4590</v>
      </c>
      <c r="D906" s="2" t="str">
        <f t="shared" si="13"/>
        <v>Error?</v>
      </c>
    </row>
    <row r="907" spans="1:4" x14ac:dyDescent="0.2">
      <c r="A907" s="5">
        <v>846</v>
      </c>
      <c r="B907" s="138">
        <f>'Expenditures 15-22'!F50</f>
        <v>243</v>
      </c>
      <c r="D907" s="2" t="str">
        <f t="shared" si="13"/>
        <v>Error?</v>
      </c>
    </row>
    <row r="908" spans="1:4" x14ac:dyDescent="0.2">
      <c r="A908" s="5">
        <v>847</v>
      </c>
      <c r="B908" s="138">
        <f>'Expenditures 15-22'!F53</f>
        <v>4833</v>
      </c>
      <c r="C908" s="2" t="s">
        <v>594</v>
      </c>
      <c r="D908" s="2" t="str">
        <f t="shared" si="13"/>
        <v>Error?</v>
      </c>
    </row>
    <row r="909" spans="1:4" x14ac:dyDescent="0.2">
      <c r="A909" s="5">
        <v>848</v>
      </c>
      <c r="B909" s="138">
        <f>'Expenditures 15-22'!F55</f>
        <v>355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24808</v>
      </c>
      <c r="D925" s="2" t="str">
        <f t="shared" si="13"/>
        <v>Error?</v>
      </c>
    </row>
    <row r="926" spans="1:4" x14ac:dyDescent="0.2">
      <c r="A926" s="10">
        <v>865</v>
      </c>
      <c r="D926" s="2" t="str">
        <f t="shared" si="13"/>
        <v>OK</v>
      </c>
    </row>
    <row r="927" spans="1:4" x14ac:dyDescent="0.2">
      <c r="A927" s="5">
        <v>866</v>
      </c>
      <c r="B927" s="138">
        <f>'Expenditures 15-22'!F72</f>
        <v>24808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30998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119911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29650</v>
      </c>
      <c r="D949" s="2" t="str">
        <f t="shared" si="13"/>
        <v>Error?</v>
      </c>
    </row>
    <row r="950" spans="1:4" x14ac:dyDescent="0.2">
      <c r="A950" s="5">
        <v>889</v>
      </c>
      <c r="B950" s="138">
        <f>'Expenditures 15-22'!G14</f>
        <v>6774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41207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1454</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1454</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19681</v>
      </c>
      <c r="D983" s="2" t="str">
        <f t="shared" si="14"/>
        <v>Error?</v>
      </c>
    </row>
    <row r="984" spans="1:4" x14ac:dyDescent="0.2">
      <c r="A984" s="10">
        <v>923</v>
      </c>
      <c r="D984" s="2" t="str">
        <f t="shared" si="14"/>
        <v>OK</v>
      </c>
    </row>
    <row r="985" spans="1:4" x14ac:dyDescent="0.2">
      <c r="A985" s="5">
        <v>924</v>
      </c>
      <c r="B985" s="138">
        <f>'Expenditures 15-22'!G72</f>
        <v>19681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21135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62342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921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240</v>
      </c>
      <c r="D1007" s="2" t="str">
        <f t="shared" si="14"/>
        <v>Error?</v>
      </c>
    </row>
    <row r="1008" spans="1:4" x14ac:dyDescent="0.2">
      <c r="A1008" s="5">
        <v>947</v>
      </c>
      <c r="B1008" s="138">
        <f>'Expenditures 15-22'!H14</f>
        <v>9057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43973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4085</v>
      </c>
      <c r="D1022" s="2" t="str">
        <f t="shared" si="14"/>
        <v>Error?</v>
      </c>
    </row>
    <row r="1023" spans="1:4" x14ac:dyDescent="0.2">
      <c r="A1023" s="5">
        <v>962</v>
      </c>
      <c r="B1023" s="138">
        <f>'Expenditures 15-22'!H50</f>
        <v>1565</v>
      </c>
      <c r="D1023" s="2" t="str">
        <f t="shared" ref="D1023:D1086" si="15">IF(ISBLANK(B1023),"OK",IF(A1023-B1023=0,"OK","Error?"))</f>
        <v>Error?</v>
      </c>
    </row>
    <row r="1024" spans="1:4" x14ac:dyDescent="0.2">
      <c r="A1024" s="5">
        <v>963</v>
      </c>
      <c r="B1024" s="138">
        <f>'Expenditures 15-22'!H53</f>
        <v>5650</v>
      </c>
      <c r="C1024" s="2" t="s">
        <v>594</v>
      </c>
      <c r="D1024" s="2" t="str">
        <f t="shared" si="15"/>
        <v>Error?</v>
      </c>
    </row>
    <row r="1025" spans="1:4" x14ac:dyDescent="0.2">
      <c r="A1025" s="5">
        <v>964</v>
      </c>
      <c r="B1025" s="138">
        <f>'Expenditures 15-22'!H55</f>
        <v>680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8590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110260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162823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1173387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353163</v>
      </c>
      <c r="C1105" s="2" t="s">
        <v>594</v>
      </c>
      <c r="D1105" s="2" t="str">
        <f t="shared" si="16"/>
        <v>Error?</v>
      </c>
    </row>
    <row r="1106" spans="1:4" x14ac:dyDescent="0.2">
      <c r="A1106" s="5">
        <v>1045</v>
      </c>
      <c r="B1106" s="138">
        <f>'Expenditures 15-22'!K14</f>
        <v>182099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2029641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72231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2521</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74752</v>
      </c>
      <c r="C1115" s="2" t="s">
        <v>594</v>
      </c>
      <c r="D1115" s="2" t="str">
        <f t="shared" si="16"/>
        <v>Error?</v>
      </c>
    </row>
    <row r="1116" spans="1:4" x14ac:dyDescent="0.2">
      <c r="A1116" s="5">
        <v>1055</v>
      </c>
      <c r="B1116" s="138">
        <f>'Expenditures 15-22'!K44</f>
        <v>37</v>
      </c>
      <c r="C1116" s="2" t="s">
        <v>594</v>
      </c>
      <c r="D1116" s="2" t="str">
        <f t="shared" si="16"/>
        <v>Error?</v>
      </c>
    </row>
    <row r="1117" spans="1:4" x14ac:dyDescent="0.2">
      <c r="A1117" s="5">
        <v>1056</v>
      </c>
      <c r="B1117" s="138">
        <f>'Expenditures 15-22'!K45</f>
        <v>200</v>
      </c>
      <c r="C1117" s="2" t="s">
        <v>594</v>
      </c>
      <c r="D1117" s="2" t="str">
        <f t="shared" si="16"/>
        <v>Error?</v>
      </c>
    </row>
    <row r="1118" spans="1:4" x14ac:dyDescent="0.2">
      <c r="A1118" s="5">
        <v>1057</v>
      </c>
      <c r="B1118" s="138">
        <f>'Expenditures 15-22'!K46</f>
        <v>2382</v>
      </c>
      <c r="C1118" s="2" t="s">
        <v>594</v>
      </c>
      <c r="D1118" s="2" t="str">
        <f t="shared" si="16"/>
        <v>Error?</v>
      </c>
    </row>
    <row r="1119" spans="1:4" x14ac:dyDescent="0.2">
      <c r="A1119" s="5">
        <v>1058</v>
      </c>
      <c r="B1119" s="138">
        <f>'Expenditures 15-22'!K47</f>
        <v>2619</v>
      </c>
      <c r="C1119" s="2" t="s">
        <v>594</v>
      </c>
      <c r="D1119" s="2" t="str">
        <f t="shared" si="16"/>
        <v>Error?</v>
      </c>
    </row>
    <row r="1120" spans="1:4" x14ac:dyDescent="0.2">
      <c r="A1120" s="5">
        <v>1059</v>
      </c>
      <c r="B1120" s="138">
        <f>'Expenditures 15-22'!K49</f>
        <v>18746</v>
      </c>
      <c r="C1120" s="2" t="s">
        <v>594</v>
      </c>
      <c r="D1120" s="2" t="str">
        <f t="shared" si="16"/>
        <v>Error?</v>
      </c>
    </row>
    <row r="1121" spans="1:4" x14ac:dyDescent="0.2">
      <c r="A1121" s="5">
        <v>1060</v>
      </c>
      <c r="B1121" s="138">
        <f>'Expenditures 15-22'!K50</f>
        <v>141850</v>
      </c>
      <c r="C1121" s="2" t="s">
        <v>594</v>
      </c>
      <c r="D1121" s="2" t="str">
        <f t="shared" si="16"/>
        <v>Error?</v>
      </c>
    </row>
    <row r="1122" spans="1:4" x14ac:dyDescent="0.2">
      <c r="A1122" s="5">
        <v>1061</v>
      </c>
      <c r="B1122" s="138">
        <f>'Expenditures 15-22'!K53</f>
        <v>160596</v>
      </c>
      <c r="C1122" s="2" t="s">
        <v>594</v>
      </c>
      <c r="D1122" s="2" t="str">
        <f t="shared" si="16"/>
        <v>Error?</v>
      </c>
    </row>
    <row r="1123" spans="1:4" x14ac:dyDescent="0.2">
      <c r="A1123" s="5">
        <v>1062</v>
      </c>
      <c r="B1123" s="138">
        <f>'Expenditures 15-22'!K55</f>
        <v>218973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218973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47461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47461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93993</v>
      </c>
      <c r="C1139" s="2" t="s">
        <v>594</v>
      </c>
      <c r="D1139" s="2" t="str">
        <f t="shared" si="16"/>
        <v>Error?</v>
      </c>
    </row>
    <row r="1140" spans="1:4" x14ac:dyDescent="0.2">
      <c r="A1140" s="10">
        <v>1079</v>
      </c>
      <c r="D1140" s="2" t="str">
        <f t="shared" si="16"/>
        <v>OK</v>
      </c>
    </row>
    <row r="1141" spans="1:4" x14ac:dyDescent="0.2">
      <c r="A1141" s="5">
        <v>1080</v>
      </c>
      <c r="B1141" s="138">
        <f>'Expenditures 15-22'!K72</f>
        <v>93993</v>
      </c>
      <c r="C1141" s="2" t="s">
        <v>594</v>
      </c>
      <c r="D1141" s="2" t="str">
        <f t="shared" si="16"/>
        <v>Error?</v>
      </c>
    </row>
    <row r="1142" spans="1:4" x14ac:dyDescent="0.2">
      <c r="A1142" s="5">
        <v>1081</v>
      </c>
      <c r="B1142" s="138">
        <f>'Expenditures 15-22'!K73</f>
        <v>19539</v>
      </c>
      <c r="C1142" s="2" t="s">
        <v>594</v>
      </c>
      <c r="D1142" s="2" t="str">
        <f t="shared" si="16"/>
        <v>Error?</v>
      </c>
    </row>
    <row r="1143" spans="1:4" x14ac:dyDescent="0.2">
      <c r="A1143" s="5">
        <v>1082</v>
      </c>
      <c r="B1143" s="138">
        <f>'Expenditures 15-22'!K74</f>
        <v>617933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297680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2945254</v>
      </c>
      <c r="C1152" s="2" t="s">
        <v>594</v>
      </c>
      <c r="D1152" s="2" t="str">
        <f t="shared" si="17"/>
        <v>Error?</v>
      </c>
    </row>
    <row r="1153" spans="1:4" x14ac:dyDescent="0.2">
      <c r="A1153" s="5">
        <v>1092</v>
      </c>
      <c r="B1153" s="138">
        <f>'Expenditures 15-22'!K115</f>
        <v>133589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98653</v>
      </c>
      <c r="D1221" s="2" t="str">
        <f t="shared" si="18"/>
        <v>Error?</v>
      </c>
    </row>
    <row r="1222" spans="1:4" x14ac:dyDescent="0.2">
      <c r="A1222" s="10">
        <v>1161</v>
      </c>
      <c r="D1222" s="2" t="str">
        <f t="shared" si="18"/>
        <v>OK</v>
      </c>
    </row>
    <row r="1223" spans="1:4" x14ac:dyDescent="0.2">
      <c r="A1223" s="5">
        <v>1162</v>
      </c>
      <c r="B1223" s="138">
        <f>'Expenditures 15-22'!C127</f>
        <v>98653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98653</v>
      </c>
      <c r="C1225" s="2" t="s">
        <v>594</v>
      </c>
      <c r="D1225" s="2" t="str">
        <f t="shared" si="18"/>
        <v>Error?</v>
      </c>
    </row>
    <row r="1226" spans="1:4" x14ac:dyDescent="0.2">
      <c r="A1226" s="5">
        <v>1165</v>
      </c>
      <c r="B1226" s="138">
        <f>'Expenditures 15-22'!C151</f>
        <v>98653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21880</v>
      </c>
      <c r="D1229" s="2" t="str">
        <f t="shared" si="18"/>
        <v>Error?</v>
      </c>
    </row>
    <row r="1230" spans="1:4" x14ac:dyDescent="0.2">
      <c r="A1230" s="10">
        <v>1169</v>
      </c>
      <c r="D1230" s="2" t="str">
        <f t="shared" si="18"/>
        <v>OK</v>
      </c>
    </row>
    <row r="1231" spans="1:4" x14ac:dyDescent="0.2">
      <c r="A1231" s="5">
        <v>1170</v>
      </c>
      <c r="B1231" s="138">
        <f>'Expenditures 15-22'!D127</f>
        <v>21880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21880</v>
      </c>
      <c r="C1233" s="2" t="s">
        <v>594</v>
      </c>
      <c r="D1233" s="2" t="str">
        <f t="shared" si="18"/>
        <v>Error?</v>
      </c>
    </row>
    <row r="1234" spans="1:4" x14ac:dyDescent="0.2">
      <c r="A1234" s="5">
        <v>1173</v>
      </c>
      <c r="B1234" s="138">
        <f>'Expenditures 15-22'!D151</f>
        <v>21880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17350</v>
      </c>
      <c r="D1237" s="2" t="str">
        <f t="shared" si="18"/>
        <v>Error?</v>
      </c>
    </row>
    <row r="1238" spans="1:4" x14ac:dyDescent="0.2">
      <c r="A1238" s="10">
        <v>1177</v>
      </c>
      <c r="D1238" s="2" t="str">
        <f t="shared" si="18"/>
        <v>OK</v>
      </c>
    </row>
    <row r="1239" spans="1:4" x14ac:dyDescent="0.2">
      <c r="A1239" s="5">
        <v>1178</v>
      </c>
      <c r="B1239" s="138">
        <f>'Expenditures 15-22'!E127</f>
        <v>17350</v>
      </c>
      <c r="C1239" s="2" t="s">
        <v>594</v>
      </c>
      <c r="D1239" s="2" t="str">
        <f t="shared" si="18"/>
        <v>Error?</v>
      </c>
    </row>
    <row r="1240" spans="1:4" x14ac:dyDescent="0.2">
      <c r="A1240" s="5">
        <v>1179</v>
      </c>
      <c r="B1240" s="138">
        <f>'Expenditures 15-22'!E128</f>
        <v>71400</v>
      </c>
      <c r="D1240" s="2" t="str">
        <f t="shared" si="18"/>
        <v>Error?</v>
      </c>
    </row>
    <row r="1241" spans="1:4" x14ac:dyDescent="0.2">
      <c r="A1241" s="5">
        <v>1180</v>
      </c>
      <c r="B1241" s="138">
        <f>'Expenditures 15-22'!E129</f>
        <v>88750</v>
      </c>
      <c r="C1241" s="2" t="s">
        <v>594</v>
      </c>
      <c r="D1241" s="2" t="str">
        <f t="shared" si="18"/>
        <v>Error?</v>
      </c>
    </row>
    <row r="1242" spans="1:4" x14ac:dyDescent="0.2">
      <c r="A1242" s="5">
        <v>1181</v>
      </c>
      <c r="B1242" s="138">
        <f>'Expenditures 15-22'!E151</f>
        <v>189308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59510</v>
      </c>
      <c r="D1245" s="2" t="str">
        <f t="shared" si="18"/>
        <v>Error?</v>
      </c>
    </row>
    <row r="1246" spans="1:4" x14ac:dyDescent="0.2">
      <c r="A1246" s="10">
        <v>1185</v>
      </c>
      <c r="D1246" s="2" t="str">
        <f t="shared" si="18"/>
        <v>OK</v>
      </c>
    </row>
    <row r="1247" spans="1:4" x14ac:dyDescent="0.2">
      <c r="A1247" s="5">
        <v>1186</v>
      </c>
      <c r="B1247" s="138">
        <f>'Expenditures 15-22'!F127</f>
        <v>59510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59510</v>
      </c>
      <c r="C1249" s="2" t="s">
        <v>594</v>
      </c>
      <c r="D1249" s="2" t="str">
        <f t="shared" si="18"/>
        <v>Error?</v>
      </c>
    </row>
    <row r="1250" spans="1:4" x14ac:dyDescent="0.2">
      <c r="A1250" s="5">
        <v>1189</v>
      </c>
      <c r="B1250" s="138">
        <f>'Expenditures 15-22'!F151</f>
        <v>59510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42167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42167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42167</v>
      </c>
      <c r="C1258" s="2" t="s">
        <v>594</v>
      </c>
      <c r="D1258" s="2" t="str">
        <f t="shared" si="18"/>
        <v>Error?</v>
      </c>
    </row>
    <row r="1259" spans="1:4" x14ac:dyDescent="0.2">
      <c r="A1259" s="5">
        <v>1198</v>
      </c>
      <c r="B1259" s="138">
        <f>'Expenditures 15-22'!G151</f>
        <v>42167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239560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239560</v>
      </c>
      <c r="C1279" s="2" t="s">
        <v>594</v>
      </c>
      <c r="D1279" s="2" t="str">
        <f t="shared" ref="D1279:D1342" si="19">IF(ISBLANK(B1279),"OK",IF(A1279-B1279=0,"OK","Error?"))</f>
        <v>Error?</v>
      </c>
    </row>
    <row r="1280" spans="1:4" x14ac:dyDescent="0.2">
      <c r="A1280" s="5">
        <v>1219</v>
      </c>
      <c r="B1280" s="138">
        <f>'Expenditures 15-22'!K128</f>
        <v>71400</v>
      </c>
      <c r="C1280" s="2" t="s">
        <v>594</v>
      </c>
      <c r="D1280" s="2" t="str">
        <f t="shared" si="19"/>
        <v>Error?</v>
      </c>
    </row>
    <row r="1281" spans="1:4" x14ac:dyDescent="0.2">
      <c r="A1281" s="5">
        <v>1220</v>
      </c>
      <c r="B1281" s="138">
        <f>'Expenditures 15-22'!K129</f>
        <v>310960</v>
      </c>
      <c r="C1281" s="2" t="s">
        <v>594</v>
      </c>
      <c r="D1281" s="2" t="str">
        <f t="shared" si="19"/>
        <v>Error?</v>
      </c>
    </row>
    <row r="1282" spans="1:4" x14ac:dyDescent="0.2">
      <c r="A1282" s="5">
        <v>1221</v>
      </c>
      <c r="B1282" s="138">
        <f>'Expenditures 15-22'!K139</f>
        <v>100558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411518</v>
      </c>
      <c r="C1288" s="2" t="s">
        <v>594</v>
      </c>
      <c r="D1288" s="2" t="str">
        <f t="shared" si="19"/>
        <v>Error?</v>
      </c>
    </row>
    <row r="1289" spans="1:4" x14ac:dyDescent="0.2">
      <c r="A1289" s="5">
        <v>1228</v>
      </c>
      <c r="B1289" s="138">
        <f>'Expenditures 15-22'!K152</f>
        <v>164544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207192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207192</v>
      </c>
      <c r="C1339" s="2" t="s">
        <v>594</v>
      </c>
      <c r="D1339" s="2" t="str">
        <f t="shared" si="19"/>
        <v>Error?</v>
      </c>
    </row>
    <row r="1340" spans="1:4" x14ac:dyDescent="0.2">
      <c r="A1340" s="5">
        <v>1279</v>
      </c>
      <c r="B1340" s="138">
        <f>'Expenditures 15-22'!C210</f>
        <v>207192</v>
      </c>
      <c r="C1340" s="2" t="s">
        <v>594</v>
      </c>
      <c r="D1340" s="2" t="str">
        <f t="shared" si="19"/>
        <v>Error?</v>
      </c>
    </row>
    <row r="1341" spans="1:4" x14ac:dyDescent="0.2">
      <c r="A1341" s="5">
        <v>1280</v>
      </c>
      <c r="B1341" s="138">
        <f>'Expenditures 15-22'!D182</f>
        <v>9850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9850</v>
      </c>
      <c r="C1345" s="2" t="s">
        <v>594</v>
      </c>
      <c r="D1345" s="2" t="str">
        <f t="shared" si="20"/>
        <v>Error?</v>
      </c>
    </row>
    <row r="1346" spans="1:4" x14ac:dyDescent="0.2">
      <c r="A1346" s="5">
        <v>1285</v>
      </c>
      <c r="B1346" s="138">
        <f>'Expenditures 15-22'!D210</f>
        <v>9850</v>
      </c>
      <c r="C1346" s="2" t="s">
        <v>594</v>
      </c>
      <c r="D1346" s="2" t="str">
        <f t="shared" si="20"/>
        <v>Error?</v>
      </c>
    </row>
    <row r="1347" spans="1:4" x14ac:dyDescent="0.2">
      <c r="A1347" s="5">
        <v>1286</v>
      </c>
      <c r="B1347" s="138">
        <f>'Expenditures 15-22'!E182</f>
        <v>80120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80120</v>
      </c>
      <c r="C1351" s="2" t="s">
        <v>594</v>
      </c>
      <c r="D1351" s="2" t="str">
        <f t="shared" si="20"/>
        <v>Error?</v>
      </c>
    </row>
    <row r="1352" spans="1:4" x14ac:dyDescent="0.2">
      <c r="A1352" s="5">
        <v>1291</v>
      </c>
      <c r="B1352" s="138">
        <f>'Expenditures 15-22'!E196</f>
        <v>34933</v>
      </c>
      <c r="C1352" s="2" t="s">
        <v>594</v>
      </c>
      <c r="D1352" s="2" t="str">
        <f t="shared" si="20"/>
        <v>Error?</v>
      </c>
    </row>
    <row r="1353" spans="1:4" x14ac:dyDescent="0.2">
      <c r="A1353" s="5">
        <v>1292</v>
      </c>
      <c r="B1353" s="138">
        <f>'Expenditures 15-22'!E210</f>
        <v>115053</v>
      </c>
      <c r="C1353" s="2" t="s">
        <v>594</v>
      </c>
      <c r="D1353" s="2" t="str">
        <f t="shared" si="20"/>
        <v>Error?</v>
      </c>
    </row>
    <row r="1354" spans="1:4" x14ac:dyDescent="0.2">
      <c r="A1354" s="5">
        <v>1293</v>
      </c>
      <c r="B1354" s="138">
        <f>'Expenditures 15-22'!F182</f>
        <v>49486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49486</v>
      </c>
      <c r="C1358" s="2" t="s">
        <v>594</v>
      </c>
      <c r="D1358" s="2" t="str">
        <f t="shared" si="20"/>
        <v>Error?</v>
      </c>
    </row>
    <row r="1359" spans="1:4" x14ac:dyDescent="0.2">
      <c r="A1359" s="5">
        <v>1298</v>
      </c>
      <c r="B1359" s="138">
        <f>'Expenditures 15-22'!F210</f>
        <v>49486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192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192</v>
      </c>
      <c r="C1376" s="2" t="s">
        <v>594</v>
      </c>
      <c r="D1376" s="2" t="str">
        <f t="shared" si="20"/>
        <v>Error?</v>
      </c>
    </row>
    <row r="1377" spans="1:4" x14ac:dyDescent="0.2">
      <c r="A1377" s="5">
        <v>1316</v>
      </c>
      <c r="B1377" s="138">
        <f>'Expenditures 15-22'!K182</f>
        <v>346840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346840</v>
      </c>
      <c r="C1381" s="2" t="s">
        <v>594</v>
      </c>
      <c r="D1381" s="2" t="str">
        <f t="shared" si="20"/>
        <v>Error?</v>
      </c>
    </row>
    <row r="1382" spans="1:4" x14ac:dyDescent="0.2">
      <c r="A1382" s="5">
        <v>1321</v>
      </c>
      <c r="B1382" s="138">
        <f>'Expenditures 15-22'!K196</f>
        <v>34933</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381773</v>
      </c>
      <c r="C1388" s="2" t="s">
        <v>594</v>
      </c>
      <c r="D1388" s="2" t="str">
        <f t="shared" si="20"/>
        <v>Error?</v>
      </c>
    </row>
    <row r="1389" spans="1:4" x14ac:dyDescent="0.2">
      <c r="A1389" s="5">
        <v>1328</v>
      </c>
      <c r="B1389" s="138">
        <f>'Expenditures 15-22'!K211</f>
        <v>97703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2813</v>
      </c>
      <c r="D1407" s="2" t="str">
        <f t="shared" ref="D1407:D1470" si="21">IF(ISBLANK(B1407),"OK",IF(A1407-B1407=0,"OK","Error?"))</f>
        <v>Error?</v>
      </c>
    </row>
    <row r="1408" spans="1:4" x14ac:dyDescent="0.2">
      <c r="A1408" s="5">
        <v>1347</v>
      </c>
      <c r="B1408" s="138">
        <f>'Expenditures 15-22'!D223</f>
        <v>5999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40212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787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2823</v>
      </c>
      <c r="D1423" s="2" t="str">
        <f t="shared" si="21"/>
        <v>Error?</v>
      </c>
    </row>
    <row r="1424" spans="1:4" x14ac:dyDescent="0.2">
      <c r="A1424" s="5">
        <v>1363</v>
      </c>
      <c r="B1424" s="138">
        <f>'Expenditures 15-22'!D257</f>
        <v>8388</v>
      </c>
      <c r="C1424" s="2" t="s">
        <v>594</v>
      </c>
      <c r="D1424" s="2" t="str">
        <f t="shared" si="21"/>
        <v>Error?</v>
      </c>
    </row>
    <row r="1425" spans="1:4" x14ac:dyDescent="0.2">
      <c r="A1425" s="5">
        <v>1364</v>
      </c>
      <c r="B1425" s="138">
        <f>'Expenditures 15-22'!D259</f>
        <v>8104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8104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11896</v>
      </c>
      <c r="D1431" s="2" t="str">
        <f t="shared" si="21"/>
        <v>Error?</v>
      </c>
    </row>
    <row r="1432" spans="1:4" x14ac:dyDescent="0.2">
      <c r="A1432" s="5">
        <v>1371</v>
      </c>
      <c r="B1432" s="138">
        <f>'Expenditures 15-22'!D267</f>
        <v>24549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40887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4779</v>
      </c>
      <c r="D1442" s="2" t="str">
        <f t="shared" si="21"/>
        <v>Error?</v>
      </c>
    </row>
    <row r="1443" spans="1:4" x14ac:dyDescent="0.2">
      <c r="A1443" s="10">
        <v>1382</v>
      </c>
      <c r="D1443" s="2" t="str">
        <f t="shared" si="21"/>
        <v>OK</v>
      </c>
    </row>
    <row r="1444" spans="1:4" x14ac:dyDescent="0.2">
      <c r="A1444" s="5">
        <v>1383</v>
      </c>
      <c r="B1444" s="138">
        <f>'Expenditures 15-22'!D277</f>
        <v>4779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62945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103157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2813</v>
      </c>
      <c r="C1471" s="2" t="s">
        <v>594</v>
      </c>
      <c r="D1471" s="2" t="str">
        <f t="shared" ref="D1471:D1534" si="22">IF(ISBLANK(B1471),"OK",IF(A1471-B1471=0,"OK","Error?"))</f>
        <v>Error?</v>
      </c>
    </row>
    <row r="1472" spans="1:4" x14ac:dyDescent="0.2">
      <c r="A1472" s="5">
        <v>1411</v>
      </c>
      <c r="B1472" s="138">
        <f>'Expenditures 15-22'!K223</f>
        <v>5999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40212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787</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787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2823</v>
      </c>
      <c r="C1487" s="2" t="s">
        <v>594</v>
      </c>
      <c r="D1487" s="2" t="str">
        <f t="shared" si="22"/>
        <v>Error?</v>
      </c>
    </row>
    <row r="1488" spans="1:4" x14ac:dyDescent="0.2">
      <c r="A1488" s="5">
        <v>1427</v>
      </c>
      <c r="B1488" s="138">
        <f>'Expenditures 15-22'!K257</f>
        <v>8388</v>
      </c>
      <c r="C1488" s="2" t="s">
        <v>594</v>
      </c>
      <c r="D1488" s="2" t="str">
        <f t="shared" si="22"/>
        <v>Error?</v>
      </c>
    </row>
    <row r="1489" spans="1:4" x14ac:dyDescent="0.2">
      <c r="A1489" s="5">
        <v>1428</v>
      </c>
      <c r="B1489" s="138">
        <f>'Expenditures 15-22'!K259</f>
        <v>8104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8104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4442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11896</v>
      </c>
      <c r="C1495" s="2" t="s">
        <v>594</v>
      </c>
      <c r="D1495" s="2" t="str">
        <f t="shared" si="22"/>
        <v>Error?</v>
      </c>
    </row>
    <row r="1496" spans="1:4" x14ac:dyDescent="0.2">
      <c r="A1496" s="5">
        <v>1435</v>
      </c>
      <c r="B1496" s="138">
        <f>'Expenditures 15-22'!K267</f>
        <v>24549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40887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4779</v>
      </c>
      <c r="C1506" s="2" t="s">
        <v>594</v>
      </c>
      <c r="D1506" s="2" t="str">
        <f t="shared" si="22"/>
        <v>Error?</v>
      </c>
    </row>
    <row r="1507" spans="1:4" x14ac:dyDescent="0.2">
      <c r="A1507" s="10">
        <v>1446</v>
      </c>
      <c r="D1507" s="2" t="str">
        <f t="shared" si="22"/>
        <v>OK</v>
      </c>
    </row>
    <row r="1508" spans="1:4" x14ac:dyDescent="0.2">
      <c r="A1508" s="5">
        <v>1447</v>
      </c>
      <c r="B1508" s="138">
        <f>'Expenditures 15-22'!K277</f>
        <v>4779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62945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103157</v>
      </c>
      <c r="C1517" s="2" t="s">
        <v>594</v>
      </c>
      <c r="D1517" s="2" t="str">
        <f t="shared" si="22"/>
        <v>Error?</v>
      </c>
    </row>
    <row r="1518" spans="1:4" x14ac:dyDescent="0.2">
      <c r="A1518" s="5">
        <v>1457</v>
      </c>
      <c r="B1518" s="138">
        <f>'Expenditures 15-22'!K296</f>
        <v>-45012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1695330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1828919</v>
      </c>
      <c r="C1630" s="2" t="s">
        <v>594</v>
      </c>
      <c r="D1630" s="2" t="str">
        <f t="shared" si="24"/>
        <v>Error?</v>
      </c>
    </row>
    <row r="1631" spans="1:4" x14ac:dyDescent="0.2">
      <c r="A1631" s="5">
        <v>1570</v>
      </c>
      <c r="B1631" s="138">
        <f>'Acct Summary 7-8'!D79</f>
        <v>139146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303690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317323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415026</v>
      </c>
      <c r="C1672" s="2" t="s">
        <v>594</v>
      </c>
      <c r="D1672" s="2" t="str">
        <f t="shared" si="25"/>
        <v>Error?</v>
      </c>
    </row>
    <row r="1673" spans="1:4" x14ac:dyDescent="0.2">
      <c r="A1673" s="5">
        <v>1612</v>
      </c>
      <c r="B1673" s="138">
        <f>'Acct Summary 7-8'!G79</f>
        <v>306298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261286</v>
      </c>
      <c r="C1686" s="2" t="s">
        <v>594</v>
      </c>
      <c r="D1686" s="2" t="str">
        <f t="shared" si="25"/>
        <v>Error?</v>
      </c>
    </row>
    <row r="1687" spans="1:4" x14ac:dyDescent="0.2">
      <c r="A1687" s="5">
        <v>1626</v>
      </c>
      <c r="B1687" s="138">
        <f>'Acct Summary 7-8'!H79</f>
        <v>4820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4846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1470944</v>
      </c>
      <c r="C1744" s="2" t="s">
        <v>594</v>
      </c>
      <c r="D1744" s="2" t="str">
        <f t="shared" si="26"/>
        <v>Error?</v>
      </c>
    </row>
    <row r="1745" spans="1:5" x14ac:dyDescent="0.2">
      <c r="A1745" s="5">
        <v>1684</v>
      </c>
      <c r="B1745" s="138">
        <f>'Tax Sched 23'!B5</f>
        <v>490317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168109</v>
      </c>
      <c r="C1747" s="2" t="s">
        <v>594</v>
      </c>
      <c r="D1747" s="2" t="str">
        <f t="shared" si="26"/>
        <v>Error?</v>
      </c>
    </row>
    <row r="1748" spans="1:5" x14ac:dyDescent="0.2">
      <c r="A1748" s="5">
        <v>1687</v>
      </c>
      <c r="B1748" s="138">
        <f>'Tax Sched 23'!B8</f>
        <v>14122</v>
      </c>
      <c r="C1748" s="2" t="s">
        <v>594</v>
      </c>
      <c r="D1748" s="2" t="str">
        <f t="shared" si="26"/>
        <v>Error?</v>
      </c>
    </row>
    <row r="1749" spans="1:5" x14ac:dyDescent="0.2">
      <c r="A1749" s="5">
        <v>1688</v>
      </c>
      <c r="B1749" s="138">
        <f>'Tax Sched 23'!B10</f>
        <v>70046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381049</v>
      </c>
      <c r="C1752" s="2" t="s">
        <v>594</v>
      </c>
      <c r="D1752" s="2" t="str">
        <f t="shared" si="26"/>
        <v>Error?</v>
      </c>
    </row>
    <row r="1753" spans="1:5" x14ac:dyDescent="0.2">
      <c r="A1753" s="5">
        <v>1692</v>
      </c>
      <c r="B1753" s="138">
        <f>'Tax Sched 23'!B12</f>
        <v>70046</v>
      </c>
      <c r="C1753" s="2" t="s">
        <v>594</v>
      </c>
      <c r="D1753" s="2" t="str">
        <f t="shared" si="26"/>
        <v>Error?</v>
      </c>
    </row>
    <row r="1754" spans="1:5" x14ac:dyDescent="0.2">
      <c r="A1754" s="5">
        <v>1693</v>
      </c>
      <c r="B1754" s="138">
        <f>'Tax Sched 23'!B14</f>
        <v>28019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2805039</v>
      </c>
      <c r="C1759" s="2" t="s">
        <v>594</v>
      </c>
      <c r="D1759" s="2" t="str">
        <f t="shared" si="26"/>
        <v>Error?</v>
      </c>
    </row>
    <row r="1760" spans="1:5" x14ac:dyDescent="0.2">
      <c r="A1760" s="5">
        <v>1699</v>
      </c>
      <c r="B1760" s="138">
        <f>'Tax Sched 23'!D4</f>
        <v>1470944</v>
      </c>
      <c r="C1760" s="2" t="s">
        <v>594</v>
      </c>
      <c r="D1760" s="2" t="str">
        <f t="shared" si="26"/>
        <v>Error?</v>
      </c>
    </row>
    <row r="1761" spans="1:5" x14ac:dyDescent="0.2">
      <c r="A1761" s="5">
        <v>1700</v>
      </c>
      <c r="B1761" s="138">
        <f>'Tax Sched 23'!D5</f>
        <v>490317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168109</v>
      </c>
      <c r="C1763" s="2" t="s">
        <v>594</v>
      </c>
      <c r="D1763" s="2" t="str">
        <f t="shared" si="26"/>
        <v>Error?</v>
      </c>
    </row>
    <row r="1764" spans="1:5" x14ac:dyDescent="0.2">
      <c r="A1764" s="5">
        <v>1703</v>
      </c>
      <c r="B1764" s="138">
        <f>'Tax Sched 23'!D8</f>
        <v>14122</v>
      </c>
      <c r="C1764" s="2" t="s">
        <v>594</v>
      </c>
      <c r="D1764" s="2" t="str">
        <f t="shared" si="26"/>
        <v>Error?</v>
      </c>
    </row>
    <row r="1765" spans="1:5" x14ac:dyDescent="0.2">
      <c r="A1765" s="5">
        <v>1704</v>
      </c>
      <c r="B1765" s="138">
        <f>'Tax Sched 23'!D10</f>
        <v>70046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381049</v>
      </c>
      <c r="C1768" s="2" t="s">
        <v>594</v>
      </c>
      <c r="D1768" s="2" t="str">
        <f t="shared" si="26"/>
        <v>Error?</v>
      </c>
    </row>
    <row r="1769" spans="1:5" x14ac:dyDescent="0.2">
      <c r="A1769" s="5">
        <v>1708</v>
      </c>
      <c r="B1769" s="138">
        <f>'Tax Sched 23'!D12</f>
        <v>70046</v>
      </c>
      <c r="C1769" s="2" t="s">
        <v>594</v>
      </c>
      <c r="D1769" s="2" t="str">
        <f t="shared" si="26"/>
        <v>Error?</v>
      </c>
    </row>
    <row r="1770" spans="1:5" x14ac:dyDescent="0.2">
      <c r="A1770" s="5">
        <v>1709</v>
      </c>
      <c r="B1770" s="138">
        <f>'Tax Sched 23'!D14</f>
        <v>28019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2805039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1541552</v>
      </c>
      <c r="C1792" s="2" t="s">
        <v>594</v>
      </c>
      <c r="D1792" s="2" t="str">
        <f t="shared" si="27"/>
        <v>Error?</v>
      </c>
    </row>
    <row r="1793" spans="1:4" x14ac:dyDescent="0.2">
      <c r="A1793" s="5">
        <v>1732</v>
      </c>
      <c r="B1793" s="138">
        <f>'Tax Sched 23'!F5</f>
        <v>513851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176177</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73407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325003</v>
      </c>
      <c r="C1800" s="2" t="s">
        <v>594</v>
      </c>
      <c r="D1800" s="2" t="str">
        <f t="shared" si="27"/>
        <v>Error?</v>
      </c>
    </row>
    <row r="1801" spans="1:4" x14ac:dyDescent="0.2">
      <c r="A1801" s="5">
        <v>1740</v>
      </c>
      <c r="B1801" s="138">
        <f>'Tax Sched 23'!F12</f>
        <v>73407</v>
      </c>
      <c r="C1801" s="2" t="s">
        <v>594</v>
      </c>
      <c r="D1801" s="2" t="str">
        <f t="shared" si="27"/>
        <v>Error?</v>
      </c>
    </row>
    <row r="1802" spans="1:4" x14ac:dyDescent="0.2">
      <c r="A1802" s="5">
        <v>1741</v>
      </c>
      <c r="B1802" s="138">
        <f>'Tax Sched 23'!F14</f>
        <v>29363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2876168</v>
      </c>
      <c r="C1807" s="2" t="s">
        <v>594</v>
      </c>
      <c r="D1807" s="2" t="str">
        <f t="shared" si="27"/>
        <v>Error?</v>
      </c>
    </row>
    <row r="1808" spans="1:4" x14ac:dyDescent="0.2">
      <c r="A1808" s="5">
        <v>1747</v>
      </c>
      <c r="B1808" s="138">
        <f>'Tax Sched 23'!E4</f>
        <v>1541552</v>
      </c>
      <c r="D1808" s="2" t="str">
        <f t="shared" si="27"/>
        <v>Error?</v>
      </c>
    </row>
    <row r="1809" spans="1:4" x14ac:dyDescent="0.2">
      <c r="A1809" s="5">
        <v>1748</v>
      </c>
      <c r="B1809" s="138">
        <f>'Tax Sched 23'!E5</f>
        <v>513851</v>
      </c>
      <c r="D1809" s="2" t="str">
        <f t="shared" si="27"/>
        <v>Error?</v>
      </c>
    </row>
    <row r="1810" spans="1:4" x14ac:dyDescent="0.2">
      <c r="A1810" s="5">
        <v>1749</v>
      </c>
      <c r="B1810" s="138">
        <f>'Tax Sched 23'!E6</f>
        <v>0</v>
      </c>
      <c r="D1810" s="2" t="str">
        <f t="shared" si="27"/>
        <v>Error?</v>
      </c>
    </row>
    <row r="1811" spans="1:4" x14ac:dyDescent="0.2">
      <c r="A1811" s="5">
        <v>1750</v>
      </c>
      <c r="B1811" s="138">
        <f>'Tax Sched 23'!E7</f>
        <v>176177</v>
      </c>
      <c r="D1811" s="2" t="str">
        <f t="shared" si="27"/>
        <v>Error?</v>
      </c>
    </row>
    <row r="1812" spans="1:4" x14ac:dyDescent="0.2">
      <c r="A1812" s="5">
        <v>1751</v>
      </c>
      <c r="B1812" s="138">
        <f>'Tax Sched 23'!E8</f>
        <v>0</v>
      </c>
      <c r="D1812" s="2" t="str">
        <f t="shared" si="27"/>
        <v>Error?</v>
      </c>
    </row>
    <row r="1813" spans="1:4" x14ac:dyDescent="0.2">
      <c r="A1813" s="5">
        <v>1752</v>
      </c>
      <c r="B1813" s="138">
        <f>'Tax Sched 23'!E10</f>
        <v>73407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325003</v>
      </c>
      <c r="D1816" s="2" t="str">
        <f t="shared" si="27"/>
        <v>Error?</v>
      </c>
    </row>
    <row r="1817" spans="1:4" x14ac:dyDescent="0.2">
      <c r="A1817" s="5">
        <v>1756</v>
      </c>
      <c r="B1817" s="138">
        <f>'Tax Sched 23'!E12</f>
        <v>73407</v>
      </c>
      <c r="D1817" s="2" t="str">
        <f t="shared" si="27"/>
        <v>Error?</v>
      </c>
    </row>
    <row r="1818" spans="1:4" x14ac:dyDescent="0.2">
      <c r="A1818" s="5">
        <v>1757</v>
      </c>
      <c r="B1818" s="138">
        <f>'Tax Sched 23'!E14</f>
        <v>29363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2876168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28019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28019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704470</v>
      </c>
      <c r="D2008" s="2" t="str">
        <f t="shared" si="30"/>
        <v>Error?</v>
      </c>
    </row>
    <row r="2009" spans="1:4" x14ac:dyDescent="0.2">
      <c r="A2009" s="5">
        <v>1948</v>
      </c>
      <c r="B2009" s="138">
        <f>'Cap Outlay Deprec 26'!C8</f>
        <v>57559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567218</v>
      </c>
      <c r="D2011" s="2" t="str">
        <f t="shared" si="30"/>
        <v>Error?</v>
      </c>
    </row>
    <row r="2012" spans="1:4" x14ac:dyDescent="0.2">
      <c r="A2012" s="5">
        <v>1951</v>
      </c>
      <c r="B2012" s="138">
        <f>'Cap Outlay Deprec 26'!C13</f>
        <v>328280</v>
      </c>
      <c r="D2012" s="2" t="str">
        <f t="shared" si="30"/>
        <v>Error?</v>
      </c>
    </row>
    <row r="2013" spans="1:4" x14ac:dyDescent="0.2">
      <c r="A2013" s="5">
        <v>1952</v>
      </c>
      <c r="B2013" s="138">
        <f>'Cap Outlay Deprec 26'!C16</f>
        <v>1682956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105373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126365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50459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50459</v>
      </c>
      <c r="C2025" s="2" t="s">
        <v>594</v>
      </c>
      <c r="D2025" s="2" t="str">
        <f t="shared" si="30"/>
        <v>Error?</v>
      </c>
    </row>
    <row r="2026" spans="1:4" x14ac:dyDescent="0.2">
      <c r="A2026" s="5">
        <v>1965</v>
      </c>
      <c r="B2026" s="138">
        <f>'Cap Outlay Deprec 26'!F5</f>
        <v>704470</v>
      </c>
      <c r="C2026" s="2" t="s">
        <v>594</v>
      </c>
      <c r="D2026" s="2" t="str">
        <f t="shared" si="30"/>
        <v>Error?</v>
      </c>
    </row>
    <row r="2027" spans="1:4" x14ac:dyDescent="0.2">
      <c r="A2027" s="5">
        <v>1966</v>
      </c>
      <c r="B2027" s="138">
        <f>'Cap Outlay Deprec 26'!F8</f>
        <v>57559</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622132</v>
      </c>
      <c r="C2029" s="2" t="s">
        <v>594</v>
      </c>
      <c r="D2029" s="2" t="str">
        <f t="shared" si="30"/>
        <v>Error?</v>
      </c>
    </row>
    <row r="2030" spans="1:4" x14ac:dyDescent="0.2">
      <c r="A2030" s="5">
        <v>1969</v>
      </c>
      <c r="B2030" s="138">
        <f>'Cap Outlay Deprec 26'!F13</f>
        <v>328280</v>
      </c>
      <c r="C2030" s="2" t="s">
        <v>594</v>
      </c>
      <c r="D2030" s="2" t="str">
        <f t="shared" si="30"/>
        <v>Error?</v>
      </c>
    </row>
    <row r="2031" spans="1:4" x14ac:dyDescent="0.2">
      <c r="A2031" s="5">
        <v>1970</v>
      </c>
      <c r="B2031" s="138">
        <f>'Cap Outlay Deprec 26'!F16</f>
        <v>1758862</v>
      </c>
      <c r="C2031" s="2" t="s">
        <v>594</v>
      </c>
      <c r="D2031" s="2" t="str">
        <f t="shared" si="30"/>
        <v>Error?</v>
      </c>
    </row>
    <row r="2032" spans="1:4" x14ac:dyDescent="0.2">
      <c r="A2032" s="10">
        <v>1971</v>
      </c>
      <c r="D2032" s="2" t="str">
        <f t="shared" si="30"/>
        <v>OK</v>
      </c>
    </row>
    <row r="2033" spans="1:4" x14ac:dyDescent="0.2">
      <c r="A2033" s="5">
        <v>1972</v>
      </c>
      <c r="B2033" s="138">
        <f>'Cap Outlay Deprec 26'!H8</f>
        <v>23024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246716</v>
      </c>
      <c r="D2035" s="2" t="str">
        <f t="shared" si="30"/>
        <v>Error?</v>
      </c>
    </row>
    <row r="2036" spans="1:4" x14ac:dyDescent="0.2">
      <c r="A2036" s="5">
        <v>1975</v>
      </c>
      <c r="B2036" s="138">
        <f>'Cap Outlay Deprec 26'!H13</f>
        <v>166557</v>
      </c>
      <c r="D2036" s="2" t="str">
        <f t="shared" si="30"/>
        <v>Error?</v>
      </c>
    </row>
    <row r="2037" spans="1:4" x14ac:dyDescent="0.2">
      <c r="A2037" s="5">
        <v>1976</v>
      </c>
      <c r="B2037" s="138">
        <f>'Cap Outlay Deprec 26'!H16</f>
        <v>436297</v>
      </c>
      <c r="C2037" s="2" t="s">
        <v>594</v>
      </c>
      <c r="D2037" s="2" t="str">
        <f t="shared" si="30"/>
        <v>Error?</v>
      </c>
    </row>
    <row r="2038" spans="1:4" x14ac:dyDescent="0.2">
      <c r="A2038" s="10">
        <v>1977</v>
      </c>
      <c r="D2038" s="2" t="str">
        <f t="shared" si="30"/>
        <v>OK</v>
      </c>
    </row>
    <row r="2039" spans="1:4" x14ac:dyDescent="0.2">
      <c r="A2039" s="5">
        <v>1978</v>
      </c>
      <c r="B2039" s="138">
        <f>'Cap Outlay Deprec 26'!I8</f>
        <v>2878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64570</v>
      </c>
      <c r="D2041" s="2" t="str">
        <f t="shared" si="30"/>
        <v>Error?</v>
      </c>
    </row>
    <row r="2042" spans="1:4" x14ac:dyDescent="0.2">
      <c r="A2042" s="5">
        <v>1981</v>
      </c>
      <c r="B2042" s="138">
        <f>'Cap Outlay Deprec 26'!I13</f>
        <v>65657</v>
      </c>
      <c r="D2042" s="2" t="str">
        <f t="shared" si="30"/>
        <v>Error?</v>
      </c>
    </row>
    <row r="2043" spans="1:4" x14ac:dyDescent="0.2">
      <c r="A2043" s="5">
        <v>1982</v>
      </c>
      <c r="B2043" s="138">
        <f>'Cap Outlay Deprec 26'!I16</f>
        <v>133105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50459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50459</v>
      </c>
      <c r="C2049" s="2" t="s">
        <v>594</v>
      </c>
      <c r="D2049" s="2" t="str">
        <f t="shared" si="31"/>
        <v>Error?</v>
      </c>
    </row>
    <row r="2050" spans="1:4" x14ac:dyDescent="0.2">
      <c r="A2050" s="10">
        <v>1989</v>
      </c>
      <c r="D2050" s="2" t="str">
        <f t="shared" si="31"/>
        <v>OK</v>
      </c>
    </row>
    <row r="2051" spans="1:4" x14ac:dyDescent="0.2">
      <c r="A2051" s="5">
        <v>1990</v>
      </c>
      <c r="B2051" s="138">
        <f>'Cap Outlay Deprec 26'!K8</f>
        <v>25902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260827</v>
      </c>
      <c r="C2053" s="2" t="s">
        <v>594</v>
      </c>
      <c r="D2053" s="2" t="str">
        <f t="shared" si="31"/>
        <v>Error?</v>
      </c>
    </row>
    <row r="2054" spans="1:4" x14ac:dyDescent="0.2">
      <c r="A2054" s="5">
        <v>1993</v>
      </c>
      <c r="B2054" s="138">
        <f>'Cap Outlay Deprec 26'!K13</f>
        <v>232214</v>
      </c>
      <c r="C2054" s="2" t="s">
        <v>594</v>
      </c>
      <c r="D2054" s="2" t="str">
        <f t="shared" si="31"/>
        <v>Error?</v>
      </c>
    </row>
    <row r="2055" spans="1:4" x14ac:dyDescent="0.2">
      <c r="A2055" s="5">
        <v>1994</v>
      </c>
      <c r="B2055" s="138">
        <f>'Cap Outlay Deprec 26'!K16</f>
        <v>518943</v>
      </c>
      <c r="C2055" s="2" t="s">
        <v>594</v>
      </c>
      <c r="D2055" s="2" t="str">
        <f t="shared" si="31"/>
        <v>Error?</v>
      </c>
    </row>
    <row r="2056" spans="1:4" x14ac:dyDescent="0.2">
      <c r="A2056" s="5">
        <v>1995</v>
      </c>
      <c r="B2056" s="138">
        <f>'Cap Outlay Deprec 26'!L5</f>
        <v>704470</v>
      </c>
      <c r="C2056" s="2" t="s">
        <v>594</v>
      </c>
      <c r="D2056" s="2" t="str">
        <f t="shared" si="31"/>
        <v>Error?</v>
      </c>
    </row>
    <row r="2057" spans="1:4" x14ac:dyDescent="0.2">
      <c r="A2057" s="5">
        <v>1996</v>
      </c>
      <c r="B2057" s="138">
        <f>'Cap Outlay Deprec 26'!L8</f>
        <v>31657</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361305</v>
      </c>
      <c r="C2059" s="2" t="s">
        <v>594</v>
      </c>
      <c r="D2059" s="2" t="str">
        <f t="shared" si="31"/>
        <v>Error?</v>
      </c>
    </row>
    <row r="2060" spans="1:4" x14ac:dyDescent="0.2">
      <c r="A2060" s="5">
        <v>1999</v>
      </c>
      <c r="B2060" s="138">
        <f>'Cap Outlay Deprec 26'!L13</f>
        <v>96066</v>
      </c>
      <c r="C2060" s="2" t="s">
        <v>594</v>
      </c>
      <c r="D2060" s="2" t="str">
        <f t="shared" si="31"/>
        <v>Error?</v>
      </c>
    </row>
    <row r="2061" spans="1:4" x14ac:dyDescent="0.2">
      <c r="A2061" s="5">
        <v>2000</v>
      </c>
      <c r="B2061" s="138">
        <f>'Cap Outlay Deprec 26'!L16</f>
        <v>1239919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110260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297680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100558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117240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1685603</v>
      </c>
      <c r="C2551" s="2" t="s">
        <v>594</v>
      </c>
      <c r="D2551" s="2" t="str">
        <f t="shared" si="38"/>
        <v>Error?</v>
      </c>
    </row>
    <row r="2552" spans="1:4" x14ac:dyDescent="0.2">
      <c r="A2552" s="10">
        <v>2491</v>
      </c>
      <c r="D2552" s="2" t="str">
        <f t="shared" si="38"/>
        <v>OK</v>
      </c>
    </row>
    <row r="2553" spans="1:4" x14ac:dyDescent="0.2">
      <c r="A2553" s="5">
        <v>2492</v>
      </c>
      <c r="B2553" s="138">
        <f>'Acct Summary 7-8'!C6</f>
        <v>1250607</v>
      </c>
      <c r="C2553" s="2" t="s">
        <v>594</v>
      </c>
      <c r="D2553" s="2" t="str">
        <f t="shared" si="38"/>
        <v>Error?</v>
      </c>
    </row>
    <row r="2554" spans="1:4" x14ac:dyDescent="0.2">
      <c r="A2554" s="5">
        <v>2493</v>
      </c>
      <c r="B2554" s="138">
        <f>'Acct Summary 7-8'!C7</f>
        <v>142633</v>
      </c>
      <c r="C2554" s="2" t="s">
        <v>594</v>
      </c>
      <c r="D2554" s="2" t="str">
        <f t="shared" si="38"/>
        <v>Error?</v>
      </c>
    </row>
    <row r="2555" spans="1:4" x14ac:dyDescent="0.2">
      <c r="A2555" s="5">
        <v>2494</v>
      </c>
      <c r="B2555" s="138">
        <f>'Acct Summary 7-8'!C8</f>
        <v>3078843</v>
      </c>
      <c r="C2555" s="2" t="s">
        <v>594</v>
      </c>
      <c r="D2555" s="2" t="str">
        <f t="shared" si="38"/>
        <v>Error?</v>
      </c>
    </row>
    <row r="2556" spans="1:4" x14ac:dyDescent="0.2">
      <c r="A2556" s="5">
        <v>2495</v>
      </c>
      <c r="B2556" s="138">
        <f>'Acct Summary 7-8'!C12</f>
        <v>2029641</v>
      </c>
      <c r="C2556" s="2" t="s">
        <v>594</v>
      </c>
      <c r="D2556" s="2" t="str">
        <f t="shared" si="38"/>
        <v>Error?</v>
      </c>
    </row>
    <row r="2557" spans="1:4" x14ac:dyDescent="0.2">
      <c r="A2557" s="5">
        <v>2496</v>
      </c>
      <c r="B2557" s="138">
        <f>'Acct Summary 7-8'!C13</f>
        <v>617933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297680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2945254</v>
      </c>
      <c r="C2561" s="2" t="s">
        <v>594</v>
      </c>
      <c r="D2561" s="2" t="str">
        <f t="shared" si="39"/>
        <v>Error?</v>
      </c>
    </row>
    <row r="2562" spans="1:4" x14ac:dyDescent="0.2">
      <c r="A2562" s="5">
        <v>2501</v>
      </c>
      <c r="B2562" s="138">
        <f>'Acct Summary 7-8'!C20</f>
        <v>133589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576062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576062</v>
      </c>
      <c r="C2568" s="2" t="s">
        <v>594</v>
      </c>
      <c r="D2568" s="2" t="str">
        <f t="shared" si="39"/>
        <v>Error?</v>
      </c>
    </row>
    <row r="2569" spans="1:4" x14ac:dyDescent="0.2">
      <c r="A2569" s="5">
        <v>2508</v>
      </c>
      <c r="B2569" s="138">
        <f>'Acct Summary 7-8'!D13</f>
        <v>310960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100558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411518</v>
      </c>
      <c r="C2573" s="2" t="s">
        <v>594</v>
      </c>
      <c r="D2573" s="2" t="str">
        <f t="shared" si="39"/>
        <v>Error?</v>
      </c>
    </row>
    <row r="2574" spans="1:4" x14ac:dyDescent="0.2">
      <c r="A2574" s="5">
        <v>2513</v>
      </c>
      <c r="B2574" s="138">
        <f>'Acct Summary 7-8'!D20</f>
        <v>164544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238737</v>
      </c>
      <c r="C2591" s="2" t="s">
        <v>594</v>
      </c>
      <c r="D2591" s="2" t="str">
        <f t="shared" si="39"/>
        <v>Error?</v>
      </c>
    </row>
    <row r="2592" spans="1:4" x14ac:dyDescent="0.2">
      <c r="A2592" s="10">
        <v>2531</v>
      </c>
      <c r="D2592" s="2" t="str">
        <f t="shared" si="39"/>
        <v>OK</v>
      </c>
    </row>
    <row r="2593" spans="1:4" x14ac:dyDescent="0.2">
      <c r="A2593" s="5">
        <v>2532</v>
      </c>
      <c r="B2593" s="138">
        <f>'Acct Summary 7-8'!F6</f>
        <v>240739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479476</v>
      </c>
      <c r="C2595" s="2" t="s">
        <v>594</v>
      </c>
      <c r="D2595" s="2" t="str">
        <f t="shared" si="39"/>
        <v>Error?</v>
      </c>
    </row>
    <row r="2596" spans="1:4" x14ac:dyDescent="0.2">
      <c r="A2596" s="5">
        <v>2535</v>
      </c>
      <c r="B2596" s="138">
        <f>'Acct Summary 7-8'!F13</f>
        <v>346840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34933</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381773</v>
      </c>
      <c r="C2600" s="2" t="s">
        <v>594</v>
      </c>
      <c r="D2600" s="2" t="str">
        <f t="shared" si="39"/>
        <v>Error?</v>
      </c>
    </row>
    <row r="2601" spans="1:4" x14ac:dyDescent="0.2">
      <c r="A2601" s="5">
        <v>2540</v>
      </c>
      <c r="B2601" s="138">
        <f>'Acct Summary 7-8'!F20</f>
        <v>97703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58145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58145</v>
      </c>
      <c r="C2606" s="2" t="s">
        <v>594</v>
      </c>
      <c r="D2606" s="2" t="str">
        <f t="shared" si="39"/>
        <v>Error?</v>
      </c>
    </row>
    <row r="2607" spans="1:4" x14ac:dyDescent="0.2">
      <c r="A2607" s="5">
        <v>2546</v>
      </c>
      <c r="B2607" s="138">
        <f>'Acct Summary 7-8'!G12</f>
        <v>40212</v>
      </c>
      <c r="C2607" s="2" t="s">
        <v>594</v>
      </c>
      <c r="D2607" s="2" t="str">
        <f t="shared" si="39"/>
        <v>Error?</v>
      </c>
    </row>
    <row r="2608" spans="1:4" x14ac:dyDescent="0.2">
      <c r="A2608" s="5">
        <v>2547</v>
      </c>
      <c r="B2608" s="138">
        <f>'Acct Summary 7-8'!G13</f>
        <v>62945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103157</v>
      </c>
      <c r="C2612" s="2" t="s">
        <v>594</v>
      </c>
      <c r="D2612" s="2" t="str">
        <f t="shared" si="39"/>
        <v>Error?</v>
      </c>
    </row>
    <row r="2613" spans="1:4" x14ac:dyDescent="0.2">
      <c r="A2613" s="5">
        <v>2552</v>
      </c>
      <c r="B2613" s="138">
        <f>'Acct Summary 7-8'!G20</f>
        <v>-45012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187420</v>
      </c>
      <c r="C2789" s="2" t="s">
        <v>594</v>
      </c>
      <c r="D2789" s="2" t="str">
        <f t="shared" si="42"/>
        <v>Error?</v>
      </c>
    </row>
    <row r="2790" spans="1:4" x14ac:dyDescent="0.2">
      <c r="A2790" s="5">
        <v>2729</v>
      </c>
      <c r="B2790" s="138">
        <f>'Expenditures 15-22'!E102</f>
        <v>187420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34933</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34933</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46421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270142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248598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270142</v>
      </c>
      <c r="D2912" s="2" t="str">
        <f t="shared" si="44"/>
        <v>Error?</v>
      </c>
    </row>
    <row r="2913" spans="1:4" x14ac:dyDescent="0.2">
      <c r="A2913" s="5">
        <v>2852</v>
      </c>
      <c r="B2913" s="138">
        <f>'Assets-Liab 5-6'!I41</f>
        <v>270142</v>
      </c>
      <c r="C2913" s="2" t="s">
        <v>594</v>
      </c>
      <c r="D2913" s="2" t="str">
        <f t="shared" si="44"/>
        <v>Error?</v>
      </c>
    </row>
    <row r="2914" spans="1:4" x14ac:dyDescent="0.2">
      <c r="A2914" s="5">
        <v>2853</v>
      </c>
      <c r="B2914" s="138">
        <f>'Assets-Liab 5-6'!L33</f>
        <v>188598</v>
      </c>
      <c r="D2914" s="2" t="str">
        <f t="shared" si="44"/>
        <v>Error?</v>
      </c>
    </row>
    <row r="2915" spans="1:4" x14ac:dyDescent="0.2">
      <c r="A2915" s="10">
        <v>2854</v>
      </c>
      <c r="D2915" s="2" t="str">
        <f t="shared" si="44"/>
        <v>OK</v>
      </c>
    </row>
    <row r="2916" spans="1:4" x14ac:dyDescent="0.2">
      <c r="A2916" s="5">
        <v>2855</v>
      </c>
      <c r="B2916" s="138">
        <f>'Assets-Liab 5-6'!L34</f>
        <v>188598</v>
      </c>
      <c r="C2916" s="2" t="s">
        <v>594</v>
      </c>
      <c r="D2916" s="2" t="str">
        <f t="shared" si="44"/>
        <v>Error?</v>
      </c>
    </row>
    <row r="2917" spans="1:4" x14ac:dyDescent="0.2">
      <c r="A2917" s="5">
        <v>2856</v>
      </c>
      <c r="B2917" s="138">
        <f>'Assets-Liab 5-6'!L41</f>
        <v>248598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113075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74345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107760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220835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74345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100558</v>
      </c>
      <c r="C2988" s="2" t="s">
        <v>594</v>
      </c>
      <c r="D2988" s="2" t="str">
        <f t="shared" si="45"/>
        <v>Error?</v>
      </c>
    </row>
    <row r="2989" spans="1:4" x14ac:dyDescent="0.2">
      <c r="A2989" s="5">
        <v>2928</v>
      </c>
      <c r="B2989" s="138">
        <f>'Expenditures 15-22'!E188</f>
        <v>34933</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34933</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77303</v>
      </c>
      <c r="D3055" s="2" t="str">
        <f t="shared" si="46"/>
        <v>Error?</v>
      </c>
    </row>
    <row r="3056" spans="1:4" x14ac:dyDescent="0.2">
      <c r="A3056" s="5">
        <v>2995</v>
      </c>
      <c r="B3056" s="138">
        <f>'Expenditures 15-22'!D10</f>
        <v>2761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80355</v>
      </c>
      <c r="C3062" s="2" t="s">
        <v>594</v>
      </c>
      <c r="D3062" s="2" t="str">
        <f t="shared" si="46"/>
        <v>Error?</v>
      </c>
    </row>
    <row r="3063" spans="1:4" x14ac:dyDescent="0.2">
      <c r="A3063" s="10">
        <v>3002</v>
      </c>
      <c r="D3063" s="2" t="str">
        <f t="shared" si="46"/>
        <v>OK</v>
      </c>
    </row>
    <row r="3064" spans="1:4" x14ac:dyDescent="0.2">
      <c r="A3064" s="5">
        <v>3003</v>
      </c>
      <c r="B3064" s="138">
        <f>'Expenditures 15-22'!D219</f>
        <v>8428</v>
      </c>
      <c r="D3064" s="2" t="str">
        <f t="shared" si="46"/>
        <v>Error?</v>
      </c>
    </row>
    <row r="3065" spans="1:4" x14ac:dyDescent="0.2">
      <c r="A3065" s="5">
        <v>3004</v>
      </c>
      <c r="B3065" s="138">
        <f>'Expenditures 15-22'!K219</f>
        <v>8428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60000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71429</v>
      </c>
      <c r="C3225" s="2" t="s">
        <v>594</v>
      </c>
      <c r="D3225" s="2" t="str">
        <f t="shared" si="49"/>
        <v>Error?</v>
      </c>
    </row>
    <row r="3226" spans="1:4" x14ac:dyDescent="0.2">
      <c r="A3226" s="5">
        <v>3165</v>
      </c>
      <c r="B3226" s="138">
        <f>'Acct Summary 7-8'!I8</f>
        <v>71429</v>
      </c>
      <c r="C3226" s="2" t="s">
        <v>594</v>
      </c>
      <c r="D3226" s="2" t="str">
        <f t="shared" si="49"/>
        <v>Error?</v>
      </c>
    </row>
    <row r="3227" spans="1:4" x14ac:dyDescent="0.2">
      <c r="A3227" s="5">
        <v>3166</v>
      </c>
      <c r="B3227" s="138">
        <f>'Acct Summary 7-8'!I20</f>
        <v>71429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133589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164544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97703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-45012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71429</v>
      </c>
      <c r="C3320" s="2" t="s">
        <v>594</v>
      </c>
      <c r="D3320" s="2" t="str">
        <f t="shared" si="50"/>
        <v>Error?</v>
      </c>
    </row>
    <row r="3321" spans="1:4" x14ac:dyDescent="0.2">
      <c r="A3321" s="5">
        <v>3260</v>
      </c>
      <c r="B3321" s="138">
        <f>'Acct Summary 7-8'!I79</f>
        <v>198713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270142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107852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1900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143937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16750</v>
      </c>
      <c r="D3387" s="2" t="str">
        <f t="shared" si="51"/>
        <v>Error?</v>
      </c>
    </row>
    <row r="3388" spans="1:4" x14ac:dyDescent="0.2">
      <c r="A3388" s="5">
        <v>3327</v>
      </c>
      <c r="B3388" s="138">
        <f>'Expenditures 15-22'!D217</f>
        <v>5571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16750</v>
      </c>
      <c r="C3390" s="2" t="s">
        <v>594</v>
      </c>
      <c r="D3390" s="2" t="str">
        <f t="shared" si="51"/>
        <v>Error?</v>
      </c>
    </row>
    <row r="3391" spans="1:4" x14ac:dyDescent="0.2">
      <c r="A3391" s="5">
        <v>3330</v>
      </c>
      <c r="B3391" s="138">
        <f>'Expenditures 15-22'!K217</f>
        <v>5571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790188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303690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415026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261286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4846</v>
      </c>
      <c r="D3425" s="2" t="str">
        <f t="shared" si="52"/>
        <v>Error?</v>
      </c>
    </row>
    <row r="3426" spans="1:4" x14ac:dyDescent="0.2">
      <c r="A3426" s="10">
        <v>3365</v>
      </c>
      <c r="D3426" s="2" t="str">
        <f t="shared" si="52"/>
        <v>OK</v>
      </c>
    </row>
    <row r="3427" spans="1:4" x14ac:dyDescent="0.2">
      <c r="A3427" s="5">
        <v>3366</v>
      </c>
      <c r="B3427" s="138">
        <f>'Assets-Liab 5-6'!I4</f>
        <v>270142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188598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42341</v>
      </c>
      <c r="C3446" s="2" t="s">
        <v>594</v>
      </c>
      <c r="D3446" s="2" t="str">
        <f t="shared" si="52"/>
        <v>Error?</v>
      </c>
    </row>
    <row r="3447" spans="1:4" x14ac:dyDescent="0.2">
      <c r="A3447" s="5">
        <v>3386</v>
      </c>
      <c r="B3447" s="138">
        <f>'Tax Sched 23'!D16</f>
        <v>42341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70001</v>
      </c>
      <c r="C3449" s="2" t="s">
        <v>594</v>
      </c>
      <c r="D3449" s="2" t="str">
        <f t="shared" si="52"/>
        <v>Error?</v>
      </c>
    </row>
    <row r="3450" spans="1:4" x14ac:dyDescent="0.2">
      <c r="A3450" s="5">
        <v>3389</v>
      </c>
      <c r="B3450" s="138">
        <f>'Tax Sched 23'!E16</f>
        <v>70001</v>
      </c>
      <c r="D3450" s="2" t="str">
        <f t="shared" si="52"/>
        <v>Error?</v>
      </c>
    </row>
    <row r="3451" spans="1:4" x14ac:dyDescent="0.2">
      <c r="A3451" s="5">
        <v>3390</v>
      </c>
      <c r="B3451" s="138">
        <f>'Cap Outlay Deprec 26'!C15</f>
        <v>25429</v>
      </c>
      <c r="D3451" s="2" t="str">
        <f t="shared" si="52"/>
        <v>Error?</v>
      </c>
    </row>
    <row r="3452" spans="1:4" x14ac:dyDescent="0.2">
      <c r="A3452" s="5">
        <v>3391</v>
      </c>
      <c r="B3452" s="138">
        <f>'Cap Outlay Deprec 26'!D15</f>
        <v>20992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46421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46421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534478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534478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534478</v>
      </c>
      <c r="D3567" s="2" t="str">
        <f t="shared" si="54"/>
        <v>Error?</v>
      </c>
    </row>
    <row r="3568" spans="1:4" x14ac:dyDescent="0.2">
      <c r="A3568" s="5">
        <v>3507</v>
      </c>
      <c r="B3568" s="138">
        <f>'Assets-Liab 5-6'!K41</f>
        <v>534478</v>
      </c>
      <c r="C3568" s="2" t="s">
        <v>594</v>
      </c>
      <c r="D3568" s="2" t="str">
        <f t="shared" si="54"/>
        <v>Error?</v>
      </c>
    </row>
    <row r="3569" spans="1:4" x14ac:dyDescent="0.2">
      <c r="A3569" s="5">
        <v>3508</v>
      </c>
      <c r="B3569" s="138">
        <f>'Acct Summary 7-8'!K4</f>
        <v>72956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72956</v>
      </c>
      <c r="C3571" s="2" t="s">
        <v>594</v>
      </c>
      <c r="D3571" s="2" t="str">
        <f t="shared" si="54"/>
        <v>Error?</v>
      </c>
    </row>
    <row r="3572" spans="1:4" x14ac:dyDescent="0.2">
      <c r="A3572" s="5">
        <v>3511</v>
      </c>
      <c r="B3572" s="138">
        <f>'Acct Summary 7-8'!K13</f>
        <v>20992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20992</v>
      </c>
      <c r="C3575" s="2" t="s">
        <v>594</v>
      </c>
      <c r="D3575" s="2" t="str">
        <f t="shared" si="54"/>
        <v>Error?</v>
      </c>
    </row>
    <row r="3576" spans="1:4" x14ac:dyDescent="0.2">
      <c r="A3576" s="5">
        <v>3515</v>
      </c>
      <c r="B3576" s="138">
        <f>'Acct Summary 7-8'!K20</f>
        <v>51964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51964</v>
      </c>
      <c r="C3588" s="2" t="s">
        <v>594</v>
      </c>
      <c r="D3588" s="2" t="str">
        <f t="shared" si="55"/>
        <v>Error?</v>
      </c>
    </row>
    <row r="3589" spans="1:4" x14ac:dyDescent="0.2">
      <c r="A3589" s="5">
        <v>3528</v>
      </c>
      <c r="B3589" s="138">
        <f>'Acct Summary 7-8'!K79</f>
        <v>482514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534478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20992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20992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20992</v>
      </c>
      <c r="C3649" s="2" t="s">
        <v>594</v>
      </c>
      <c r="D3649" s="2" t="str">
        <f t="shared" si="56"/>
        <v>Error?</v>
      </c>
    </row>
    <row r="3650" spans="1:4" x14ac:dyDescent="0.2">
      <c r="A3650" s="5">
        <v>3589</v>
      </c>
      <c r="B3650" s="138">
        <f>'Expenditures 15-22'!G367</f>
        <v>20992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20992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20992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20992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20992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51964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70046</v>
      </c>
      <c r="C3725" s="2" t="s">
        <v>594</v>
      </c>
      <c r="D3725" s="2" t="str">
        <f t="shared" si="57"/>
        <v>Error?</v>
      </c>
    </row>
    <row r="3726" spans="1:4" x14ac:dyDescent="0.2">
      <c r="A3726" s="5">
        <v>3665</v>
      </c>
      <c r="B3726" s="138">
        <f>'Tax Sched 23'!D13</f>
        <v>70046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73407</v>
      </c>
      <c r="C3728" s="2" t="s">
        <v>594</v>
      </c>
      <c r="D3728" s="2" t="str">
        <f t="shared" si="57"/>
        <v>Error?</v>
      </c>
    </row>
    <row r="3729" spans="1:4" x14ac:dyDescent="0.2">
      <c r="A3729" s="5">
        <v>3668</v>
      </c>
      <c r="B3729" s="138">
        <f>'Tax Sched 23'!E13</f>
        <v>73407</v>
      </c>
      <c r="D3729" s="2" t="str">
        <f t="shared" si="57"/>
        <v>Error?</v>
      </c>
    </row>
    <row r="3730" spans="1:4" x14ac:dyDescent="0.2">
      <c r="A3730" s="5">
        <v>3669</v>
      </c>
      <c r="B3730" s="138">
        <f>'ICR Computation 30'!E10</f>
        <v>36501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1176252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4255095</v>
      </c>
      <c r="C4122" s="2" t="s">
        <v>594</v>
      </c>
      <c r="D4122" s="2" t="str">
        <f t="shared" si="63"/>
        <v>Error?</v>
      </c>
    </row>
    <row r="4123" spans="1:4" x14ac:dyDescent="0.2">
      <c r="A4123" s="5">
        <v>4062</v>
      </c>
      <c r="B4123" s="138">
        <f>'Acct Summary 7-8'!D10</f>
        <v>576062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479476</v>
      </c>
      <c r="C4125" s="2" t="s">
        <v>594</v>
      </c>
      <c r="D4125" s="2" t="str">
        <f t="shared" si="63"/>
        <v>Error?</v>
      </c>
    </row>
    <row r="4126" spans="1:4" x14ac:dyDescent="0.2">
      <c r="A4126" s="5">
        <v>4065</v>
      </c>
      <c r="B4126" s="138">
        <f>'Acct Summary 7-8'!G10</f>
        <v>58145</v>
      </c>
      <c r="C4126" s="2" t="s">
        <v>594</v>
      </c>
      <c r="D4126" s="2" t="str">
        <f t="shared" si="63"/>
        <v>Error?</v>
      </c>
    </row>
    <row r="4127" spans="1:4" x14ac:dyDescent="0.2">
      <c r="A4127" s="5">
        <v>4066</v>
      </c>
      <c r="B4127" s="138">
        <f>'Acct Summary 7-8'!H10</f>
        <v>26</v>
      </c>
      <c r="C4127" s="2" t="s">
        <v>594</v>
      </c>
      <c r="D4127" s="2" t="str">
        <f t="shared" si="63"/>
        <v>Error?</v>
      </c>
    </row>
    <row r="4128" spans="1:4" x14ac:dyDescent="0.2">
      <c r="A4128" s="5">
        <v>4067</v>
      </c>
      <c r="B4128" s="138">
        <f>'Acct Summary 7-8'!I10</f>
        <v>71429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72956</v>
      </c>
      <c r="C4130" s="2" t="s">
        <v>594</v>
      </c>
      <c r="D4130" s="2" t="str">
        <f t="shared" si="63"/>
        <v>Error?</v>
      </c>
    </row>
    <row r="4131" spans="1:4" x14ac:dyDescent="0.2">
      <c r="A4131" s="5">
        <v>4070</v>
      </c>
      <c r="B4131" s="138">
        <f>'Acct Summary 7-8'!C18</f>
        <v>1176252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4121506</v>
      </c>
      <c r="C4136" s="2" t="s">
        <v>594</v>
      </c>
      <c r="D4136" s="2" t="str">
        <f t="shared" si="63"/>
        <v>Error?</v>
      </c>
    </row>
    <row r="4137" spans="1:4" x14ac:dyDescent="0.2">
      <c r="A4137" s="5">
        <v>4076</v>
      </c>
      <c r="B4137" s="138">
        <f>'Acct Summary 7-8'!D19</f>
        <v>411518</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381773</v>
      </c>
      <c r="C4139" s="2" t="s">
        <v>594</v>
      </c>
      <c r="D4139" s="2" t="str">
        <f t="shared" si="63"/>
        <v>Error?</v>
      </c>
    </row>
    <row r="4140" spans="1:4" x14ac:dyDescent="0.2">
      <c r="A4140" s="5">
        <v>4079</v>
      </c>
      <c r="B4140" s="138">
        <f>'Acct Summary 7-8'!G19</f>
        <v>103157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20992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100558</v>
      </c>
      <c r="D4201" s="2" t="str">
        <f t="shared" si="64"/>
        <v>Error?</v>
      </c>
    </row>
    <row r="4202" spans="1:4" x14ac:dyDescent="0.2">
      <c r="A4202" s="5">
        <v>4141</v>
      </c>
      <c r="B4202" s="138">
        <f>'Expenditures 15-22'!E137</f>
        <v>100558</v>
      </c>
      <c r="C4202" s="2" t="s">
        <v>594</v>
      </c>
      <c r="D4202" s="2" t="str">
        <f t="shared" si="64"/>
        <v>Error?</v>
      </c>
    </row>
    <row r="4203" spans="1:4" x14ac:dyDescent="0.2">
      <c r="A4203" s="5">
        <v>4142</v>
      </c>
      <c r="B4203" s="138">
        <f>'Expenditures 15-22'!E139</f>
        <v>100558</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1050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1520</v>
      </c>
      <c r="C4268" s="2" t="s">
        <v>594</v>
      </c>
      <c r="D4268" s="2" t="str">
        <f t="shared" si="65"/>
        <v>Error?</v>
      </c>
    </row>
    <row r="4269" spans="1:5" x14ac:dyDescent="0.2">
      <c r="A4269" s="12">
        <v>4208</v>
      </c>
      <c r="B4269" s="138">
        <f>'FP Info 3'!J16</f>
        <v>2817777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3924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20669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3084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589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146814436</v>
      </c>
      <c r="D4995" s="2" t="str">
        <f t="shared" si="77"/>
        <v>Error?</v>
      </c>
    </row>
    <row r="4996" spans="1:4" x14ac:dyDescent="0.2">
      <c r="A4996" s="12">
        <v>4935</v>
      </c>
      <c r="B4996" s="138">
        <f>'FP Info 3'!H31</f>
        <v>10130196.084000001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70046</v>
      </c>
      <c r="D5026" s="2" t="str">
        <f t="shared" si="77"/>
        <v>Error?</v>
      </c>
    </row>
    <row r="5027" spans="1:4" x14ac:dyDescent="0.2">
      <c r="A5027" s="5">
        <v>4966</v>
      </c>
      <c r="B5027" s="138">
        <f>'Revenues 9-14'!F104</f>
        <v>68476</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1470944</v>
      </c>
      <c r="D5061" s="2" t="str">
        <f t="shared" si="78"/>
        <v>Error?</v>
      </c>
    </row>
    <row r="5062" spans="1:4" x14ac:dyDescent="0.2">
      <c r="A5062" s="10">
        <v>5001</v>
      </c>
      <c r="D5062" s="2" t="str">
        <f t="shared" si="78"/>
        <v>OK</v>
      </c>
    </row>
    <row r="5063" spans="1:4" x14ac:dyDescent="0.2">
      <c r="A5063" s="5">
        <v>5002</v>
      </c>
      <c r="B5063" s="138">
        <f>'Revenues 9-14'!C7</f>
        <v>28019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1569009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14227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14227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15695</v>
      </c>
      <c r="C5096" s="2" t="s">
        <v>594</v>
      </c>
      <c r="D5096" s="2" t="str">
        <f t="shared" si="78"/>
        <v>Error?</v>
      </c>
    </row>
    <row r="5097" spans="1:4" x14ac:dyDescent="0.2">
      <c r="A5097" s="5">
        <v>5036</v>
      </c>
      <c r="B5097" s="138">
        <f>'Revenues 9-14'!C77</f>
        <v>18546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18546</v>
      </c>
      <c r="C5102" s="2" t="s">
        <v>594</v>
      </c>
      <c r="D5102" s="2" t="str">
        <f t="shared" si="78"/>
        <v>Error?</v>
      </c>
    </row>
    <row r="5103" spans="1:4" x14ac:dyDescent="0.2">
      <c r="A5103" s="5">
        <v>5042</v>
      </c>
      <c r="B5103" s="138">
        <f>'Revenues 9-14'!C84</f>
        <v>25880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767</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26647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5561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460</v>
      </c>
      <c r="D5119" s="2" t="str">
        <f t="shared" ref="D5119:D5182" si="79">IF(ISBLANK(B5119),"OK",IF(A5119-B5119=0,"OK","Error?"))</f>
        <v>Error?</v>
      </c>
    </row>
    <row r="5120" spans="1:4" x14ac:dyDescent="0.2">
      <c r="A5120" s="5">
        <v>5059</v>
      </c>
      <c r="B5120" s="138">
        <f>'Revenues 9-14'!C108</f>
        <v>41479</v>
      </c>
      <c r="C5120" s="2" t="s">
        <v>594</v>
      </c>
      <c r="D5120" s="2" t="str">
        <f t="shared" si="79"/>
        <v>Error?</v>
      </c>
    </row>
    <row r="5121" spans="1:4" x14ac:dyDescent="0.2">
      <c r="A5121" s="5">
        <v>5060</v>
      </c>
      <c r="B5121" s="138">
        <f>'Revenues 9-14'!C109</f>
        <v>1685603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1128346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1128346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25023</v>
      </c>
      <c r="D5134" s="2" t="str">
        <f t="shared" si="79"/>
        <v>Error?</v>
      </c>
    </row>
    <row r="5135" spans="1:4" x14ac:dyDescent="0.2">
      <c r="A5135" s="5">
        <v>5074</v>
      </c>
      <c r="B5135" s="138">
        <f>'Revenues 9-14'!C126</f>
        <v>23534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48557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49711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57265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497</v>
      </c>
      <c r="D5167" s="2" t="str">
        <f t="shared" si="79"/>
        <v>Error?</v>
      </c>
    </row>
    <row r="5168" spans="1:4" x14ac:dyDescent="0.2">
      <c r="A5168" s="5">
        <v>5107</v>
      </c>
      <c r="B5168" s="138">
        <f>'Revenues 9-14'!C147</f>
        <v>15942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122261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1250607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28257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6691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34948</v>
      </c>
      <c r="C5246" s="2" t="s">
        <v>594</v>
      </c>
      <c r="D5246" s="2" t="str">
        <f t="shared" si="80"/>
        <v>Error?</v>
      </c>
    </row>
    <row r="5247" spans="1:4" x14ac:dyDescent="0.2">
      <c r="A5247" s="5">
        <v>5186</v>
      </c>
      <c r="B5247" s="138">
        <f>'Revenues 9-14'!C203</f>
        <v>80008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80008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142633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142633</v>
      </c>
      <c r="C5326" s="2" t="s">
        <v>594</v>
      </c>
      <c r="D5326" s="2" t="str">
        <f t="shared" si="82"/>
        <v>Error?</v>
      </c>
    </row>
    <row r="5327" spans="1:4" x14ac:dyDescent="0.2">
      <c r="A5327" s="5">
        <v>5266</v>
      </c>
      <c r="B5327" s="138">
        <f>'Revenues 9-14'!C275</f>
        <v>3078843</v>
      </c>
      <c r="C5327" s="2" t="s">
        <v>594</v>
      </c>
      <c r="D5327" s="2" t="str">
        <f t="shared" si="82"/>
        <v>Error?</v>
      </c>
    </row>
    <row r="5328" spans="1:4" x14ac:dyDescent="0.2">
      <c r="A5328" s="5">
        <v>5267</v>
      </c>
      <c r="B5328" s="138">
        <f>'Revenues 9-14'!D5</f>
        <v>490317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490317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1963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18262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1020</v>
      </c>
      <c r="D5352" s="2" t="str">
        <f t="shared" si="82"/>
        <v>Error?</v>
      </c>
    </row>
    <row r="5353" spans="1:4" x14ac:dyDescent="0.2">
      <c r="A5353" s="5">
        <v>5292</v>
      </c>
      <c r="B5353" s="138">
        <f>'Revenues 9-14'!D104</f>
        <v>64500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83782</v>
      </c>
      <c r="C5355" s="2" t="s">
        <v>594</v>
      </c>
      <c r="D5355" s="2" t="str">
        <f t="shared" si="82"/>
        <v>Error?</v>
      </c>
    </row>
    <row r="5356" spans="1:4" x14ac:dyDescent="0.2">
      <c r="A5356" s="5">
        <v>5295</v>
      </c>
      <c r="B5356" s="138">
        <f>'Revenues 9-14'!D109</f>
        <v>576062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576062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168109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168109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2152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2152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68476</v>
      </c>
      <c r="C5587" s="2" t="s">
        <v>594</v>
      </c>
      <c r="D5587" s="2" t="str">
        <f t="shared" si="86"/>
        <v>Error?</v>
      </c>
    </row>
    <row r="5588" spans="1:4" x14ac:dyDescent="0.2">
      <c r="A5588" s="5">
        <v>5527</v>
      </c>
      <c r="B5588" s="138">
        <f>'Revenues 9-14'!F109</f>
        <v>238737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193406</v>
      </c>
      <c r="D5615" s="2" t="str">
        <f t="shared" si="86"/>
        <v>Error?</v>
      </c>
    </row>
    <row r="5616" spans="1:4" x14ac:dyDescent="0.2">
      <c r="A5616" s="10">
        <v>5555</v>
      </c>
      <c r="D5616" s="2" t="str">
        <f t="shared" si="86"/>
        <v>OK</v>
      </c>
    </row>
    <row r="5617" spans="1:4" x14ac:dyDescent="0.2">
      <c r="A5617" s="5">
        <v>5556</v>
      </c>
      <c r="B5617" s="138">
        <f>'Revenues 9-14'!F152</f>
        <v>47333</v>
      </c>
      <c r="D5617" s="2" t="str">
        <f t="shared" si="86"/>
        <v>Error?</v>
      </c>
    </row>
    <row r="5618" spans="1:4" x14ac:dyDescent="0.2">
      <c r="A5618" s="5">
        <v>5557</v>
      </c>
      <c r="B5618" s="138">
        <f>'Revenues 9-14'!F154</f>
        <v>240739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240739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240739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479476</v>
      </c>
      <c r="C5720" s="2" t="s">
        <v>594</v>
      </c>
      <c r="D5720" s="2" t="str">
        <f t="shared" si="88"/>
        <v>Error?</v>
      </c>
    </row>
    <row r="5721" spans="1:4" x14ac:dyDescent="0.2">
      <c r="A5721" s="5">
        <v>5660</v>
      </c>
      <c r="B5721" s="138">
        <f>'Revenues 9-14'!G5</f>
        <v>14122</v>
      </c>
      <c r="D5721" s="2" t="str">
        <f t="shared" si="88"/>
        <v>Error?</v>
      </c>
    </row>
    <row r="5722" spans="1:4" x14ac:dyDescent="0.2">
      <c r="A5722" s="5">
        <v>5661</v>
      </c>
      <c r="B5722" s="138">
        <f>'Revenues 9-14'!G7</f>
        <v>0</v>
      </c>
      <c r="D5722" s="2" t="str">
        <f t="shared" si="88"/>
        <v>Error?</v>
      </c>
    </row>
    <row r="5723" spans="1:4" x14ac:dyDescent="0.2">
      <c r="A5723" s="5">
        <v>5662</v>
      </c>
      <c r="B5723" s="138">
        <f>'Revenues 9-14'!G8</f>
        <v>42341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56463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1682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58145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26</v>
      </c>
      <c r="C5915" s="2" t="s">
        <v>594</v>
      </c>
      <c r="D5915" s="2" t="str">
        <f t="shared" si="91"/>
        <v>Error?</v>
      </c>
    </row>
    <row r="5916" spans="1:4" x14ac:dyDescent="0.2">
      <c r="A5916" s="5">
        <v>5855</v>
      </c>
      <c r="B5916" s="138">
        <f>'Revenues 9-14'!I5</f>
        <v>70046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70046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1383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71429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70046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70046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72956</v>
      </c>
      <c r="C6023" s="2" t="s">
        <v>594</v>
      </c>
      <c r="D6023" s="2" t="str">
        <f t="shared" si="93"/>
        <v>Error?</v>
      </c>
    </row>
    <row r="6024" spans="1:5" x14ac:dyDescent="0.2">
      <c r="A6024" s="5">
        <v>5963</v>
      </c>
      <c r="B6024" s="138">
        <f>'Revenues 9-14'!G109</f>
        <v>58145</v>
      </c>
      <c r="C6024" s="2" t="s">
        <v>594</v>
      </c>
      <c r="D6024" s="2" t="str">
        <f t="shared" si="93"/>
        <v>Error?</v>
      </c>
    </row>
    <row r="6025" spans="1:5" x14ac:dyDescent="0.2">
      <c r="A6025" s="5">
        <v>5964</v>
      </c>
      <c r="B6025" s="138">
        <f>'Revenues 9-14'!H109</f>
        <v>26</v>
      </c>
      <c r="C6025" s="2" t="s">
        <v>594</v>
      </c>
      <c r="D6025" s="2" t="str">
        <f t="shared" si="93"/>
        <v>Error?</v>
      </c>
    </row>
    <row r="6026" spans="1:5" x14ac:dyDescent="0.2">
      <c r="A6026" s="5">
        <v>5965</v>
      </c>
      <c r="B6026" s="138">
        <f>'Revenues 9-14'!I109</f>
        <v>71429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72956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13863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4746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302.52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31474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424720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741</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424720</v>
      </c>
      <c r="D6215" s="2" t="str">
        <f t="shared" si="96"/>
        <v>Error?</v>
      </c>
      <c r="E6215" s="2" t="s">
        <v>199</v>
      </c>
    </row>
    <row r="6216" spans="1:5" x14ac:dyDescent="0.2">
      <c r="A6216">
        <v>6155</v>
      </c>
      <c r="B6216" s="138">
        <f>'Assets-Liab 5-6'!J41</f>
        <v>424720</v>
      </c>
      <c r="D6216" s="2" t="str">
        <f t="shared" si="96"/>
        <v>Error?</v>
      </c>
      <c r="E6216" s="2" t="s">
        <v>199</v>
      </c>
    </row>
    <row r="6217" spans="1:5" x14ac:dyDescent="0.2">
      <c r="A6217">
        <v>6156</v>
      </c>
      <c r="B6217" s="138">
        <f>'Assets-Liab 5-6'!J4</f>
        <v>424720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383721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383721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383721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274981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274981</v>
      </c>
      <c r="D6229" s="2" t="str">
        <f t="shared" si="96"/>
        <v>Error?</v>
      </c>
      <c r="E6229" s="2" t="s">
        <v>199</v>
      </c>
    </row>
    <row r="6230" spans="1:5" x14ac:dyDescent="0.2">
      <c r="A6230">
        <v>6169</v>
      </c>
      <c r="B6230" s="138">
        <f>'Acct Summary 7-8'!J20</f>
        <v>108740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108740</v>
      </c>
      <c r="D6263" s="2" t="str">
        <f t="shared" si="96"/>
        <v>Error?</v>
      </c>
      <c r="E6263" s="2" t="s">
        <v>199</v>
      </c>
    </row>
    <row r="6264" spans="1:5" x14ac:dyDescent="0.2">
      <c r="A6264">
        <v>6203</v>
      </c>
      <c r="B6264" s="138">
        <f>'Acct Summary 7-8'!J79</f>
        <v>315980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424720</v>
      </c>
      <c r="D6266" s="2" t="str">
        <f t="shared" si="96"/>
        <v>Error?</v>
      </c>
      <c r="E6266" s="2" t="s">
        <v>199</v>
      </c>
    </row>
    <row r="6267" spans="1:5" x14ac:dyDescent="0.2">
      <c r="A6267">
        <v>6206</v>
      </c>
      <c r="B6267" s="138">
        <f>'Acct Summary 7-8'!C82</f>
        <v>133589</v>
      </c>
      <c r="D6267" s="2" t="str">
        <f t="shared" si="96"/>
        <v>Error?</v>
      </c>
      <c r="E6267" s="2" t="s">
        <v>199</v>
      </c>
    </row>
    <row r="6268" spans="1:5" x14ac:dyDescent="0.2">
      <c r="A6268">
        <v>6207</v>
      </c>
      <c r="B6268" s="138">
        <f>'Acct Summary 7-8'!D82</f>
        <v>164544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97703</v>
      </c>
      <c r="D6270" s="2" t="str">
        <f t="shared" si="96"/>
        <v>Error?</v>
      </c>
      <c r="E6270" s="2" t="s">
        <v>199</v>
      </c>
    </row>
    <row r="6271" spans="1:5" x14ac:dyDescent="0.2">
      <c r="A6271">
        <v>6210</v>
      </c>
      <c r="B6271" s="138">
        <f>'Acct Summary 7-8'!G82</f>
        <v>-45012</v>
      </c>
      <c r="D6271" s="2" t="str">
        <f t="shared" ref="D6271:D6334" si="97">IF(ISBLANK(B6271),"OK",IF(A6271-B6271=0,"OK","Error?"))</f>
        <v>Error?</v>
      </c>
      <c r="E6271" s="2" t="s">
        <v>199</v>
      </c>
    </row>
    <row r="6272" spans="1:5" x14ac:dyDescent="0.2">
      <c r="A6272">
        <v>6211</v>
      </c>
      <c r="B6272" s="138">
        <f>'Acct Summary 7-8'!H82</f>
        <v>26</v>
      </c>
      <c r="D6272" s="2" t="str">
        <f t="shared" si="97"/>
        <v>Error?</v>
      </c>
      <c r="E6272" s="2" t="s">
        <v>199</v>
      </c>
    </row>
    <row r="6273" spans="1:5" x14ac:dyDescent="0.2">
      <c r="A6273">
        <v>6212</v>
      </c>
      <c r="B6273" s="138">
        <f>'Acct Summary 7-8'!I82</f>
        <v>71429</v>
      </c>
      <c r="D6273" s="2" t="str">
        <f t="shared" si="97"/>
        <v>Error?</v>
      </c>
      <c r="E6273" s="2" t="s">
        <v>199</v>
      </c>
    </row>
    <row r="6274" spans="1:5" x14ac:dyDescent="0.2">
      <c r="A6274">
        <v>6213</v>
      </c>
      <c r="B6274" s="138">
        <f>'Acct Summary 7-8'!J82</f>
        <v>108740</v>
      </c>
      <c r="D6274" s="2" t="str">
        <f t="shared" si="97"/>
        <v>Error?</v>
      </c>
      <c r="E6274" s="2" t="s">
        <v>199</v>
      </c>
    </row>
    <row r="6275" spans="1:5" x14ac:dyDescent="0.2">
      <c r="A6275">
        <v>6214</v>
      </c>
      <c r="B6275" s="138">
        <f>'Acct Summary 7-8'!K82</f>
        <v>51964</v>
      </c>
      <c r="D6275" s="2" t="str">
        <f t="shared" si="97"/>
        <v>Error?</v>
      </c>
      <c r="E6275" s="2" t="s">
        <v>199</v>
      </c>
    </row>
    <row r="6276" spans="1:5" x14ac:dyDescent="0.2">
      <c r="A6276">
        <v>6215</v>
      </c>
      <c r="B6276" s="138">
        <f>'Acct Summary 7-8'!C83</f>
        <v>7.3042600574437691E-2</v>
      </c>
      <c r="D6276" s="2" t="str">
        <f t="shared" si="97"/>
        <v>Error?</v>
      </c>
      <c r="E6276" s="2" t="s">
        <v>199</v>
      </c>
    </row>
    <row r="6277" spans="1:5" x14ac:dyDescent="0.2">
      <c r="A6277">
        <v>6216</v>
      </c>
      <c r="B6277" s="138">
        <f>'Acct Summary 7-8'!D83</f>
        <v>0.54181566729230468</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0.23541416682328337</v>
      </c>
      <c r="D6279" s="2" t="str">
        <f t="shared" si="97"/>
        <v>Error?</v>
      </c>
      <c r="E6279" s="2" t="s">
        <v>199</v>
      </c>
    </row>
    <row r="6280" spans="1:5" x14ac:dyDescent="0.2">
      <c r="A6280">
        <v>6219</v>
      </c>
      <c r="B6280" s="138">
        <f>'Acct Summary 7-8'!G83</f>
        <v>-0.17227099806342475</v>
      </c>
      <c r="D6280" s="2" t="str">
        <f t="shared" si="97"/>
        <v>Error?</v>
      </c>
      <c r="E6280" s="2" t="s">
        <v>199</v>
      </c>
    </row>
    <row r="6281" spans="1:5" x14ac:dyDescent="0.2">
      <c r="A6281">
        <v>6220</v>
      </c>
      <c r="B6281" s="138">
        <f>'Acct Summary 7-8'!H83</f>
        <v>5.3652496904663637E-3</v>
      </c>
      <c r="D6281" s="2" t="str">
        <f t="shared" si="97"/>
        <v>Error?</v>
      </c>
      <c r="E6281" s="2" t="s">
        <v>199</v>
      </c>
    </row>
    <row r="6282" spans="1:5" x14ac:dyDescent="0.2">
      <c r="A6282">
        <v>6221</v>
      </c>
      <c r="B6282" s="138">
        <f>'Acct Summary 7-8'!I83</f>
        <v>0.26441279031028125</v>
      </c>
      <c r="D6282" s="2" t="str">
        <f t="shared" si="97"/>
        <v>Error?</v>
      </c>
      <c r="E6282" s="2" t="s">
        <v>199</v>
      </c>
    </row>
    <row r="6283" spans="1:5" x14ac:dyDescent="0.2">
      <c r="A6283">
        <v>6222</v>
      </c>
      <c r="B6283" s="138">
        <f>'Acct Summary 7-8'!J83</f>
        <v>0.25602750047089845</v>
      </c>
      <c r="D6283" s="2" t="str">
        <f t="shared" si="97"/>
        <v>Error?</v>
      </c>
      <c r="E6283" s="2" t="s">
        <v>199</v>
      </c>
    </row>
    <row r="6284" spans="1:5" x14ac:dyDescent="0.2">
      <c r="A6284">
        <v>6223</v>
      </c>
      <c r="B6284" s="138">
        <f>'Acct Summary 7-8'!K83</f>
        <v>9.7223833347677549E-2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381049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381049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2479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2479</v>
      </c>
      <c r="D6318" s="2" t="str">
        <f t="shared" si="97"/>
        <v>Error?</v>
      </c>
      <c r="E6318" s="2" t="s">
        <v>199</v>
      </c>
    </row>
    <row r="6319" spans="1:5" x14ac:dyDescent="0.2">
      <c r="A6319">
        <v>6258</v>
      </c>
      <c r="B6319" s="138">
        <f>'Revenues 9-14'!J96</f>
        <v>193</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30419</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4450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193</v>
      </c>
      <c r="D6351" s="2" t="str">
        <f t="shared" si="98"/>
        <v>Error?</v>
      </c>
      <c r="E6351" s="2" t="s">
        <v>199</v>
      </c>
    </row>
    <row r="6352" spans="1:5" x14ac:dyDescent="0.2">
      <c r="A6352">
        <v>6291</v>
      </c>
      <c r="B6352" s="138">
        <f>'Revenues 9-14'!J109</f>
        <v>383721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7554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62945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33755</v>
      </c>
      <c r="D6880" s="2" t="str">
        <f t="shared" si="106"/>
        <v>Error?</v>
      </c>
    </row>
    <row r="6881" spans="1:4" x14ac:dyDescent="0.2">
      <c r="A6881">
        <v>6820</v>
      </c>
      <c r="B6881" s="138">
        <f>'Expenditures 15-22'!K22</f>
        <v>33755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274981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383721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651</v>
      </c>
      <c r="D7079" s="2" t="str">
        <f t="shared" si="109"/>
        <v>Error?</v>
      </c>
    </row>
    <row r="7080" spans="1:4" x14ac:dyDescent="0.2">
      <c r="A7080">
        <v>7019</v>
      </c>
      <c r="B7080" s="138">
        <f>'Expenditures 15-22'!K226</f>
        <v>651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5565</v>
      </c>
      <c r="D7093" s="2" t="str">
        <f t="shared" si="109"/>
        <v>Error?</v>
      </c>
    </row>
    <row r="7094" spans="1:4" x14ac:dyDescent="0.2">
      <c r="A7094">
        <v>7033</v>
      </c>
      <c r="B7094" s="138">
        <f>'Expenditures 15-22'!K254</f>
        <v>5565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34783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34783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4325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4325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10401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10401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28224</v>
      </c>
      <c r="D7156" s="2" t="str">
        <f t="shared" si="110"/>
        <v>Error?</v>
      </c>
    </row>
    <row r="7157" spans="1:4" x14ac:dyDescent="0.2">
      <c r="A7157">
        <v>7096</v>
      </c>
      <c r="B7157" s="138">
        <f>'Expenditures 15-22'!F323</f>
        <v>6617</v>
      </c>
      <c r="D7157" s="2" t="str">
        <f t="shared" si="110"/>
        <v>Error?</v>
      </c>
    </row>
    <row r="7158" spans="1:4" x14ac:dyDescent="0.2">
      <c r="A7158">
        <v>7097</v>
      </c>
      <c r="B7158" s="138">
        <f>'Expenditures 15-22'!G323</f>
        <v>864</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35705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98522</v>
      </c>
      <c r="D7172" s="2" t="str">
        <f t="shared" si="111"/>
        <v>Error?</v>
      </c>
    </row>
    <row r="7173" spans="1:4" x14ac:dyDescent="0.2">
      <c r="A7173">
        <v>7112</v>
      </c>
      <c r="B7173" s="138">
        <f>'Expenditures 15-22'!D325</f>
        <v>24335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122857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14528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14528</v>
      </c>
      <c r="D7198" s="2" t="str">
        <f t="shared" si="111"/>
        <v>Error?</v>
      </c>
    </row>
    <row r="7199" spans="1:4" x14ac:dyDescent="0.2">
      <c r="A7199">
        <v>7138</v>
      </c>
      <c r="B7199" s="138">
        <f>'Expenditures 15-22'!C330</f>
        <v>98522</v>
      </c>
      <c r="D7199" s="2" t="str">
        <f t="shared" si="111"/>
        <v>Error?</v>
      </c>
    </row>
    <row r="7200" spans="1:4" x14ac:dyDescent="0.2">
      <c r="A7200">
        <v>7139</v>
      </c>
      <c r="B7200" s="138">
        <f>'Expenditures 15-22'!D330</f>
        <v>24335</v>
      </c>
      <c r="D7200" s="2" t="str">
        <f t="shared" si="111"/>
        <v>Error?</v>
      </c>
    </row>
    <row r="7201" spans="1:4" x14ac:dyDescent="0.2">
      <c r="A7201">
        <v>7140</v>
      </c>
      <c r="B7201" s="138">
        <f>'Expenditures 15-22'!E330</f>
        <v>144643</v>
      </c>
      <c r="D7201" s="2" t="str">
        <f t="shared" si="111"/>
        <v>Error?</v>
      </c>
    </row>
    <row r="7202" spans="1:4" x14ac:dyDescent="0.2">
      <c r="A7202">
        <v>7141</v>
      </c>
      <c r="B7202" s="138">
        <f>'Expenditures 15-22'!F330</f>
        <v>6617</v>
      </c>
      <c r="D7202" s="2" t="str">
        <f t="shared" si="111"/>
        <v>Error?</v>
      </c>
    </row>
    <row r="7203" spans="1:4" x14ac:dyDescent="0.2">
      <c r="A7203">
        <v>7142</v>
      </c>
      <c r="B7203" s="138">
        <f>'Expenditures 15-22'!G330</f>
        <v>864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274981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98522</v>
      </c>
      <c r="D7216" s="2" t="str">
        <f t="shared" si="111"/>
        <v>Error?</v>
      </c>
    </row>
    <row r="7217" spans="1:4" x14ac:dyDescent="0.2">
      <c r="A7217">
        <v>7156</v>
      </c>
      <c r="B7217" s="138">
        <f>'Expenditures 15-22'!D342</f>
        <v>24335</v>
      </c>
      <c r="D7217" s="2" t="str">
        <f t="shared" si="111"/>
        <v>Error?</v>
      </c>
    </row>
    <row r="7218" spans="1:4" x14ac:dyDescent="0.2">
      <c r="A7218">
        <v>7157</v>
      </c>
      <c r="B7218" s="138">
        <f>'Expenditures 15-22'!E342</f>
        <v>144643</v>
      </c>
      <c r="D7218" s="2" t="str">
        <f t="shared" si="111"/>
        <v>Error?</v>
      </c>
    </row>
    <row r="7219" spans="1:4" x14ac:dyDescent="0.2">
      <c r="A7219">
        <v>7158</v>
      </c>
      <c r="B7219" s="138">
        <f>'Expenditures 15-22'!F342</f>
        <v>6617</v>
      </c>
      <c r="D7219" s="2" t="str">
        <f t="shared" si="111"/>
        <v>Error?</v>
      </c>
    </row>
    <row r="7220" spans="1:4" x14ac:dyDescent="0.2">
      <c r="A7220">
        <v>7159</v>
      </c>
      <c r="B7220" s="138">
        <f>'Expenditures 15-22'!G342</f>
        <v>864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274981</v>
      </c>
      <c r="D7224" s="2" t="str">
        <f t="shared" si="111"/>
        <v>Error?</v>
      </c>
    </row>
    <row r="7225" spans="1:4" x14ac:dyDescent="0.2">
      <c r="A7225">
        <v>7164</v>
      </c>
      <c r="B7225" s="138">
        <f>'Expenditures 15-22'!K343</f>
        <v>108740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44928</v>
      </c>
      <c r="D7263" s="2" t="str">
        <f t="shared" si="112"/>
        <v>Error?</v>
      </c>
    </row>
    <row r="7264" spans="1:4" x14ac:dyDescent="0.2">
      <c r="A7264">
        <f t="shared" si="113"/>
        <v>7203</v>
      </c>
      <c r="B7264" s="138">
        <f>'Expenditures 15-22'!D17</f>
        <v>15266</v>
      </c>
      <c r="D7264" s="2" t="str">
        <f t="shared" si="112"/>
        <v>Error?</v>
      </c>
    </row>
    <row r="7265" spans="1:5" x14ac:dyDescent="0.2">
      <c r="A7265">
        <f t="shared" si="113"/>
        <v>7204</v>
      </c>
      <c r="B7265" s="138">
        <f>'Expenditures 15-22'!E17</f>
        <v>1001</v>
      </c>
      <c r="D7265" s="2" t="str">
        <f t="shared" si="112"/>
        <v>Error?</v>
      </c>
    </row>
    <row r="7266" spans="1:5" x14ac:dyDescent="0.2">
      <c r="A7266">
        <f t="shared" si="113"/>
        <v>7205</v>
      </c>
      <c r="B7266" s="138">
        <f>'Expenditures 15-22'!F17</f>
        <v>1750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133105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34638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34638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17744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17744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4450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15942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20392</v>
      </c>
      <c r="D7719" s="2" t="str">
        <f t="shared" si="126"/>
        <v>Error?</v>
      </c>
      <c r="E7719" s="2" t="s">
        <v>881</v>
      </c>
    </row>
    <row r="7720" spans="1:6" x14ac:dyDescent="0.2">
      <c r="A7720">
        <v>7659</v>
      </c>
      <c r="B7720" s="138">
        <f>'Rest Tax Levies-Tort Im 25'!H14</f>
        <v>28019</v>
      </c>
      <c r="D7720" s="2" t="str">
        <f t="shared" si="126"/>
        <v>Error?</v>
      </c>
      <c r="E7720" s="2" t="s">
        <v>881</v>
      </c>
    </row>
    <row r="7721" spans="1:6" x14ac:dyDescent="0.2">
      <c r="A7721">
        <v>7660</v>
      </c>
      <c r="B7721" s="138">
        <f>'Rest Tax Levies-Tort Im 25'!K14</f>
        <v>20392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29'!D136</f>
        <v>126579</v>
      </c>
      <c r="D7797" s="2" t="str">
        <f t="shared" si="127"/>
        <v>Error?</v>
      </c>
      <c r="E7797" s="4" t="s">
        <v>2020</v>
      </c>
    </row>
    <row r="7798" spans="1:5" x14ac:dyDescent="0.2">
      <c r="A7798">
        <v>7737</v>
      </c>
      <c r="B7798" s="138">
        <f>'Contracts Paid in CY 29'!F136</f>
        <v>50000</v>
      </c>
      <c r="D7798" s="2" t="str">
        <f t="shared" si="127"/>
        <v>Error?</v>
      </c>
      <c r="E7798" s="4" t="s">
        <v>2020</v>
      </c>
    </row>
    <row r="7799" spans="1:5" x14ac:dyDescent="0.2">
      <c r="A7799">
        <v>7738</v>
      </c>
      <c r="B7799" s="138">
        <f>'Contracts Paid in CY 29'!G136</f>
        <v>76579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1253</v>
      </c>
      <c r="B2" s="2406"/>
      <c r="C2" s="2406"/>
      <c r="D2" s="2406"/>
      <c r="E2" s="2406"/>
      <c r="F2" s="2406"/>
      <c r="G2" s="2406"/>
      <c r="H2" s="2406"/>
      <c r="I2" s="2406"/>
      <c r="J2" s="2406"/>
      <c r="K2" s="2406"/>
      <c r="L2" s="2406"/>
    </row>
    <row r="3" spans="1:29" ht="13.5" customHeight="1" x14ac:dyDescent="0.2">
      <c r="A3" s="2437" t="s">
        <v>1252</v>
      </c>
      <c r="B3" s="2437"/>
      <c r="C3" s="2437"/>
      <c r="D3" s="2437"/>
      <c r="E3" s="2437"/>
      <c r="F3" s="2437"/>
      <c r="G3" s="2437"/>
      <c r="H3" s="2437"/>
      <c r="I3" s="2437"/>
      <c r="J3" s="2437"/>
      <c r="K3" s="2437"/>
      <c r="L3" s="2437"/>
    </row>
    <row r="4" spans="1:29" ht="13.5" customHeight="1" x14ac:dyDescent="0.2">
      <c r="A4" s="2406" t="s">
        <v>1799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8" t="str">
        <f>COVER!A17</f>
        <v>Illini West HS Dist 307</v>
      </c>
      <c r="B7" s="2429"/>
      <c r="C7" s="2429"/>
      <c r="D7" s="2430"/>
      <c r="E7" s="2431">
        <f>COVER!A13</f>
        <v>26034307016</v>
      </c>
      <c r="F7" s="2432"/>
      <c r="G7" s="2438" t="str">
        <f>COVER!T23</f>
        <v>066-003689</v>
      </c>
      <c r="H7" s="2439"/>
      <c r="I7" s="2439"/>
      <c r="J7" s="2439"/>
      <c r="K7" s="2439"/>
      <c r="L7" s="2440"/>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1"/>
      <c r="B9" s="2442"/>
      <c r="C9" s="2442"/>
      <c r="D9" s="2442"/>
      <c r="E9" s="2442"/>
      <c r="F9" s="2443"/>
      <c r="G9" s="2412" t="str">
        <f>COVER!T13</f>
        <v>GRAY HUNTER STENN LLP</v>
      </c>
      <c r="H9" s="2444"/>
      <c r="I9" s="2444"/>
      <c r="J9" s="2444"/>
      <c r="K9" s="2444"/>
      <c r="L9" s="2445"/>
    </row>
    <row r="10" spans="1:29" ht="13.5" customHeight="1" x14ac:dyDescent="0.2">
      <c r="A10" s="2418" t="str">
        <f>COVER!A38</f>
        <v>KIM SCHILSON</v>
      </c>
      <c r="B10" s="2419"/>
      <c r="C10" s="2419"/>
      <c r="D10" s="2419"/>
      <c r="E10" s="2419"/>
      <c r="F10" s="2420"/>
      <c r="G10" s="2412" t="str">
        <f>COVER!T17</f>
        <v>500 MAINE STREET, PO BOX 32</v>
      </c>
      <c r="H10" s="2413"/>
      <c r="I10" s="2413"/>
      <c r="J10" s="2413"/>
      <c r="K10" s="2413"/>
      <c r="L10" s="2414"/>
    </row>
    <row r="11" spans="1:29" ht="13.5" customHeight="1" x14ac:dyDescent="0.2">
      <c r="A11" s="1184" t="s">
        <v>1599</v>
      </c>
      <c r="B11" s="1185"/>
      <c r="C11" s="1186"/>
      <c r="D11" s="1191"/>
      <c r="E11" s="1186"/>
      <c r="F11" s="1190"/>
      <c r="G11" s="2412" t="str">
        <f>COVER!T19</f>
        <v>QUINCY</v>
      </c>
      <c r="H11" s="2413"/>
      <c r="I11" s="2413"/>
      <c r="J11" s="2413"/>
      <c r="K11" s="2413"/>
      <c r="L11" s="2414"/>
    </row>
    <row r="12" spans="1:29" ht="13.5" customHeight="1" x14ac:dyDescent="0.2">
      <c r="A12" s="2421" t="s">
        <v>1598</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1600</v>
      </c>
      <c r="H13" s="2408"/>
      <c r="I13" s="2424" t="str">
        <f>COVER!T25</f>
        <v>lay@gray-hunter-stenn.com</v>
      </c>
      <c r="J13" s="2425"/>
      <c r="K13" s="2425"/>
      <c r="L13" s="2426"/>
    </row>
    <row r="14" spans="1:29" ht="13.5" customHeight="1" x14ac:dyDescent="0.2">
      <c r="A14" s="2412" t="str">
        <f>COVER!A19</f>
        <v>600 MILLER STREET</v>
      </c>
      <c r="B14" s="2413"/>
      <c r="C14" s="2413"/>
      <c r="D14" s="2413"/>
      <c r="E14" s="2413"/>
      <c r="F14" s="2414"/>
      <c r="G14" s="1195" t="s">
        <v>1247</v>
      </c>
      <c r="H14" s="1193"/>
      <c r="I14" s="1193"/>
      <c r="J14" s="1193"/>
      <c r="K14" s="1193"/>
      <c r="L14" s="1194"/>
    </row>
    <row r="15" spans="1:29" ht="13.5" customHeight="1" x14ac:dyDescent="0.2">
      <c r="A15" s="2412" t="str">
        <f>COVER!A21</f>
        <v>CARTHAGE</v>
      </c>
      <c r="B15" s="2413"/>
      <c r="C15" s="2413"/>
      <c r="D15" s="2413"/>
      <c r="E15" s="2413"/>
      <c r="F15" s="2414"/>
      <c r="G15" s="2409" t="str">
        <f>COVER!T15</f>
        <v>LOWELL A. YATES, C.P.A.</v>
      </c>
      <c r="H15" s="2410"/>
      <c r="I15" s="2410"/>
      <c r="J15" s="2410"/>
      <c r="K15" s="2410"/>
      <c r="L15" s="2411"/>
    </row>
    <row r="16" spans="1:29" ht="12.2" customHeight="1" x14ac:dyDescent="0.2">
      <c r="A16" s="2434">
        <f>COVER!A25</f>
        <v>62321</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5" t="s">
        <v>1246</v>
      </c>
      <c r="H17" s="1193"/>
      <c r="I17" s="1193"/>
      <c r="J17" s="1193"/>
      <c r="K17" s="1197" t="s">
        <v>1245</v>
      </c>
      <c r="L17" s="1190"/>
      <c r="M17" s="1183"/>
    </row>
    <row r="18" spans="1:13" ht="12.2" customHeight="1" x14ac:dyDescent="0.2">
      <c r="A18" s="2418"/>
      <c r="B18" s="2419"/>
      <c r="C18" s="2419"/>
      <c r="D18" s="2419"/>
      <c r="E18" s="2419"/>
      <c r="F18" s="2420"/>
      <c r="G18" s="2428" t="str">
        <f>COVER!T21</f>
        <v>217-222-0304</v>
      </c>
      <c r="H18" s="2429"/>
      <c r="I18" s="2429"/>
      <c r="J18" s="2429"/>
      <c r="K18" s="2428" t="str">
        <f>COVER!X21</f>
        <v>217-222-1691</v>
      </c>
      <c r="L18" s="243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0" t="str">
        <f>'Single Audit Cover'!A7</f>
        <v>Illini West HS Dist 307</v>
      </c>
      <c r="B1" s="2427"/>
      <c r="C1" s="2427"/>
      <c r="D1" s="2427"/>
    </row>
    <row r="2" spans="1:11" s="1214" customFormat="1" ht="12.75" x14ac:dyDescent="0.2">
      <c r="A2" s="2451">
        <f>'Single Audit Cover'!E7</f>
        <v>26034307016</v>
      </c>
      <c r="B2" s="2452"/>
      <c r="C2" s="2452"/>
      <c r="D2" s="2452"/>
    </row>
    <row r="3" spans="1:11" s="1214" customFormat="1" ht="12.75" x14ac:dyDescent="0.2">
      <c r="A3" s="2450" t="s">
        <v>1593</v>
      </c>
      <c r="B3" s="2427"/>
      <c r="C3" s="2427"/>
      <c r="D3" s="2427"/>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4" t="str">
        <f>'Single Audit Cover'!A7</f>
        <v>Illini West HS Dist 307</v>
      </c>
      <c r="B1" s="2454"/>
      <c r="C1" s="2454"/>
      <c r="D1" s="2454"/>
      <c r="E1" s="2454"/>
    </row>
    <row r="2" spans="1:5" x14ac:dyDescent="0.2">
      <c r="A2" s="2455">
        <f>'Single Audit Cover'!E7</f>
        <v>26034307016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59" t="s">
        <v>1305</v>
      </c>
    </row>
    <row r="10" spans="1:5" x14ac:dyDescent="0.2">
      <c r="A10" s="1260" t="s">
        <v>1304</v>
      </c>
      <c r="B10" s="1261" t="s">
        <v>1303</v>
      </c>
      <c r="C10" s="1261"/>
      <c r="D10" s="1262">
        <f>SUM('Acct Summary 7-8'!C7:K7)</f>
        <v>142633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4746</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-20669</v>
      </c>
    </row>
    <row r="19" spans="1:4" ht="13.5" thickBot="1" x14ac:dyDescent="0.25">
      <c r="A19" s="1264" t="s">
        <v>1297</v>
      </c>
      <c r="D19" s="1265">
        <f>SUM(D10:D17)</f>
        <v>126710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6"/>
      <c r="B24" s="2456"/>
      <c r="D24" s="1267"/>
    </row>
    <row r="25" spans="1:4" x14ac:dyDescent="0.2">
      <c r="A25" s="2453"/>
      <c r="B25" s="2453"/>
      <c r="D25" s="1267"/>
    </row>
    <row r="26" spans="1:4" x14ac:dyDescent="0.2">
      <c r="A26" s="2453"/>
      <c r="B26" s="2453"/>
      <c r="D26" s="1267"/>
    </row>
    <row r="27" spans="1:4" x14ac:dyDescent="0.2">
      <c r="A27" s="2453"/>
      <c r="B27" s="2453"/>
      <c r="D27" s="1267"/>
    </row>
    <row r="28" spans="1:4" x14ac:dyDescent="0.2">
      <c r="A28" s="2453"/>
      <c r="B28" s="2453"/>
      <c r="D28" s="1267"/>
    </row>
    <row r="29" spans="1:4" x14ac:dyDescent="0.2">
      <c r="A29" s="2453"/>
      <c r="B29" s="2453"/>
      <c r="D29" s="1267"/>
    </row>
    <row r="30" spans="1:4" x14ac:dyDescent="0.2">
      <c r="A30" s="2453"/>
      <c r="B30" s="2453"/>
      <c r="D30" s="1267"/>
    </row>
    <row r="32" spans="1:4" x14ac:dyDescent="0.2">
      <c r="A32" s="1259" t="s">
        <v>1295</v>
      </c>
      <c r="D32" s="1262">
        <f>SUM(D19:D30)</f>
        <v>126710</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3"/>
      <c r="B40" s="2453"/>
      <c r="D40" s="1267"/>
    </row>
    <row r="41" spans="1:4" x14ac:dyDescent="0.2">
      <c r="A41" s="2453"/>
      <c r="B41" s="2453"/>
      <c r="D41" s="1270"/>
    </row>
    <row r="42" spans="1:4" x14ac:dyDescent="0.2">
      <c r="A42" s="2453"/>
      <c r="B42" s="2453"/>
      <c r="D42" s="1270"/>
    </row>
    <row r="43" spans="1:4" x14ac:dyDescent="0.2">
      <c r="A43" s="2453"/>
      <c r="B43" s="2453"/>
      <c r="D43" s="1270"/>
    </row>
    <row r="44" spans="1:4" x14ac:dyDescent="0.2">
      <c r="A44" s="2453"/>
      <c r="B44" s="2453"/>
      <c r="D44" s="1270"/>
    </row>
    <row r="45" spans="1:4" x14ac:dyDescent="0.2">
      <c r="A45" s="2453"/>
      <c r="B45" s="2453"/>
      <c r="D45" s="1270"/>
    </row>
    <row r="47" spans="1:4" x14ac:dyDescent="0.2">
      <c r="B47" s="1271" t="s">
        <v>1289</v>
      </c>
      <c r="C47" s="1271"/>
      <c r="D47" s="1272">
        <f>SUM(D35:D45)</f>
        <v>0</v>
      </c>
    </row>
    <row r="49" spans="2:4" x14ac:dyDescent="0.2">
      <c r="B49" s="1271" t="s">
        <v>1288</v>
      </c>
      <c r="C49" s="1271"/>
      <c r="D49" s="1272">
        <f>D32-D47</f>
        <v>126710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Illini West HS Dist 307</v>
      </c>
      <c r="B1" s="2467"/>
      <c r="C1" s="2467"/>
      <c r="D1" s="2467"/>
      <c r="E1" s="2467"/>
      <c r="F1" s="2467"/>
    </row>
    <row r="2" spans="1:7" ht="13.5" customHeight="1" x14ac:dyDescent="0.2">
      <c r="A2" s="2468">
        <f>'Single Audit Cover'!E7</f>
        <v>26034307016</v>
      </c>
      <c r="B2" s="2468"/>
      <c r="C2" s="2468"/>
      <c r="D2" s="2468"/>
      <c r="E2" s="2468"/>
      <c r="F2" s="2468"/>
      <c r="G2" s="1274"/>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5" t="s">
        <v>1831</v>
      </c>
      <c r="C6" s="317"/>
      <c r="D6" s="317"/>
    </row>
    <row r="7" spans="1:7" ht="60.95" customHeight="1" x14ac:dyDescent="0.2">
      <c r="A7" s="2466" t="s">
        <v>1832</v>
      </c>
      <c r="B7" s="2466"/>
      <c r="C7" s="2466"/>
      <c r="D7" s="2466"/>
      <c r="E7" s="2466"/>
      <c r="F7" s="2466"/>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6" t="s">
        <v>1834</v>
      </c>
      <c r="B13" s="2466"/>
      <c r="C13" s="2466"/>
      <c r="D13" s="2466"/>
      <c r="E13" s="2466"/>
      <c r="F13" s="2466"/>
    </row>
    <row r="14" spans="1:7" ht="9.75" customHeight="1" x14ac:dyDescent="0.2">
      <c r="C14" s="1259"/>
      <c r="D14" s="1259"/>
    </row>
    <row r="15" spans="1:7" ht="13.5" customHeight="1" x14ac:dyDescent="0.2">
      <c r="C15" s="1870" t="s">
        <v>1332</v>
      </c>
      <c r="D15" s="2464" t="s">
        <v>1331</v>
      </c>
      <c r="E15" s="2464"/>
      <c r="F15" s="2464"/>
    </row>
    <row r="16" spans="1:7" ht="13.5" customHeight="1" x14ac:dyDescent="0.2">
      <c r="A16" s="1281"/>
      <c r="B16" s="1275" t="s">
        <v>1330</v>
      </c>
      <c r="C16" s="1870" t="s">
        <v>1329</v>
      </c>
      <c r="D16" s="2465" t="s">
        <v>1670</v>
      </c>
      <c r="E16" s="2465"/>
      <c r="F16" s="2465"/>
    </row>
    <row r="17" spans="1:6" ht="20.45" customHeight="1" x14ac:dyDescent="0.2">
      <c r="A17" s="1282"/>
      <c r="B17" s="1283"/>
      <c r="C17" s="1284"/>
      <c r="D17" s="2459"/>
      <c r="E17" s="2459"/>
      <c r="F17" s="2459"/>
    </row>
    <row r="18" spans="1:6" ht="20.65" customHeight="1" x14ac:dyDescent="0.2">
      <c r="A18" s="1282"/>
      <c r="B18" s="1283"/>
      <c r="C18" s="1284"/>
      <c r="D18" s="2459"/>
      <c r="E18" s="2459"/>
      <c r="F18" s="2459"/>
    </row>
    <row r="19" spans="1:6" ht="20.65" customHeight="1" x14ac:dyDescent="0.2">
      <c r="A19" s="1282"/>
      <c r="B19" s="1283"/>
      <c r="C19" s="1284"/>
      <c r="D19" s="2459"/>
      <c r="E19" s="2459"/>
      <c r="F19" s="2459"/>
    </row>
    <row r="20" spans="1:6" ht="20.65" customHeight="1" x14ac:dyDescent="0.2">
      <c r="A20" s="1282"/>
      <c r="B20" s="1283"/>
      <c r="C20" s="1284"/>
      <c r="D20" s="2459"/>
      <c r="E20" s="2459"/>
      <c r="F20" s="2459"/>
    </row>
    <row r="21" spans="1:6" ht="20.65" customHeight="1" x14ac:dyDescent="0.2">
      <c r="A21" s="1282"/>
      <c r="B21" s="1283"/>
      <c r="C21" s="1284"/>
      <c r="D21" s="2459"/>
      <c r="E21" s="2459"/>
      <c r="F21" s="2459"/>
    </row>
    <row r="22" spans="1:6" ht="20.65" customHeight="1" x14ac:dyDescent="0.2">
      <c r="A22" s="1282"/>
      <c r="B22" s="1283"/>
      <c r="C22" s="1284"/>
      <c r="D22" s="2459"/>
      <c r="E22" s="2459"/>
      <c r="F22" s="2459"/>
    </row>
    <row r="23" spans="1:6" ht="20.65" customHeight="1" x14ac:dyDescent="0.2">
      <c r="A23" s="1282"/>
      <c r="B23" s="1283"/>
      <c r="C23" s="1284"/>
      <c r="D23" s="2459"/>
      <c r="E23" s="2459"/>
      <c r="F23" s="2459"/>
    </row>
    <row r="24" spans="1:6" ht="20.65" customHeight="1" x14ac:dyDescent="0.2">
      <c r="A24" s="1282"/>
      <c r="B24" s="1283"/>
      <c r="C24" s="1284"/>
      <c r="D24" s="2459"/>
      <c r="E24" s="2459"/>
      <c r="F24" s="2459"/>
    </row>
    <row r="25" spans="1:6" ht="20.65" customHeight="1" x14ac:dyDescent="0.2">
      <c r="A25" s="1282"/>
      <c r="B25" s="1283"/>
      <c r="C25" s="1284"/>
      <c r="D25" s="2459"/>
      <c r="E25" s="2459"/>
      <c r="F25" s="2459"/>
    </row>
    <row r="26" spans="1:6" ht="20.65" customHeight="1" x14ac:dyDescent="0.2">
      <c r="A26" s="1282"/>
      <c r="B26" s="1283"/>
      <c r="C26" s="1284"/>
      <c r="D26" s="2459"/>
      <c r="E26" s="2459"/>
      <c r="F26" s="2459"/>
    </row>
    <row r="27" spans="1:6" ht="20.65" customHeight="1" x14ac:dyDescent="0.2">
      <c r="A27" s="1282"/>
      <c r="B27" s="1283"/>
      <c r="C27" s="1284"/>
      <c r="D27" s="2459"/>
      <c r="E27" s="2459"/>
      <c r="F27" s="2459"/>
    </row>
    <row r="28" spans="1:6" ht="20.65" customHeight="1" x14ac:dyDescent="0.2">
      <c r="A28" s="1282"/>
      <c r="B28" s="1283"/>
      <c r="C28" s="1284"/>
      <c r="D28" s="2459"/>
      <c r="E28" s="2459"/>
      <c r="F28" s="2459"/>
    </row>
    <row r="29" spans="1:6" ht="20.65" customHeight="1" x14ac:dyDescent="0.2">
      <c r="A29" s="1282"/>
      <c r="B29" s="1283"/>
      <c r="C29" s="1284"/>
      <c r="D29" s="2459"/>
      <c r="E29" s="2459"/>
      <c r="F29" s="2459"/>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0" t="s">
        <v>1835</v>
      </c>
      <c r="B32" s="2460"/>
      <c r="C32" s="2460"/>
      <c r="D32" s="2460"/>
      <c r="E32" s="2460"/>
      <c r="F32" s="2460"/>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1">
        <f>+C33+C34</f>
        <v>0</v>
      </c>
      <c r="F34" s="2462"/>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3" t="s">
        <v>1672</v>
      </c>
      <c r="C49" s="2463"/>
      <c r="D49" s="2463"/>
      <c r="E49" s="1398"/>
    </row>
    <row r="50" spans="1:5" s="1299" customFormat="1" ht="3.75" customHeight="1" x14ac:dyDescent="0.2">
      <c r="A50" s="1298"/>
      <c r="B50" s="1869"/>
      <c r="C50" s="1869"/>
      <c r="D50" s="1869"/>
      <c r="E50" s="1398"/>
    </row>
    <row r="51" spans="1:5" s="1299" customFormat="1" ht="20.25" customHeight="1" x14ac:dyDescent="0.2">
      <c r="A51" s="1300">
        <v>6</v>
      </c>
      <c r="B51" s="2458" t="s">
        <v>1632</v>
      </c>
      <c r="C51" s="2458"/>
      <c r="D51" s="2458"/>
    </row>
    <row r="52" spans="1:5" ht="14.25" customHeight="1" x14ac:dyDescent="0.2">
      <c r="A52" s="1300"/>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7" t="str">
        <f>'Single Audit Cover'!A7</f>
        <v>Illini West HS Dist 307</v>
      </c>
      <c r="C1" s="2471"/>
      <c r="D1" s="2471"/>
      <c r="E1" s="2471"/>
      <c r="F1" s="2471"/>
      <c r="G1" s="2471"/>
      <c r="H1" s="2471"/>
      <c r="I1" s="2471"/>
      <c r="J1" s="2471"/>
      <c r="K1" s="2471"/>
      <c r="L1" s="2471"/>
      <c r="M1" s="2471"/>
    </row>
    <row r="2" spans="2:14" ht="15" x14ac:dyDescent="0.2">
      <c r="B2" s="2468">
        <f>'Single Audit Cover'!E7</f>
        <v>26034307016</v>
      </c>
      <c r="C2" s="2468"/>
      <c r="D2" s="2468"/>
      <c r="E2" s="2468"/>
      <c r="F2" s="2468"/>
      <c r="G2" s="2468"/>
      <c r="H2" s="2468"/>
      <c r="I2" s="2468"/>
      <c r="J2" s="2468"/>
      <c r="K2" s="2468"/>
      <c r="L2" s="2468"/>
      <c r="M2" s="2468"/>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2086</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Illini West HS Dist 307</v>
      </c>
      <c r="C1" s="2486"/>
      <c r="D1" s="2486"/>
      <c r="E1" s="2486"/>
      <c r="F1" s="2486"/>
      <c r="G1" s="2486"/>
      <c r="H1" s="2486"/>
      <c r="I1" s="2486"/>
      <c r="J1" s="1421"/>
    </row>
    <row r="2" spans="2:10" s="317" customFormat="1" ht="12.75" customHeight="1" x14ac:dyDescent="0.2">
      <c r="B2" s="2487">
        <f>'Single Audit Cover'!E7</f>
        <v>26034307016</v>
      </c>
      <c r="C2" s="2488"/>
      <c r="D2" s="2488"/>
      <c r="E2" s="2488"/>
      <c r="F2" s="2488"/>
      <c r="G2" s="2488"/>
      <c r="H2" s="2488"/>
      <c r="I2" s="2488"/>
      <c r="J2" s="1421"/>
    </row>
    <row r="3" spans="2:10" s="317" customFormat="1" ht="12.75" customHeight="1" x14ac:dyDescent="0.2">
      <c r="B3" s="2489" t="s">
        <v>1347</v>
      </c>
      <c r="C3" s="2490"/>
      <c r="D3" s="2490"/>
      <c r="E3" s="2490"/>
      <c r="F3" s="2490"/>
      <c r="G3" s="2490"/>
      <c r="H3" s="2490"/>
      <c r="I3" s="2490"/>
      <c r="J3" s="1422"/>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9" t="s">
        <v>1346</v>
      </c>
      <c r="C7" s="2490"/>
      <c r="D7" s="2490"/>
      <c r="E7" s="2490"/>
      <c r="F7" s="2490"/>
      <c r="G7" s="2490"/>
      <c r="H7" s="2490"/>
      <c r="I7" s="2490"/>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1"/>
      <c r="D11" s="2491"/>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2"/>
      <c r="E29" s="2492"/>
      <c r="F29" s="2492"/>
      <c r="G29" s="2492"/>
      <c r="H29" s="2492"/>
      <c r="I29" s="2492"/>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3" t="s">
        <v>1854</v>
      </c>
      <c r="D37" s="2494"/>
      <c r="E37" s="2494"/>
      <c r="F37" s="2495"/>
      <c r="G37" s="2493" t="s">
        <v>1674</v>
      </c>
      <c r="H37" s="2494"/>
      <c r="I37" s="2495"/>
    </row>
    <row r="38" spans="2:9" ht="16.5" customHeight="1" x14ac:dyDescent="0.2">
      <c r="B38" s="1443"/>
      <c r="C38" s="2481"/>
      <c r="D38" s="2482"/>
      <c r="E38" s="2482"/>
      <c r="F38" s="2483"/>
      <c r="G38" s="2496"/>
      <c r="H38" s="2497"/>
      <c r="I38" s="2498"/>
    </row>
    <row r="39" spans="2:9" ht="16.5" customHeight="1" x14ac:dyDescent="0.2">
      <c r="B39" s="1443"/>
      <c r="C39" s="2481"/>
      <c r="D39" s="2482"/>
      <c r="E39" s="2482"/>
      <c r="F39" s="2483"/>
      <c r="G39" s="2484"/>
      <c r="H39" s="2484"/>
      <c r="I39" s="2484"/>
    </row>
    <row r="40" spans="2:9" ht="16.5" customHeight="1" x14ac:dyDescent="0.2">
      <c r="B40" s="1443"/>
      <c r="C40" s="2481"/>
      <c r="D40" s="2482"/>
      <c r="E40" s="2482"/>
      <c r="F40" s="2483"/>
      <c r="G40" s="2484"/>
      <c r="H40" s="2484"/>
      <c r="I40" s="2484"/>
    </row>
    <row r="41" spans="2:9" ht="16.5" customHeight="1" x14ac:dyDescent="0.2">
      <c r="B41" s="1443"/>
      <c r="C41" s="2481"/>
      <c r="D41" s="2482"/>
      <c r="E41" s="2482"/>
      <c r="F41" s="2483"/>
      <c r="G41" s="2484"/>
      <c r="H41" s="2484"/>
      <c r="I41" s="2484"/>
    </row>
    <row r="42" spans="2:9" ht="16.5" customHeight="1" x14ac:dyDescent="0.2">
      <c r="B42" s="1443"/>
      <c r="C42" s="2481"/>
      <c r="D42" s="2482"/>
      <c r="E42" s="2482"/>
      <c r="F42" s="2483"/>
      <c r="G42" s="2484"/>
      <c r="H42" s="2484"/>
      <c r="I42" s="2484"/>
    </row>
    <row r="43" spans="2:9" ht="16.5" customHeight="1" x14ac:dyDescent="0.2">
      <c r="B43" s="1443"/>
      <c r="C43" s="2474" t="s">
        <v>1675</v>
      </c>
      <c r="D43" s="2475"/>
      <c r="E43" s="2475"/>
      <c r="F43" s="2476"/>
      <c r="G43" s="2477">
        <f>SUM(G38:I42)</f>
        <v>0</v>
      </c>
      <c r="H43" s="2477"/>
      <c r="I43" s="2477"/>
    </row>
    <row r="44" spans="2:9" ht="12.75" customHeight="1" x14ac:dyDescent="0.2"/>
    <row r="45" spans="2:9" ht="12.75" customHeight="1" x14ac:dyDescent="0.2">
      <c r="B45" s="1434" t="s">
        <v>1952</v>
      </c>
      <c r="D45" s="2478">
        <v>0</v>
      </c>
      <c r="E45" s="247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0"/>
      <c r="F49" s="2480"/>
      <c r="G49" s="248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Illini West HS Dist 307</v>
      </c>
      <c r="C1" s="2485"/>
      <c r="D1" s="2485"/>
      <c r="E1" s="2485"/>
      <c r="F1" s="2485"/>
      <c r="G1" s="2485"/>
      <c r="H1" s="2485"/>
      <c r="I1" s="2485"/>
      <c r="J1" s="2485"/>
      <c r="K1" s="2485"/>
      <c r="L1" s="1373"/>
      <c r="M1" s="1373"/>
    </row>
    <row r="2" spans="1:13" ht="12" customHeight="1" x14ac:dyDescent="0.2">
      <c r="B2" s="2487">
        <f>'Single Audit Cover'!E7</f>
        <v>26034307016</v>
      </c>
      <c r="C2" s="2487"/>
      <c r="D2" s="2487"/>
      <c r="E2" s="2487"/>
      <c r="F2" s="2487"/>
      <c r="G2" s="2487"/>
      <c r="H2" s="2487"/>
      <c r="I2" s="2487"/>
      <c r="J2" s="2487"/>
      <c r="K2" s="2487"/>
      <c r="L2" s="1374"/>
      <c r="M2" s="1375"/>
    </row>
    <row r="3" spans="1:13" ht="10.35" customHeight="1" x14ac:dyDescent="0.2">
      <c r="B3" s="2501" t="s">
        <v>1347</v>
      </c>
      <c r="C3" s="2501"/>
      <c r="D3" s="2501"/>
      <c r="E3" s="2501"/>
      <c r="F3" s="2501"/>
      <c r="G3" s="2501"/>
      <c r="H3" s="2501"/>
      <c r="I3" s="2501"/>
      <c r="J3" s="2501"/>
      <c r="K3" s="2501"/>
      <c r="L3" s="1376"/>
      <c r="M3" s="1376"/>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2" t="s">
        <v>1363</v>
      </c>
      <c r="C7" s="2502"/>
      <c r="D7" s="2503"/>
      <c r="E7" s="2503"/>
      <c r="F7" s="2503"/>
      <c r="G7" s="2503"/>
      <c r="H7" s="2503"/>
      <c r="I7" s="2503"/>
      <c r="J7" s="2503"/>
      <c r="K7" s="25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0"/>
      <c r="C14" s="2500"/>
      <c r="D14" s="2500"/>
      <c r="E14" s="2500"/>
      <c r="F14" s="2500"/>
      <c r="G14" s="2500"/>
      <c r="H14" s="2500"/>
      <c r="I14" s="2500"/>
      <c r="J14" s="2500"/>
      <c r="K14" s="250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0"/>
      <c r="C17" s="2500"/>
      <c r="D17" s="2500"/>
      <c r="E17" s="2500"/>
      <c r="F17" s="2500"/>
      <c r="G17" s="2500"/>
      <c r="H17" s="2500"/>
      <c r="I17" s="2500"/>
      <c r="J17" s="2500"/>
      <c r="K17" s="2500"/>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4"/>
      <c r="C20" s="2504"/>
      <c r="D20" s="2500"/>
      <c r="E20" s="2500"/>
      <c r="F20" s="2500"/>
      <c r="G20" s="2500"/>
      <c r="H20" s="2500"/>
      <c r="I20" s="2500"/>
      <c r="J20" s="2500"/>
      <c r="K20" s="25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0"/>
      <c r="C23" s="2500"/>
      <c r="D23" s="2500"/>
      <c r="E23" s="2500"/>
      <c r="F23" s="2500"/>
      <c r="G23" s="2500"/>
      <c r="H23" s="2500"/>
      <c r="I23" s="2500"/>
      <c r="J23" s="2500"/>
      <c r="K23" s="25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0"/>
      <c r="C26" s="2500"/>
      <c r="D26" s="2500"/>
      <c r="E26" s="2500"/>
      <c r="F26" s="2500"/>
      <c r="G26" s="2500"/>
      <c r="H26" s="2500"/>
      <c r="I26" s="2500"/>
      <c r="J26" s="2500"/>
      <c r="K26" s="25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9"/>
      <c r="C29" s="2499"/>
      <c r="D29" s="2500"/>
      <c r="E29" s="2500"/>
      <c r="F29" s="2500"/>
      <c r="G29" s="2500"/>
      <c r="H29" s="2500"/>
      <c r="I29" s="2500"/>
      <c r="J29" s="2500"/>
      <c r="K29" s="25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9"/>
      <c r="C32" s="2499"/>
      <c r="D32" s="2500"/>
      <c r="E32" s="2500"/>
      <c r="F32" s="2500"/>
      <c r="G32" s="2500"/>
      <c r="H32" s="2500"/>
      <c r="I32" s="2500"/>
      <c r="J32" s="2500"/>
      <c r="K32" s="25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Illini West HS Dist 307</v>
      </c>
      <c r="C1" s="2508"/>
      <c r="D1" s="2508"/>
      <c r="E1" s="2508"/>
      <c r="F1" s="2508"/>
      <c r="G1" s="2508"/>
      <c r="H1" s="2508"/>
      <c r="I1" s="2508"/>
      <c r="J1" s="2508"/>
      <c r="K1" s="2508"/>
      <c r="L1" s="1464"/>
    </row>
    <row r="2" spans="1:12" ht="12.75" customHeight="1" x14ac:dyDescent="0.2">
      <c r="B2" s="2509">
        <f>'Single Audit Cover'!E7</f>
        <v>26034307016</v>
      </c>
      <c r="C2" s="2509"/>
      <c r="D2" s="2509"/>
      <c r="E2" s="2509"/>
      <c r="F2" s="2509"/>
      <c r="G2" s="2509"/>
      <c r="H2" s="2509"/>
      <c r="I2" s="2509"/>
      <c r="J2" s="2509"/>
      <c r="K2" s="2509"/>
      <c r="L2" s="1465"/>
    </row>
    <row r="3" spans="1:12" ht="12.75" customHeight="1" x14ac:dyDescent="0.2">
      <c r="B3" s="2501" t="s">
        <v>1347</v>
      </c>
      <c r="C3" s="2501"/>
      <c r="D3" s="2501"/>
      <c r="E3" s="2501"/>
      <c r="F3" s="2501"/>
      <c r="G3" s="2501"/>
      <c r="H3" s="2501"/>
      <c r="I3" s="2501"/>
      <c r="J3" s="2501"/>
      <c r="K3" s="2501"/>
      <c r="L3" s="1376"/>
    </row>
    <row r="4" spans="1:12" ht="12.75" customHeight="1" x14ac:dyDescent="0.2">
      <c r="B4" s="2501" t="str">
        <f>'Single Audit Cover'!A4</f>
        <v>Year Ending June 30, 2018</v>
      </c>
      <c r="C4" s="2501"/>
      <c r="D4" s="2501"/>
      <c r="E4" s="2501"/>
      <c r="F4" s="2501"/>
      <c r="G4" s="2501"/>
      <c r="H4" s="2501"/>
      <c r="I4" s="2501"/>
      <c r="J4" s="2501"/>
      <c r="K4" s="2501"/>
      <c r="L4" s="1376"/>
    </row>
    <row r="5" spans="1:12" ht="5.25" customHeight="1" x14ac:dyDescent="0.2">
      <c r="B5" s="1259" t="s">
        <v>1231</v>
      </c>
      <c r="C5" s="1259"/>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2"/>
      <c r="G12" s="2492"/>
      <c r="H12" s="2492"/>
      <c r="I12" s="2492"/>
      <c r="J12" s="2492"/>
      <c r="K12" s="249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5"/>
      <c r="E14" s="2505"/>
      <c r="F14" s="2505"/>
      <c r="H14" s="1474" t="s">
        <v>1370</v>
      </c>
      <c r="I14" s="2506"/>
      <c r="J14" s="2506"/>
      <c r="K14" s="2506"/>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6"/>
      <c r="E16" s="2506"/>
      <c r="F16" s="2506"/>
      <c r="G16" s="2506"/>
      <c r="H16" s="2506"/>
      <c r="I16" s="2506"/>
      <c r="J16" s="2506"/>
      <c r="K16" s="2506"/>
      <c r="L16" s="322"/>
    </row>
    <row r="17" spans="2:12" ht="13.5" customHeight="1" x14ac:dyDescent="0.2">
      <c r="B17" s="1386" t="s">
        <v>1368</v>
      </c>
      <c r="C17" s="1386"/>
      <c r="D17" s="2507"/>
      <c r="E17" s="2507"/>
      <c r="F17" s="2507"/>
      <c r="G17" s="2507"/>
      <c r="H17" s="2507"/>
      <c r="I17" s="2507"/>
      <c r="J17" s="2507"/>
      <c r="K17" s="2507"/>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0"/>
      <c r="C20" s="2500"/>
      <c r="D20" s="2500"/>
      <c r="E20" s="2500"/>
      <c r="F20" s="2500"/>
      <c r="G20" s="2500"/>
      <c r="H20" s="2500"/>
      <c r="I20" s="2500"/>
      <c r="J20" s="2500"/>
      <c r="K20" s="2500"/>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5" t="str">
        <f>'Single Audit Cover'!A7</f>
        <v>Illini West HS Dist 307</v>
      </c>
      <c r="C1" s="2485"/>
      <c r="D1" s="2485"/>
      <c r="E1" s="1490"/>
    </row>
    <row r="2" spans="2:5" s="1281" customFormat="1" ht="12.75" customHeight="1" x14ac:dyDescent="0.2">
      <c r="B2" s="2487">
        <f>'Single Audit Cover'!E7</f>
        <v>26034307016</v>
      </c>
      <c r="C2" s="2487"/>
      <c r="D2" s="2487"/>
      <c r="E2" s="1491"/>
    </row>
    <row r="3" spans="2:5" ht="12.75" customHeight="1" x14ac:dyDescent="0.2">
      <c r="B3" s="2501" t="s">
        <v>1869</v>
      </c>
      <c r="C3" s="2501"/>
      <c r="D3" s="2501"/>
      <c r="E3" s="1273"/>
    </row>
    <row r="4" spans="2:5" s="1281" customFormat="1" ht="12.75" customHeight="1" x14ac:dyDescent="0.2">
      <c r="B4" s="2511" t="str">
        <f>'Single Audit Cover'!A4</f>
        <v>Year Ending June 30, 2018</v>
      </c>
      <c r="C4" s="2511"/>
      <c r="D4" s="2511"/>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O17" sqref="O17:O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146814436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1.0500000000000001E-2</v>
      </c>
      <c r="E10" s="356" t="s">
        <v>1062</v>
      </c>
      <c r="F10" s="355">
        <v>3.5000000000000001E-3</v>
      </c>
      <c r="G10" s="356" t="s">
        <v>1062</v>
      </c>
      <c r="H10" s="355">
        <v>1.1999999999999999E-3</v>
      </c>
      <c r="I10" s="356" t="s">
        <v>1063</v>
      </c>
      <c r="J10" s="1753">
        <f>ROUND(D10+F10+H10,5)</f>
        <v>1.52E-2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4205810</v>
      </c>
      <c r="E16" s="356"/>
      <c r="F16" s="1754">
        <f>SUM('Acct Summary 7-8'!C17,'Acct Summary 7-8'!D17,'Acct Summary 7-8'!F17)</f>
        <v>3738545</v>
      </c>
      <c r="G16" s="356"/>
      <c r="H16" s="1754">
        <f>SUM(D16-F16)</f>
        <v>467265</v>
      </c>
      <c r="I16" s="222"/>
      <c r="J16" s="1754">
        <f>SUM('Acct Summary 7-8'!C81,'Acct Summary 7-8'!D81,'Acct Summary 7-8'!F81,'Acct Summary 7-8'!I81)</f>
        <v>2817777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10130196.084000001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Illini West HS Dist 307</v>
      </c>
      <c r="E7" s="391"/>
      <c r="G7" s="252"/>
      <c r="H7" s="387"/>
      <c r="I7" s="387"/>
      <c r="J7" s="387"/>
      <c r="K7" s="387"/>
      <c r="L7" s="329"/>
      <c r="M7" s="329"/>
      <c r="N7" s="329"/>
      <c r="O7" s="329"/>
      <c r="P7" s="329"/>
    </row>
    <row r="8" spans="1:18" ht="12.75" x14ac:dyDescent="0.2">
      <c r="A8" s="329"/>
      <c r="B8" s="329"/>
      <c r="C8" s="389" t="s">
        <v>1187</v>
      </c>
      <c r="D8" s="392">
        <f>COVER!A13</f>
        <v>26034307016</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2817777</v>
      </c>
      <c r="I12" s="404"/>
      <c r="J12" s="404"/>
      <c r="K12" s="405">
        <f>TRUNC((H12/H13*100000),5)/100000</f>
        <v>0.66997249039999995</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4205810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3738545</v>
      </c>
      <c r="I17" s="404"/>
      <c r="J17" s="416"/>
      <c r="K17" s="405">
        <f>TRUNC((H17/H18*100000),5)/100000</f>
        <v>0.88890011670000002</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4205810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2787046</v>
      </c>
      <c r="I24" s="422"/>
      <c r="J24" s="422"/>
      <c r="K24" s="423">
        <f>TRUNC(((H24/H25*100000)/100000),2)</f>
        <v>268.37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10384.84722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1896842.51312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10130196.084000001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1" activePane="bottomLeft" state="frozen"/>
      <selection activeCell="A47" sqref="A47"/>
      <selection pane="bottomLeft" activeCell="G45" sqref="G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0"/>
      <c r="D3" s="1581"/>
      <c r="E3" s="1581"/>
      <c r="F3" s="1581"/>
      <c r="G3" s="1581"/>
      <c r="H3" s="1581"/>
      <c r="I3" s="1581"/>
      <c r="J3" s="1581"/>
      <c r="K3" s="1581"/>
      <c r="L3" s="1581"/>
      <c r="M3" s="1582"/>
      <c r="N3" s="1583"/>
    </row>
    <row r="4" spans="1:14" ht="13.5" customHeight="1" x14ac:dyDescent="0.2">
      <c r="A4" s="463" t="s">
        <v>1750</v>
      </c>
      <c r="B4" s="464"/>
      <c r="C4" s="465">
        <v>790188</v>
      </c>
      <c r="D4" s="466">
        <v>303690</v>
      </c>
      <c r="E4" s="466"/>
      <c r="F4" s="466">
        <v>415026</v>
      </c>
      <c r="G4" s="466">
        <v>261286</v>
      </c>
      <c r="H4" s="466">
        <v>4846</v>
      </c>
      <c r="I4" s="466">
        <v>270142</v>
      </c>
      <c r="J4" s="467">
        <v>424720</v>
      </c>
      <c r="K4" s="466">
        <v>534478</v>
      </c>
      <c r="L4" s="466">
        <v>188598</v>
      </c>
      <c r="M4" s="468"/>
      <c r="N4" s="469"/>
    </row>
    <row r="5" spans="1:14" x14ac:dyDescent="0.2">
      <c r="A5" s="463" t="s">
        <v>1049</v>
      </c>
      <c r="B5" s="470">
        <v>120</v>
      </c>
      <c r="C5" s="465">
        <v>1008000</v>
      </c>
      <c r="D5" s="466"/>
      <c r="E5" s="466"/>
      <c r="F5" s="466"/>
      <c r="G5" s="466"/>
      <c r="H5" s="466"/>
      <c r="I5" s="466"/>
      <c r="J5" s="467"/>
      <c r="K5" s="471"/>
      <c r="L5" s="472">
        <v>60000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31474</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1829662</v>
      </c>
      <c r="D13" s="1758">
        <f t="shared" ref="D13:L13" si="0">SUM(D4:D12)</f>
        <v>303690</v>
      </c>
      <c r="E13" s="1758">
        <f t="shared" si="0"/>
        <v>0</v>
      </c>
      <c r="F13" s="1758">
        <f t="shared" si="0"/>
        <v>415026</v>
      </c>
      <c r="G13" s="1758">
        <f t="shared" si="0"/>
        <v>261286</v>
      </c>
      <c r="H13" s="1758">
        <f t="shared" si="0"/>
        <v>4846</v>
      </c>
      <c r="I13" s="1758">
        <f t="shared" si="0"/>
        <v>270142</v>
      </c>
      <c r="J13" s="1758">
        <f t="shared" si="0"/>
        <v>424720</v>
      </c>
      <c r="K13" s="1758">
        <f t="shared" si="0"/>
        <v>534478</v>
      </c>
      <c r="L13" s="1758">
        <f t="shared" si="0"/>
        <v>248598</v>
      </c>
      <c r="M13" s="468"/>
      <c r="N13" s="469"/>
    </row>
    <row r="14" spans="1:14" ht="18" customHeight="1" thickTop="1" x14ac:dyDescent="0.2">
      <c r="A14" s="2135" t="s">
        <v>149</v>
      </c>
      <c r="B14" s="2136"/>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704470</v>
      </c>
      <c r="N16" s="484"/>
    </row>
    <row r="17" spans="1:14" s="485" customFormat="1" ht="12.75" customHeight="1" x14ac:dyDescent="0.2">
      <c r="A17" s="482" t="s">
        <v>1470</v>
      </c>
      <c r="B17" s="483">
        <v>230</v>
      </c>
      <c r="C17" s="477"/>
      <c r="D17" s="477"/>
      <c r="E17" s="477"/>
      <c r="F17" s="477"/>
      <c r="G17" s="477"/>
      <c r="H17" s="477"/>
      <c r="I17" s="477"/>
      <c r="J17" s="477"/>
      <c r="K17" s="477"/>
      <c r="L17" s="477"/>
      <c r="M17" s="467">
        <v>57559</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950412</v>
      </c>
      <c r="N19" s="484"/>
    </row>
    <row r="20" spans="1:14" s="485" customFormat="1" ht="12.75" customHeight="1" x14ac:dyDescent="0.2">
      <c r="A20" s="482" t="s">
        <v>1473</v>
      </c>
      <c r="B20" s="483">
        <v>260</v>
      </c>
      <c r="C20" s="477"/>
      <c r="D20" s="477"/>
      <c r="E20" s="477"/>
      <c r="F20" s="477"/>
      <c r="G20" s="477"/>
      <c r="H20" s="477"/>
      <c r="I20" s="477"/>
      <c r="J20" s="477"/>
      <c r="K20" s="477"/>
      <c r="L20" s="477"/>
      <c r="M20" s="467">
        <v>46421</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1758862</v>
      </c>
      <c r="N23" s="1709">
        <f>SUM(N21:N22)</f>
        <v>0</v>
      </c>
    </row>
    <row r="24" spans="1:14" ht="18" customHeight="1" thickTop="1" x14ac:dyDescent="0.2">
      <c r="A24" s="2137" t="s">
        <v>619</v>
      </c>
      <c r="B24" s="2138"/>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741</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188598</v>
      </c>
      <c r="M33" s="468"/>
      <c r="N33" s="469"/>
    </row>
    <row r="34" spans="1:14" ht="13.5" customHeight="1" thickBot="1" x14ac:dyDescent="0.25">
      <c r="A34" s="1759" t="s">
        <v>675</v>
      </c>
      <c r="B34" s="1760"/>
      <c r="C34" s="1761">
        <f>SUM(C25:C33)</f>
        <v>743</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188598</v>
      </c>
      <c r="M34" s="468"/>
      <c r="N34" s="480"/>
    </row>
    <row r="35" spans="1:14" ht="18" customHeight="1" thickTop="1" x14ac:dyDescent="0.2">
      <c r="A35" s="2139" t="s">
        <v>550</v>
      </c>
      <c r="B35" s="2140"/>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v>117240</v>
      </c>
      <c r="D38" s="466"/>
      <c r="E38" s="466"/>
      <c r="F38" s="466"/>
      <c r="G38" s="466"/>
      <c r="H38" s="466"/>
      <c r="I38" s="466"/>
      <c r="J38" s="467"/>
      <c r="K38" s="466"/>
      <c r="L38" s="481">
        <v>60000</v>
      </c>
      <c r="M38" s="497"/>
      <c r="N38" s="497"/>
    </row>
    <row r="39" spans="1:14" s="329" customFormat="1" ht="13.5" customHeight="1" x14ac:dyDescent="0.2">
      <c r="A39" s="496" t="s">
        <v>360</v>
      </c>
      <c r="B39" s="483">
        <v>730</v>
      </c>
      <c r="C39" s="466">
        <v>1711679</v>
      </c>
      <c r="D39" s="466">
        <v>303690</v>
      </c>
      <c r="E39" s="466"/>
      <c r="F39" s="466">
        <v>415026</v>
      </c>
      <c r="G39" s="466">
        <v>261286</v>
      </c>
      <c r="H39" s="466">
        <v>4846</v>
      </c>
      <c r="I39" s="466">
        <v>270142</v>
      </c>
      <c r="J39" s="467">
        <v>424720</v>
      </c>
      <c r="K39" s="466">
        <v>534478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1758862</v>
      </c>
      <c r="N40" s="497"/>
    </row>
    <row r="41" spans="1:14" ht="13.5" customHeight="1" thickBot="1" x14ac:dyDescent="0.25">
      <c r="A41" s="1757" t="s">
        <v>676</v>
      </c>
      <c r="B41" s="1727"/>
      <c r="C41" s="1709">
        <f>(SUM(C34,C37,C38,C39))</f>
        <v>1829662</v>
      </c>
      <c r="D41" s="1709">
        <f t="shared" ref="D41:L41" si="2">SUM(D34,D37,D38:D39)</f>
        <v>303690</v>
      </c>
      <c r="E41" s="1709">
        <f t="shared" si="2"/>
        <v>0</v>
      </c>
      <c r="F41" s="1709">
        <f t="shared" si="2"/>
        <v>415026</v>
      </c>
      <c r="G41" s="1709">
        <f t="shared" si="2"/>
        <v>261286</v>
      </c>
      <c r="H41" s="1709">
        <f t="shared" si="2"/>
        <v>4846</v>
      </c>
      <c r="I41" s="1709">
        <f t="shared" si="2"/>
        <v>270142</v>
      </c>
      <c r="J41" s="1709">
        <f t="shared" si="2"/>
        <v>424720</v>
      </c>
      <c r="K41" s="1709">
        <f t="shared" si="2"/>
        <v>534478</v>
      </c>
      <c r="L41" s="1709">
        <f t="shared" si="2"/>
        <v>248598</v>
      </c>
      <c r="M41" s="1709">
        <f>SUM(M40)</f>
        <v>1758862</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G86" sqref="G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4"/>
      <c r="D3" s="1595"/>
      <c r="E3" s="1595"/>
      <c r="F3" s="1595"/>
      <c r="G3" s="1595"/>
      <c r="H3" s="1595"/>
      <c r="I3" s="1595"/>
      <c r="J3" s="1595"/>
      <c r="K3" s="1596"/>
      <c r="L3" s="506"/>
    </row>
    <row r="4" spans="1:13" ht="15.75" customHeight="1" x14ac:dyDescent="0.2">
      <c r="A4" s="1953" t="s">
        <v>1579</v>
      </c>
      <c r="B4" s="1954">
        <v>1000</v>
      </c>
      <c r="C4" s="1763">
        <f>'Revenues 9-14'!C109</f>
        <v>1685603</v>
      </c>
      <c r="D4" s="1763">
        <f>'Revenues 9-14'!D109</f>
        <v>576062</v>
      </c>
      <c r="E4" s="1763">
        <f>'Revenues 9-14'!E109</f>
        <v>0</v>
      </c>
      <c r="F4" s="1763">
        <f>'Revenues 9-14'!F109</f>
        <v>238737</v>
      </c>
      <c r="G4" s="1763">
        <f>'Revenues 9-14'!G109</f>
        <v>58145</v>
      </c>
      <c r="H4" s="1763">
        <f>'Revenues 9-14'!H109</f>
        <v>26</v>
      </c>
      <c r="I4" s="1763">
        <f>'Revenues 9-14'!I109</f>
        <v>71429</v>
      </c>
      <c r="J4" s="1763">
        <f>'Revenues 9-14'!J109</f>
        <v>383721</v>
      </c>
      <c r="K4" s="1763">
        <f>'Revenues 9-14'!K109</f>
        <v>72956</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1250607</v>
      </c>
      <c r="D6" s="1764">
        <f>'Revenues 9-14'!D173</f>
        <v>0</v>
      </c>
      <c r="E6" s="1764">
        <f>'Revenues 9-14'!E173</f>
        <v>0</v>
      </c>
      <c r="F6" s="1764">
        <f>'Revenues 9-14'!F173</f>
        <v>240739</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142633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3078843</v>
      </c>
      <c r="D8" s="1709">
        <f t="shared" ref="D8:K8" si="0">SUM(D4:D7)</f>
        <v>576062</v>
      </c>
      <c r="E8" s="1709">
        <f t="shared" si="0"/>
        <v>0</v>
      </c>
      <c r="F8" s="1709">
        <f t="shared" si="0"/>
        <v>479476</v>
      </c>
      <c r="G8" s="1709">
        <f t="shared" si="0"/>
        <v>58145</v>
      </c>
      <c r="H8" s="1709">
        <f t="shared" si="0"/>
        <v>26</v>
      </c>
      <c r="I8" s="1709">
        <f t="shared" si="0"/>
        <v>71429</v>
      </c>
      <c r="J8" s="1709">
        <f t="shared" si="0"/>
        <v>383721</v>
      </c>
      <c r="K8" s="1709">
        <f t="shared" si="0"/>
        <v>72956</v>
      </c>
      <c r="L8" s="347"/>
    </row>
    <row r="9" spans="1:13" ht="15.75" thickTop="1" x14ac:dyDescent="0.2">
      <c r="A9" s="514" t="s">
        <v>1752</v>
      </c>
      <c r="B9" s="515">
        <v>3998</v>
      </c>
      <c r="C9" s="481">
        <v>1176252</v>
      </c>
      <c r="D9" s="516"/>
      <c r="E9" s="481"/>
      <c r="F9" s="481"/>
      <c r="G9" s="517"/>
      <c r="H9" s="481"/>
      <c r="I9" s="509" t="s">
        <v>1231</v>
      </c>
      <c r="J9" s="478"/>
      <c r="K9" s="481"/>
      <c r="L9" s="347"/>
    </row>
    <row r="10" spans="1:13" s="519" customFormat="1" ht="13.5" thickBot="1" x14ac:dyDescent="0.25">
      <c r="A10" s="1757" t="s">
        <v>1235</v>
      </c>
      <c r="B10" s="1730"/>
      <c r="C10" s="1709">
        <f>SUM(C8:C9)</f>
        <v>4255095</v>
      </c>
      <c r="D10" s="1709">
        <f t="shared" ref="D10:K10" si="1">SUM(D8:D9)</f>
        <v>576062</v>
      </c>
      <c r="E10" s="1709">
        <f t="shared" si="1"/>
        <v>0</v>
      </c>
      <c r="F10" s="1709">
        <f t="shared" si="1"/>
        <v>479476</v>
      </c>
      <c r="G10" s="1709">
        <f t="shared" si="1"/>
        <v>58145</v>
      </c>
      <c r="H10" s="1709">
        <f t="shared" si="1"/>
        <v>26</v>
      </c>
      <c r="I10" s="1709">
        <f t="shared" si="1"/>
        <v>71429</v>
      </c>
      <c r="J10" s="1709">
        <f t="shared" si="1"/>
        <v>383721</v>
      </c>
      <c r="K10" s="1709">
        <f t="shared" si="1"/>
        <v>72956</v>
      </c>
      <c r="L10" s="518"/>
    </row>
    <row r="11" spans="1:13" s="519" customFormat="1" ht="16.7" customHeight="1" thickTop="1" x14ac:dyDescent="0.2">
      <c r="A11" s="2135" t="s">
        <v>1238</v>
      </c>
      <c r="B11" s="2136"/>
      <c r="C11" s="1591"/>
      <c r="D11" s="1592"/>
      <c r="E11" s="1592"/>
      <c r="F11" s="1592"/>
      <c r="G11" s="1592"/>
      <c r="H11" s="1592"/>
      <c r="I11" s="1592"/>
      <c r="J11" s="1592"/>
      <c r="K11" s="1593"/>
      <c r="L11" s="518"/>
    </row>
    <row r="12" spans="1:13" ht="15.75" customHeight="1" x14ac:dyDescent="0.2">
      <c r="A12" s="1597" t="s">
        <v>476</v>
      </c>
      <c r="B12" s="1599">
        <v>1000</v>
      </c>
      <c r="C12" s="1763">
        <f>'Expenditures 15-22'!K33</f>
        <v>2029641</v>
      </c>
      <c r="D12" s="520" t="s">
        <v>1231</v>
      </c>
      <c r="E12" s="468" t="s">
        <v>1231</v>
      </c>
      <c r="F12" s="468" t="s">
        <v>1231</v>
      </c>
      <c r="G12" s="1763">
        <f>'Expenditures 15-22'!K229</f>
        <v>40212</v>
      </c>
      <c r="H12" s="521"/>
      <c r="I12" s="468" t="s">
        <v>1231</v>
      </c>
      <c r="J12" s="468" t="s">
        <v>1231</v>
      </c>
      <c r="K12" s="521" t="s">
        <v>1231</v>
      </c>
      <c r="L12" s="347"/>
    </row>
    <row r="13" spans="1:13" ht="15.75" customHeight="1" x14ac:dyDescent="0.2">
      <c r="A13" s="1597" t="s">
        <v>477</v>
      </c>
      <c r="B13" s="1599">
        <v>2000</v>
      </c>
      <c r="C13" s="1764">
        <f>'Expenditures 15-22'!K74</f>
        <v>617933</v>
      </c>
      <c r="D13" s="1764">
        <f>'Expenditures 15-22'!K129</f>
        <v>310960</v>
      </c>
      <c r="E13" s="469" t="s">
        <v>1231</v>
      </c>
      <c r="F13" s="1764">
        <f>'Expenditures 15-22'!K184</f>
        <v>346840</v>
      </c>
      <c r="G13" s="1764">
        <f>'Expenditures 15-22'!K279</f>
        <v>62945</v>
      </c>
      <c r="H13" s="1764">
        <f>'Expenditures 15-22'!K303</f>
        <v>0</v>
      </c>
      <c r="I13" s="468" t="s">
        <v>1231</v>
      </c>
      <c r="J13" s="1764">
        <f>'Expenditures 15-22'!K330</f>
        <v>274981</v>
      </c>
      <c r="K13" s="1768">
        <f>'Expenditures 15-22'!K352</f>
        <v>20992</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297680</v>
      </c>
      <c r="D15" s="1764">
        <f>'Expenditures 15-22'!K139</f>
        <v>100558</v>
      </c>
      <c r="E15" s="1764">
        <f>'Expenditures 15-22'!K160</f>
        <v>0</v>
      </c>
      <c r="F15" s="1764">
        <f>'Expenditures 15-22'!K196</f>
        <v>34933</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2945254</v>
      </c>
      <c r="D17" s="1709">
        <f t="shared" si="2"/>
        <v>411518</v>
      </c>
      <c r="E17" s="1709">
        <f t="shared" si="2"/>
        <v>0</v>
      </c>
      <c r="F17" s="1709">
        <f t="shared" si="2"/>
        <v>381773</v>
      </c>
      <c r="G17" s="1709">
        <f t="shared" si="2"/>
        <v>103157</v>
      </c>
      <c r="H17" s="1709">
        <f t="shared" si="2"/>
        <v>0</v>
      </c>
      <c r="I17" s="468"/>
      <c r="J17" s="1709">
        <f>SUM(J12:J16)</f>
        <v>274981</v>
      </c>
      <c r="K17" s="1709">
        <f>SUM(K12:K16)</f>
        <v>20992</v>
      </c>
      <c r="L17" s="347"/>
    </row>
    <row r="18" spans="1:12" ht="15" customHeight="1" thickTop="1" x14ac:dyDescent="0.2">
      <c r="A18" s="1765" t="s">
        <v>1753</v>
      </c>
      <c r="B18" s="1766">
        <v>4180</v>
      </c>
      <c r="C18" s="1763">
        <f t="shared" ref="C18:H18" si="3">C9</f>
        <v>1176252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4121506</v>
      </c>
      <c r="D19" s="1709">
        <f t="shared" si="4"/>
        <v>411518</v>
      </c>
      <c r="E19" s="1709">
        <f t="shared" si="4"/>
        <v>0</v>
      </c>
      <c r="F19" s="1709">
        <f t="shared" si="4"/>
        <v>381773</v>
      </c>
      <c r="G19" s="1709">
        <f t="shared" si="4"/>
        <v>103157</v>
      </c>
      <c r="H19" s="1709">
        <f t="shared" si="4"/>
        <v>0</v>
      </c>
      <c r="I19" s="468"/>
      <c r="J19" s="1709">
        <f>SUM(J17:J18)</f>
        <v>274981</v>
      </c>
      <c r="K19" s="1709">
        <f>SUM(K17:K18)</f>
        <v>20992</v>
      </c>
      <c r="L19" s="347"/>
    </row>
    <row r="20" spans="1:12" ht="16.5" thickTop="1" thickBot="1" x14ac:dyDescent="0.25">
      <c r="A20" s="2151" t="s">
        <v>1754</v>
      </c>
      <c r="B20" s="2152"/>
      <c r="C20" s="1767">
        <f>C8-C17</f>
        <v>133589</v>
      </c>
      <c r="D20" s="1767">
        <f t="shared" ref="D20:K20" si="5">D8-D17</f>
        <v>164544</v>
      </c>
      <c r="E20" s="1767">
        <f t="shared" si="5"/>
        <v>0</v>
      </c>
      <c r="F20" s="1767">
        <f t="shared" si="5"/>
        <v>97703</v>
      </c>
      <c r="G20" s="1767">
        <f t="shared" si="5"/>
        <v>-45012</v>
      </c>
      <c r="H20" s="1767">
        <f t="shared" si="5"/>
        <v>26</v>
      </c>
      <c r="I20" s="1767">
        <f t="shared" si="5"/>
        <v>71429</v>
      </c>
      <c r="J20" s="1767">
        <f t="shared" si="5"/>
        <v>108740</v>
      </c>
      <c r="K20" s="1767">
        <f t="shared" si="5"/>
        <v>51964</v>
      </c>
      <c r="L20" s="347"/>
    </row>
    <row r="21" spans="1:12" ht="16.7" customHeight="1" thickTop="1" x14ac:dyDescent="0.2">
      <c r="A21" s="2163" t="s">
        <v>616</v>
      </c>
      <c r="B21" s="2164"/>
      <c r="C21" s="1591"/>
      <c r="D21" s="1592"/>
      <c r="E21" s="1592"/>
      <c r="F21" s="1592"/>
      <c r="G21" s="1592"/>
      <c r="H21" s="1592"/>
      <c r="I21" s="1592"/>
      <c r="J21" s="1592"/>
      <c r="K21" s="1593"/>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5" t="s">
        <v>392</v>
      </c>
      <c r="B44" s="2166"/>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1" t="s">
        <v>460</v>
      </c>
      <c r="B76" s="2142"/>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3" t="s">
        <v>1239</v>
      </c>
      <c r="B77" s="2144"/>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7" t="s">
        <v>618</v>
      </c>
      <c r="B78" s="2148"/>
      <c r="C78" s="1723">
        <f t="shared" ref="C78:K78" si="9">C20+C77</f>
        <v>133589</v>
      </c>
      <c r="D78" s="1723">
        <f t="shared" si="9"/>
        <v>164544</v>
      </c>
      <c r="E78" s="1723">
        <f t="shared" si="9"/>
        <v>0</v>
      </c>
      <c r="F78" s="1723">
        <f t="shared" si="9"/>
        <v>97703</v>
      </c>
      <c r="G78" s="1723">
        <f t="shared" si="9"/>
        <v>-45012</v>
      </c>
      <c r="H78" s="1723">
        <f t="shared" si="9"/>
        <v>26</v>
      </c>
      <c r="I78" s="1723">
        <f t="shared" si="9"/>
        <v>71429</v>
      </c>
      <c r="J78" s="1723">
        <f t="shared" si="9"/>
        <v>108740</v>
      </c>
      <c r="K78" s="1723">
        <f t="shared" si="9"/>
        <v>51964</v>
      </c>
      <c r="L78" s="533"/>
    </row>
    <row r="79" spans="1:12" ht="13.5" thickTop="1" x14ac:dyDescent="0.2">
      <c r="A79" s="1515" t="s">
        <v>2073</v>
      </c>
      <c r="B79" s="534"/>
      <c r="C79" s="478">
        <v>1695330</v>
      </c>
      <c r="D79" s="535">
        <v>139146</v>
      </c>
      <c r="E79" s="535">
        <v>0</v>
      </c>
      <c r="F79" s="535">
        <v>317323</v>
      </c>
      <c r="G79" s="535">
        <v>306298</v>
      </c>
      <c r="H79" s="535">
        <v>4820</v>
      </c>
      <c r="I79" s="535">
        <v>198713</v>
      </c>
      <c r="J79" s="535">
        <v>315980</v>
      </c>
      <c r="K79" s="535">
        <v>482514</v>
      </c>
      <c r="L79" s="347"/>
    </row>
    <row r="80" spans="1:12" x14ac:dyDescent="0.2">
      <c r="A80" s="2153" t="s">
        <v>1898</v>
      </c>
      <c r="B80" s="2154"/>
      <c r="C80" s="467"/>
      <c r="D80" s="467"/>
      <c r="E80" s="467"/>
      <c r="F80" s="467"/>
      <c r="G80" s="467"/>
      <c r="H80" s="467"/>
      <c r="I80" s="467"/>
      <c r="J80" s="467"/>
      <c r="K80" s="467"/>
      <c r="L80" s="347"/>
    </row>
    <row r="81" spans="1:12" ht="13.5" thickBot="1" x14ac:dyDescent="0.25">
      <c r="A81" s="2145" t="s">
        <v>2074</v>
      </c>
      <c r="B81" s="2146"/>
      <c r="C81" s="1709">
        <f>(SUM(C78:C80))</f>
        <v>1828919</v>
      </c>
      <c r="D81" s="1709">
        <f>SUM(D78:D80)</f>
        <v>303690</v>
      </c>
      <c r="E81" s="1709">
        <f t="shared" ref="E81:K81" si="10">SUM(E78:E80)</f>
        <v>0</v>
      </c>
      <c r="F81" s="1709">
        <f t="shared" si="10"/>
        <v>415026</v>
      </c>
      <c r="G81" s="1709">
        <f t="shared" si="10"/>
        <v>261286</v>
      </c>
      <c r="H81" s="1709">
        <f t="shared" si="10"/>
        <v>4846</v>
      </c>
      <c r="I81" s="1709">
        <f t="shared" si="10"/>
        <v>270142</v>
      </c>
      <c r="J81" s="1709">
        <f t="shared" si="10"/>
        <v>424720</v>
      </c>
      <c r="K81" s="1709">
        <f t="shared" si="10"/>
        <v>534478</v>
      </c>
      <c r="L81" s="347"/>
    </row>
    <row r="82" spans="1:12" ht="0.75" customHeight="1" thickTop="1" thickBot="1" x14ac:dyDescent="0.25">
      <c r="A82" s="536" t="s">
        <v>361</v>
      </c>
      <c r="B82" s="537"/>
      <c r="C82" s="538">
        <f>(C81-C79)</f>
        <v>133589</v>
      </c>
      <c r="D82" s="538">
        <f t="shared" ref="D82:K82" si="11">(D81-D79)</f>
        <v>164544</v>
      </c>
      <c r="E82" s="538">
        <f t="shared" si="11"/>
        <v>0</v>
      </c>
      <c r="F82" s="538">
        <f t="shared" si="11"/>
        <v>97703</v>
      </c>
      <c r="G82" s="538">
        <f t="shared" si="11"/>
        <v>-45012</v>
      </c>
      <c r="H82" s="538">
        <f t="shared" si="11"/>
        <v>26</v>
      </c>
      <c r="I82" s="538">
        <f t="shared" si="11"/>
        <v>71429</v>
      </c>
      <c r="J82" s="538">
        <f t="shared" si="11"/>
        <v>108740</v>
      </c>
      <c r="K82" s="538">
        <f t="shared" si="11"/>
        <v>51964</v>
      </c>
    </row>
    <row r="83" spans="1:12" ht="14.25" hidden="1" thickTop="1" thickBot="1" x14ac:dyDescent="0.25">
      <c r="A83" s="539" t="s">
        <v>362</v>
      </c>
      <c r="B83" s="464"/>
      <c r="C83" s="540">
        <f>C82/C81</f>
        <v>7.3042600574437691E-2</v>
      </c>
      <c r="D83" s="540">
        <f t="shared" ref="D83:K83" si="12">D82/D81</f>
        <v>0.54181566729230468</v>
      </c>
      <c r="E83" s="540" t="e">
        <f t="shared" si="12"/>
        <v>#DIV/0!</v>
      </c>
      <c r="F83" s="540">
        <f t="shared" si="12"/>
        <v>0.23541416682328337</v>
      </c>
      <c r="G83" s="540">
        <f t="shared" si="12"/>
        <v>-0.17227099806342475</v>
      </c>
      <c r="H83" s="540">
        <f t="shared" si="12"/>
        <v>5.3652496904663637E-3</v>
      </c>
      <c r="I83" s="540">
        <f t="shared" si="12"/>
        <v>0.26441279031028125</v>
      </c>
      <c r="J83" s="540">
        <f t="shared" si="12"/>
        <v>0.25602750047089845</v>
      </c>
      <c r="K83" s="540">
        <f t="shared" si="12"/>
        <v>9.7223833347677549E-2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&amp;F&amp;C&amp;"Franklin Gothic Book,Regular"&amp;8The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8" zoomScaleNormal="98" zoomScaleSheetLayoutView="75" workbookViewId="0">
      <pane ySplit="2" topLeftCell="A258" activePane="bottomLeft" state="frozen"/>
      <selection activeCell="A47" sqref="A47"/>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1905</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1470944</v>
      </c>
      <c r="D5" s="481">
        <v>490317</v>
      </c>
      <c r="E5" s="466"/>
      <c r="F5" s="548">
        <v>168109</v>
      </c>
      <c r="G5" s="466">
        <v>14122</v>
      </c>
      <c r="H5" s="466"/>
      <c r="I5" s="466">
        <v>70046</v>
      </c>
      <c r="J5" s="467">
        <v>381049</v>
      </c>
      <c r="K5" s="466">
        <v>70046</v>
      </c>
    </row>
    <row r="6" spans="1:12" ht="15" x14ac:dyDescent="0.2">
      <c r="A6" s="463" t="s">
        <v>1761</v>
      </c>
      <c r="B6" s="470">
        <v>1130</v>
      </c>
      <c r="C6" s="466">
        <v>70046</v>
      </c>
      <c r="D6" s="466"/>
      <c r="E6" s="475"/>
      <c r="F6" s="475"/>
      <c r="G6" s="468"/>
      <c r="H6" s="468"/>
      <c r="I6" s="468"/>
      <c r="J6" s="468"/>
      <c r="K6" s="468"/>
    </row>
    <row r="7" spans="1:12" x14ac:dyDescent="0.2">
      <c r="A7" s="463" t="s">
        <v>112</v>
      </c>
      <c r="B7" s="549">
        <v>1140</v>
      </c>
      <c r="C7" s="466">
        <v>28019</v>
      </c>
      <c r="D7" s="466"/>
      <c r="E7" s="468"/>
      <c r="F7" s="467"/>
      <c r="G7" s="467"/>
      <c r="H7" s="467"/>
      <c r="I7" s="468"/>
      <c r="J7" s="468"/>
      <c r="K7" s="468"/>
    </row>
    <row r="8" spans="1:12" x14ac:dyDescent="0.2">
      <c r="A8" s="463" t="s">
        <v>433</v>
      </c>
      <c r="B8" s="470">
        <v>1150</v>
      </c>
      <c r="C8" s="475"/>
      <c r="D8" s="475"/>
      <c r="E8" s="477"/>
      <c r="F8" s="477"/>
      <c r="G8" s="481">
        <v>42341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1569009</v>
      </c>
      <c r="D12" s="1728">
        <f t="shared" si="0"/>
        <v>490317</v>
      </c>
      <c r="E12" s="1728">
        <f t="shared" si="0"/>
        <v>0</v>
      </c>
      <c r="F12" s="1728">
        <f t="shared" si="0"/>
        <v>168109</v>
      </c>
      <c r="G12" s="1728">
        <f t="shared" si="0"/>
        <v>56463</v>
      </c>
      <c r="H12" s="1728">
        <f t="shared" si="0"/>
        <v>0</v>
      </c>
      <c r="I12" s="1728">
        <f t="shared" si="0"/>
        <v>70046</v>
      </c>
      <c r="J12" s="1728">
        <f t="shared" si="0"/>
        <v>381049</v>
      </c>
      <c r="K12" s="1709">
        <f t="shared" si="0"/>
        <v>70046</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14227</v>
      </c>
      <c r="D65" s="466">
        <v>1963</v>
      </c>
      <c r="E65" s="466"/>
      <c r="F65" s="467">
        <v>2152</v>
      </c>
      <c r="G65" s="466">
        <v>1682</v>
      </c>
      <c r="H65" s="466">
        <v>26</v>
      </c>
      <c r="I65" s="466">
        <v>1383</v>
      </c>
      <c r="J65" s="467">
        <v>2479</v>
      </c>
      <c r="K65" s="466">
        <v>2910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14227</v>
      </c>
      <c r="D67" s="1709">
        <f t="shared" ref="D67:K67" si="2">SUM(D65:D66)</f>
        <v>1963</v>
      </c>
      <c r="E67" s="1709">
        <f t="shared" si="2"/>
        <v>0</v>
      </c>
      <c r="F67" s="1709">
        <f t="shared" si="2"/>
        <v>2152</v>
      </c>
      <c r="G67" s="1709">
        <f t="shared" si="2"/>
        <v>1682</v>
      </c>
      <c r="H67" s="1709">
        <f t="shared" si="2"/>
        <v>26</v>
      </c>
      <c r="I67" s="1709">
        <f t="shared" si="2"/>
        <v>1383</v>
      </c>
      <c r="J67" s="1709">
        <f t="shared" si="2"/>
        <v>2479</v>
      </c>
      <c r="K67" s="1709">
        <f t="shared" si="2"/>
        <v>2910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13863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1832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15695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18546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18546</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25880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767</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26647</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18262</v>
      </c>
      <c r="E95" s="521"/>
      <c r="F95" s="521"/>
      <c r="G95" s="521"/>
      <c r="H95" s="521"/>
      <c r="I95" s="521"/>
      <c r="J95" s="521"/>
      <c r="K95" s="521"/>
    </row>
    <row r="96" spans="1:11" ht="12.75" customHeight="1" x14ac:dyDescent="0.2">
      <c r="A96" s="463" t="s">
        <v>409</v>
      </c>
      <c r="B96" s="470">
        <v>1920</v>
      </c>
      <c r="C96" s="551">
        <v>5561</v>
      </c>
      <c r="D96" s="551"/>
      <c r="E96" s="479"/>
      <c r="F96" s="478"/>
      <c r="G96" s="478"/>
      <c r="H96" s="478"/>
      <c r="I96" s="478"/>
      <c r="J96" s="478">
        <v>193</v>
      </c>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v>1020</v>
      </c>
      <c r="E99" s="466"/>
      <c r="F99" s="466"/>
      <c r="G99" s="466"/>
      <c r="H99" s="466"/>
      <c r="I99" s="468"/>
      <c r="J99" s="467"/>
      <c r="K99" s="466"/>
    </row>
    <row r="100" spans="1:12" ht="12.75" customHeight="1" x14ac:dyDescent="0.2">
      <c r="A100" s="463" t="s">
        <v>263</v>
      </c>
      <c r="B100" s="470">
        <v>1960</v>
      </c>
      <c r="C100" s="489">
        <v>30419</v>
      </c>
      <c r="D100" s="489"/>
      <c r="E100" s="489"/>
      <c r="F100" s="489"/>
      <c r="G100" s="489"/>
      <c r="H100" s="489"/>
      <c r="I100" s="467"/>
      <c r="J100" s="489"/>
      <c r="K100" s="467"/>
    </row>
    <row r="101" spans="1:12" ht="12.75" customHeight="1" x14ac:dyDescent="0.2">
      <c r="A101" s="463" t="s">
        <v>264</v>
      </c>
      <c r="B101" s="470">
        <v>1970</v>
      </c>
      <c r="C101" s="489">
        <v>4450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589</v>
      </c>
      <c r="D104" s="466">
        <v>64500</v>
      </c>
      <c r="E104" s="481"/>
      <c r="F104" s="467">
        <v>68476</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460</v>
      </c>
      <c r="D107" s="466"/>
      <c r="E107" s="466"/>
      <c r="F107" s="466"/>
      <c r="G107" s="466"/>
      <c r="H107" s="466"/>
      <c r="I107" s="466"/>
      <c r="J107" s="467"/>
      <c r="K107" s="466"/>
    </row>
    <row r="108" spans="1:12" ht="12.75" customHeight="1" thickBot="1" x14ac:dyDescent="0.25">
      <c r="A108" s="1729" t="s">
        <v>508</v>
      </c>
      <c r="B108" s="1733"/>
      <c r="C108" s="1728">
        <f>SUM(C95:C107)</f>
        <v>41479</v>
      </c>
      <c r="D108" s="1728">
        <f t="shared" ref="D108:K108" si="3">SUM(D95:D107)</f>
        <v>83782</v>
      </c>
      <c r="E108" s="1728">
        <f t="shared" si="3"/>
        <v>0</v>
      </c>
      <c r="F108" s="1728">
        <f t="shared" si="3"/>
        <v>68476</v>
      </c>
      <c r="G108" s="1728">
        <f t="shared" si="3"/>
        <v>0</v>
      </c>
      <c r="H108" s="1728">
        <f t="shared" si="3"/>
        <v>0</v>
      </c>
      <c r="I108" s="1728">
        <f t="shared" si="3"/>
        <v>0</v>
      </c>
      <c r="J108" s="1728">
        <f t="shared" si="3"/>
        <v>193</v>
      </c>
      <c r="K108" s="1709">
        <f t="shared" si="3"/>
        <v>0</v>
      </c>
    </row>
    <row r="109" spans="1:12" ht="14.25" thickTop="1" thickBot="1" x14ac:dyDescent="0.25">
      <c r="A109" s="1734" t="s">
        <v>266</v>
      </c>
      <c r="B109" s="1735" t="s">
        <v>591</v>
      </c>
      <c r="C109" s="1736">
        <f t="shared" ref="C109:K109" si="4">SUM(C12,C18,C40,C63,C67,C75,C82,C93,C108,)</f>
        <v>1685603</v>
      </c>
      <c r="D109" s="1736">
        <f t="shared" si="4"/>
        <v>576062</v>
      </c>
      <c r="E109" s="1736">
        <f t="shared" si="4"/>
        <v>0</v>
      </c>
      <c r="F109" s="1736">
        <f t="shared" si="4"/>
        <v>238737</v>
      </c>
      <c r="G109" s="1736">
        <f t="shared" si="4"/>
        <v>58145</v>
      </c>
      <c r="H109" s="1736">
        <f t="shared" si="4"/>
        <v>26</v>
      </c>
      <c r="I109" s="1736">
        <f t="shared" si="4"/>
        <v>71429</v>
      </c>
      <c r="J109" s="1736">
        <f t="shared" si="4"/>
        <v>383721</v>
      </c>
      <c r="K109" s="1723">
        <f t="shared" si="4"/>
        <v>72956</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1128346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1128346</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25023</v>
      </c>
      <c r="D125" s="561"/>
      <c r="E125" s="468"/>
      <c r="F125" s="466"/>
      <c r="G125" s="468"/>
      <c r="H125" s="468"/>
      <c r="I125" s="468"/>
      <c r="J125" s="468"/>
      <c r="K125" s="468"/>
    </row>
    <row r="126" spans="1:11" ht="12.75" customHeight="1" x14ac:dyDescent="0.2">
      <c r="A126" s="463" t="s">
        <v>922</v>
      </c>
      <c r="B126" s="562">
        <v>3110</v>
      </c>
      <c r="C126" s="551">
        <v>23534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48557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49711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7554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57265</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497</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15942</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193406</v>
      </c>
      <c r="G151" s="467"/>
      <c r="H151" s="468"/>
      <c r="I151" s="468"/>
      <c r="J151" s="468"/>
      <c r="K151" s="468"/>
    </row>
    <row r="152" spans="1:11" ht="12.75" customHeight="1" x14ac:dyDescent="0.2">
      <c r="A152" s="463" t="s">
        <v>1117</v>
      </c>
      <c r="B152" s="562">
        <v>3510</v>
      </c>
      <c r="C152" s="551"/>
      <c r="D152" s="466"/>
      <c r="E152" s="561"/>
      <c r="F152" s="466">
        <v>47333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240739</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9" t="s">
        <v>418</v>
      </c>
      <c r="B172" s="2170"/>
      <c r="C172" s="1743">
        <f t="shared" ref="C172:K172" si="6">SUM(C131,C140,C144,C145:C149,C154,C155:C170,C171)</f>
        <v>122261</v>
      </c>
      <c r="D172" s="1743">
        <f t="shared" si="6"/>
        <v>0</v>
      </c>
      <c r="E172" s="1743">
        <f t="shared" si="6"/>
        <v>0</v>
      </c>
      <c r="F172" s="1743">
        <f t="shared" si="6"/>
        <v>240739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1250607</v>
      </c>
      <c r="D173" s="1736">
        <f>SUM(D121,D172)</f>
        <v>0</v>
      </c>
      <c r="E173" s="1736">
        <f>SUM(E121,E172)</f>
        <v>0</v>
      </c>
      <c r="F173" s="1736">
        <f t="shared" ref="F173:K173" si="7">SUM(F121,F172)</f>
        <v>240739</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7" t="s">
        <v>818</v>
      </c>
      <c r="B184" s="2178"/>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3" t="s">
        <v>1906</v>
      </c>
      <c r="B185" s="2174"/>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28257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6691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34948</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80008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80008</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3084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3924</v>
      </c>
      <c r="D270" s="576"/>
      <c r="E270" s="468"/>
      <c r="F270" s="576"/>
      <c r="G270" s="576"/>
      <c r="H270" s="468"/>
      <c r="I270" s="468"/>
      <c r="J270" s="468"/>
      <c r="K270" s="468"/>
    </row>
    <row r="271" spans="1:11" ht="12.75" customHeight="1" thickTop="1" thickBot="1" x14ac:dyDescent="0.25">
      <c r="A271" s="463" t="s">
        <v>395</v>
      </c>
      <c r="B271" s="470">
        <v>4992</v>
      </c>
      <c r="C271" s="575">
        <v>20669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142633</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142633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3078843</v>
      </c>
      <c r="D275" s="1736">
        <f t="shared" si="12"/>
        <v>576062</v>
      </c>
      <c r="E275" s="1736">
        <f t="shared" si="12"/>
        <v>0</v>
      </c>
      <c r="F275" s="1736">
        <f t="shared" si="12"/>
        <v>479476</v>
      </c>
      <c r="G275" s="1736">
        <f t="shared" si="12"/>
        <v>58145</v>
      </c>
      <c r="H275" s="1736">
        <f t="shared" si="12"/>
        <v>26</v>
      </c>
      <c r="I275" s="1736">
        <f t="shared" si="12"/>
        <v>71429</v>
      </c>
      <c r="J275" s="1736">
        <f t="shared" si="12"/>
        <v>383721</v>
      </c>
      <c r="K275" s="1723">
        <f t="shared" si="12"/>
        <v>72956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25"/>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&amp;F&amp;C&amp;"Franklin Gothic Book,Regular"&amp;8The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03" zoomScaleNormal="103" workbookViewId="0">
      <pane ySplit="2" topLeftCell="A30" activePane="bottomLeft" state="frozen"/>
      <selection activeCell="A47" sqref="A47"/>
      <selection pane="bottomLeft" activeCell="K50" sqref="K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853467</v>
      </c>
      <c r="D5" s="466">
        <v>270041</v>
      </c>
      <c r="E5" s="466">
        <v>19499</v>
      </c>
      <c r="F5" s="466">
        <v>26576</v>
      </c>
      <c r="G5" s="466">
        <v>2883</v>
      </c>
      <c r="H5" s="466">
        <v>921</v>
      </c>
      <c r="I5" s="467"/>
      <c r="J5" s="467"/>
      <c r="K5" s="1692">
        <f>SUM(C5:J5)</f>
        <v>1173387</v>
      </c>
      <c r="L5" s="466">
        <v>1215973</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107852</v>
      </c>
      <c r="D8" s="466">
        <v>28056</v>
      </c>
      <c r="E8" s="466">
        <v>6129</v>
      </c>
      <c r="F8" s="466"/>
      <c r="G8" s="466">
        <v>1900</v>
      </c>
      <c r="H8" s="466"/>
      <c r="I8" s="467"/>
      <c r="J8" s="467"/>
      <c r="K8" s="1692">
        <f t="shared" si="0"/>
        <v>143937</v>
      </c>
      <c r="L8" s="466">
        <v>196203</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77303</v>
      </c>
      <c r="D10" s="466">
        <v>2761</v>
      </c>
      <c r="E10" s="466"/>
      <c r="F10" s="466">
        <v>291</v>
      </c>
      <c r="G10" s="466"/>
      <c r="H10" s="466"/>
      <c r="I10" s="467"/>
      <c r="J10" s="467"/>
      <c r="K10" s="1692">
        <f t="shared" si="0"/>
        <v>80355</v>
      </c>
      <c r="L10" s="466">
        <v>93138</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223254</v>
      </c>
      <c r="D13" s="466">
        <v>55917</v>
      </c>
      <c r="E13" s="466">
        <v>2853</v>
      </c>
      <c r="F13" s="466">
        <v>41249</v>
      </c>
      <c r="G13" s="466">
        <v>29650</v>
      </c>
      <c r="H13" s="466">
        <v>240</v>
      </c>
      <c r="I13" s="467"/>
      <c r="J13" s="467"/>
      <c r="K13" s="1692">
        <f t="shared" si="0"/>
        <v>353163</v>
      </c>
      <c r="L13" s="466">
        <v>379122</v>
      </c>
    </row>
    <row r="14" spans="1:14" x14ac:dyDescent="0.2">
      <c r="A14" s="1525" t="s">
        <v>1020</v>
      </c>
      <c r="B14" s="615">
        <v>1500</v>
      </c>
      <c r="C14" s="466">
        <v>113419</v>
      </c>
      <c r="D14" s="466">
        <v>6030</v>
      </c>
      <c r="E14" s="466">
        <v>27772</v>
      </c>
      <c r="F14" s="466">
        <v>19047</v>
      </c>
      <c r="G14" s="466">
        <v>6774</v>
      </c>
      <c r="H14" s="466">
        <v>9057</v>
      </c>
      <c r="I14" s="467"/>
      <c r="J14" s="467"/>
      <c r="K14" s="1692">
        <f t="shared" si="0"/>
        <v>182099</v>
      </c>
      <c r="L14" s="466">
        <v>202414</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44928</v>
      </c>
      <c r="D17" s="467">
        <v>15266</v>
      </c>
      <c r="E17" s="467">
        <v>1001</v>
      </c>
      <c r="F17" s="467">
        <v>1750</v>
      </c>
      <c r="G17" s="467"/>
      <c r="H17" s="467"/>
      <c r="I17" s="467"/>
      <c r="J17" s="467"/>
      <c r="K17" s="1692">
        <f t="shared" si="0"/>
        <v>62945</v>
      </c>
      <c r="L17" s="466">
        <v>65006</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33755</v>
      </c>
      <c r="I22" s="617"/>
      <c r="J22" s="477"/>
      <c r="K22" s="1692">
        <f t="shared" si="0"/>
        <v>33755</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1420223</v>
      </c>
      <c r="D33" s="1691">
        <f t="shared" ref="D33:L33" si="1">SUM(D5:D32)</f>
        <v>378071</v>
      </c>
      <c r="E33" s="1691">
        <f t="shared" si="1"/>
        <v>57254</v>
      </c>
      <c r="F33" s="1691">
        <f t="shared" si="1"/>
        <v>88913</v>
      </c>
      <c r="G33" s="1691">
        <f t="shared" si="1"/>
        <v>41207</v>
      </c>
      <c r="H33" s="1691">
        <f t="shared" si="1"/>
        <v>43973</v>
      </c>
      <c r="I33" s="1691">
        <f t="shared" si="1"/>
        <v>0</v>
      </c>
      <c r="J33" s="1691">
        <f t="shared" si="1"/>
        <v>0</v>
      </c>
      <c r="K33" s="1691">
        <f t="shared" si="1"/>
        <v>2029641</v>
      </c>
      <c r="L33" s="1691">
        <f t="shared" si="1"/>
        <v>2151856</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55178</v>
      </c>
      <c r="D37" s="466">
        <v>16514</v>
      </c>
      <c r="E37" s="466">
        <v>175</v>
      </c>
      <c r="F37" s="466">
        <v>364</v>
      </c>
      <c r="G37" s="466"/>
      <c r="H37" s="466"/>
      <c r="I37" s="467"/>
      <c r="J37" s="467"/>
      <c r="K37" s="1692">
        <f t="shared" si="2"/>
        <v>72231</v>
      </c>
      <c r="L37" s="466">
        <v>73190</v>
      </c>
    </row>
    <row r="38" spans="1:14" x14ac:dyDescent="0.2">
      <c r="A38" s="1525" t="s">
        <v>207</v>
      </c>
      <c r="B38" s="615">
        <v>2130</v>
      </c>
      <c r="C38" s="466"/>
      <c r="D38" s="466"/>
      <c r="E38" s="466"/>
      <c r="F38" s="466"/>
      <c r="G38" s="466"/>
      <c r="H38" s="466"/>
      <c r="I38" s="467"/>
      <c r="J38" s="467"/>
      <c r="K38" s="1692">
        <f t="shared" si="2"/>
        <v>0</v>
      </c>
      <c r="L38" s="466"/>
    </row>
    <row r="39" spans="1:14" x14ac:dyDescent="0.2">
      <c r="A39" s="1525" t="s">
        <v>208</v>
      </c>
      <c r="B39" s="615">
        <v>2140</v>
      </c>
      <c r="C39" s="466"/>
      <c r="D39" s="466"/>
      <c r="E39" s="466">
        <v>2521</v>
      </c>
      <c r="F39" s="466"/>
      <c r="G39" s="466"/>
      <c r="H39" s="466"/>
      <c r="I39" s="467"/>
      <c r="J39" s="467"/>
      <c r="K39" s="1692">
        <f t="shared" si="2"/>
        <v>2521</v>
      </c>
      <c r="L39" s="466">
        <v>35500</v>
      </c>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55178</v>
      </c>
      <c r="D42" s="1691">
        <f t="shared" ref="D42:L42" si="3">SUM(D36:D41)</f>
        <v>16514</v>
      </c>
      <c r="E42" s="1691">
        <f t="shared" si="3"/>
        <v>2696</v>
      </c>
      <c r="F42" s="1691">
        <f t="shared" si="3"/>
        <v>364</v>
      </c>
      <c r="G42" s="1691">
        <f t="shared" si="3"/>
        <v>0</v>
      </c>
      <c r="H42" s="1691">
        <f t="shared" si="3"/>
        <v>0</v>
      </c>
      <c r="I42" s="1691">
        <f t="shared" si="3"/>
        <v>0</v>
      </c>
      <c r="J42" s="1691">
        <f t="shared" si="3"/>
        <v>0</v>
      </c>
      <c r="K42" s="1691">
        <f t="shared" si="3"/>
        <v>74752</v>
      </c>
      <c r="L42" s="1691">
        <f t="shared" si="3"/>
        <v>108690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37</v>
      </c>
      <c r="F44" s="481"/>
      <c r="G44" s="481"/>
      <c r="H44" s="481"/>
      <c r="I44" s="467"/>
      <c r="J44" s="467"/>
      <c r="K44" s="1693">
        <f>SUM(C44:J44)</f>
        <v>37</v>
      </c>
      <c r="L44" s="481">
        <v>37</v>
      </c>
    </row>
    <row r="45" spans="1:14" x14ac:dyDescent="0.2">
      <c r="A45" s="1525" t="s">
        <v>869</v>
      </c>
      <c r="B45" s="615">
        <v>2220</v>
      </c>
      <c r="C45" s="466"/>
      <c r="D45" s="466"/>
      <c r="E45" s="466">
        <v>200</v>
      </c>
      <c r="F45" s="466"/>
      <c r="G45" s="466"/>
      <c r="H45" s="466"/>
      <c r="I45" s="467"/>
      <c r="J45" s="467"/>
      <c r="K45" s="1693">
        <f>SUM(C45:J45)</f>
        <v>200</v>
      </c>
      <c r="L45" s="466">
        <v>200</v>
      </c>
    </row>
    <row r="46" spans="1:14" x14ac:dyDescent="0.2">
      <c r="A46" s="1525" t="s">
        <v>870</v>
      </c>
      <c r="B46" s="615">
        <v>2230</v>
      </c>
      <c r="C46" s="466"/>
      <c r="D46" s="466"/>
      <c r="E46" s="466">
        <v>2382</v>
      </c>
      <c r="F46" s="466"/>
      <c r="G46" s="466"/>
      <c r="H46" s="466"/>
      <c r="I46" s="467"/>
      <c r="J46" s="467"/>
      <c r="K46" s="1693">
        <f>SUM(C46:J46)</f>
        <v>2382</v>
      </c>
      <c r="L46" s="466">
        <v>2382</v>
      </c>
    </row>
    <row r="47" spans="1:14" ht="12.75" customHeight="1" thickBot="1" x14ac:dyDescent="0.25">
      <c r="A47" s="1689" t="s">
        <v>582</v>
      </c>
      <c r="B47" s="1690" t="s">
        <v>32</v>
      </c>
      <c r="C47" s="1691">
        <f>SUM(C44:C46)</f>
        <v>0</v>
      </c>
      <c r="D47" s="1691">
        <f t="shared" ref="D47:K47" si="4">SUM(D44:D46)</f>
        <v>0</v>
      </c>
      <c r="E47" s="1691">
        <f t="shared" si="4"/>
        <v>2619</v>
      </c>
      <c r="F47" s="1691">
        <f t="shared" si="4"/>
        <v>0</v>
      </c>
      <c r="G47" s="1691">
        <f t="shared" si="4"/>
        <v>0</v>
      </c>
      <c r="H47" s="1691">
        <f t="shared" si="4"/>
        <v>0</v>
      </c>
      <c r="I47" s="1691">
        <f t="shared" si="4"/>
        <v>0</v>
      </c>
      <c r="J47" s="1691">
        <f t="shared" si="4"/>
        <v>0</v>
      </c>
      <c r="K47" s="1691">
        <f t="shared" si="4"/>
        <v>2619</v>
      </c>
      <c r="L47" s="1691">
        <f>SUM(L44:L46)</f>
        <v>2619</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8617</v>
      </c>
      <c r="F49" s="481">
        <v>4590</v>
      </c>
      <c r="G49" s="481">
        <v>1454</v>
      </c>
      <c r="H49" s="481">
        <v>4085</v>
      </c>
      <c r="I49" s="467"/>
      <c r="J49" s="467"/>
      <c r="K49" s="1693">
        <f>SUM(C49:J49)</f>
        <v>18746</v>
      </c>
      <c r="L49" s="481">
        <v>25600</v>
      </c>
    </row>
    <row r="50" spans="1:14" x14ac:dyDescent="0.2">
      <c r="A50" s="1525" t="s">
        <v>872</v>
      </c>
      <c r="B50" s="615">
        <v>2320</v>
      </c>
      <c r="C50" s="466">
        <v>104834</v>
      </c>
      <c r="D50" s="466">
        <v>31194</v>
      </c>
      <c r="E50" s="466">
        <v>4014</v>
      </c>
      <c r="F50" s="466">
        <v>243</v>
      </c>
      <c r="G50" s="466"/>
      <c r="H50" s="466">
        <v>1565</v>
      </c>
      <c r="I50" s="467"/>
      <c r="J50" s="467"/>
      <c r="K50" s="1693">
        <f>SUM(C50:J50)</f>
        <v>141850</v>
      </c>
      <c r="L50" s="466">
        <v>145829</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104834</v>
      </c>
      <c r="D53" s="1691">
        <f t="shared" ref="D53:L53" si="5">SUM(D49:D52)</f>
        <v>31194</v>
      </c>
      <c r="E53" s="1691">
        <f t="shared" si="5"/>
        <v>12631</v>
      </c>
      <c r="F53" s="1691">
        <f t="shared" si="5"/>
        <v>4833</v>
      </c>
      <c r="G53" s="1691">
        <f t="shared" si="5"/>
        <v>1454</v>
      </c>
      <c r="H53" s="1691">
        <f t="shared" si="5"/>
        <v>5650</v>
      </c>
      <c r="I53" s="1691">
        <f t="shared" si="5"/>
        <v>0</v>
      </c>
      <c r="J53" s="1691">
        <f t="shared" si="5"/>
        <v>0</v>
      </c>
      <c r="K53" s="1691">
        <f t="shared" si="5"/>
        <v>160596</v>
      </c>
      <c r="L53" s="1691">
        <f t="shared" si="5"/>
        <v>171429</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168049</v>
      </c>
      <c r="D55" s="481">
        <v>48916</v>
      </c>
      <c r="E55" s="481">
        <v>973</v>
      </c>
      <c r="F55" s="481">
        <v>355</v>
      </c>
      <c r="G55" s="481"/>
      <c r="H55" s="481">
        <v>680</v>
      </c>
      <c r="I55" s="467"/>
      <c r="J55" s="467"/>
      <c r="K55" s="1693">
        <f>SUM(C55:J55)</f>
        <v>218973</v>
      </c>
      <c r="L55" s="481">
        <v>227426</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168049</v>
      </c>
      <c r="D57" s="1695">
        <f t="shared" ref="D57:K57" si="6">SUM(D55:D56)</f>
        <v>48916</v>
      </c>
      <c r="E57" s="1695">
        <f t="shared" si="6"/>
        <v>973</v>
      </c>
      <c r="F57" s="1695">
        <f t="shared" si="6"/>
        <v>355</v>
      </c>
      <c r="G57" s="1695">
        <f t="shared" si="6"/>
        <v>0</v>
      </c>
      <c r="H57" s="1695">
        <f t="shared" si="6"/>
        <v>680</v>
      </c>
      <c r="I57" s="1695">
        <f t="shared" si="6"/>
        <v>0</v>
      </c>
      <c r="J57" s="1695">
        <f t="shared" si="6"/>
        <v>0</v>
      </c>
      <c r="K57" s="1695">
        <f t="shared" si="6"/>
        <v>218973</v>
      </c>
      <c r="L57" s="1691">
        <f>SUM(L55:L56)</f>
        <v>227426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34798</v>
      </c>
      <c r="D60" s="466">
        <v>9542</v>
      </c>
      <c r="E60" s="466">
        <v>223</v>
      </c>
      <c r="F60" s="466">
        <v>638</v>
      </c>
      <c r="G60" s="466"/>
      <c r="H60" s="466">
        <v>2260</v>
      </c>
      <c r="I60" s="467"/>
      <c r="J60" s="467"/>
      <c r="K60" s="1693">
        <f t="shared" si="7"/>
        <v>47461</v>
      </c>
      <c r="L60" s="466">
        <v>48694</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c r="D63" s="466"/>
      <c r="E63" s="466"/>
      <c r="F63" s="466"/>
      <c r="G63" s="466"/>
      <c r="H63" s="466"/>
      <c r="I63" s="467"/>
      <c r="J63" s="467"/>
      <c r="K63" s="1693">
        <f t="shared" si="7"/>
        <v>0</v>
      </c>
      <c r="L63" s="466">
        <v>85000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34798</v>
      </c>
      <c r="D65" s="1691">
        <f t="shared" ref="D65:L65" si="8">SUM(D59:D64)</f>
        <v>9542</v>
      </c>
      <c r="E65" s="1691">
        <f t="shared" si="8"/>
        <v>223</v>
      </c>
      <c r="F65" s="1691">
        <f t="shared" si="8"/>
        <v>638</v>
      </c>
      <c r="G65" s="1691">
        <f t="shared" si="8"/>
        <v>0</v>
      </c>
      <c r="H65" s="1691">
        <f t="shared" si="8"/>
        <v>2260</v>
      </c>
      <c r="I65" s="1691">
        <f t="shared" si="8"/>
        <v>0</v>
      </c>
      <c r="J65" s="1691">
        <f t="shared" si="8"/>
        <v>0</v>
      </c>
      <c r="K65" s="1691">
        <f t="shared" si="8"/>
        <v>47461</v>
      </c>
      <c r="L65" s="1691">
        <f t="shared" si="8"/>
        <v>133694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v>37080</v>
      </c>
      <c r="D71" s="466">
        <v>7634</v>
      </c>
      <c r="E71" s="466">
        <v>4790</v>
      </c>
      <c r="F71" s="466">
        <v>24808</v>
      </c>
      <c r="G71" s="466">
        <v>19681</v>
      </c>
      <c r="H71" s="466"/>
      <c r="I71" s="467"/>
      <c r="J71" s="467"/>
      <c r="K71" s="1693">
        <f>SUM(C71:J71)</f>
        <v>93993</v>
      </c>
      <c r="L71" s="466">
        <v>105771</v>
      </c>
      <c r="M71" s="610"/>
      <c r="N71" s="610"/>
    </row>
    <row r="72" spans="1:14" s="343" customFormat="1" ht="12.75" customHeight="1" thickBot="1" x14ac:dyDescent="0.25">
      <c r="A72" s="1689" t="s">
        <v>37</v>
      </c>
      <c r="B72" s="1696" t="s">
        <v>36</v>
      </c>
      <c r="C72" s="1691">
        <f>SUM(C67:C71)</f>
        <v>37080</v>
      </c>
      <c r="D72" s="1691">
        <f t="shared" ref="D72:K72" si="9">SUM(D67:D71)</f>
        <v>7634</v>
      </c>
      <c r="E72" s="1691">
        <f t="shared" si="9"/>
        <v>4790</v>
      </c>
      <c r="F72" s="1691">
        <f t="shared" si="9"/>
        <v>24808</v>
      </c>
      <c r="G72" s="1691">
        <f t="shared" si="9"/>
        <v>19681</v>
      </c>
      <c r="H72" s="1691">
        <f t="shared" si="9"/>
        <v>0</v>
      </c>
      <c r="I72" s="1691">
        <f t="shared" si="9"/>
        <v>0</v>
      </c>
      <c r="J72" s="1691">
        <f t="shared" si="9"/>
        <v>0</v>
      </c>
      <c r="K72" s="1691">
        <f t="shared" si="9"/>
        <v>93993</v>
      </c>
      <c r="L72" s="1691">
        <f>SUM(L67:L71)</f>
        <v>105771</v>
      </c>
      <c r="M72" s="610"/>
      <c r="N72" s="610"/>
    </row>
    <row r="73" spans="1:14" s="343" customFormat="1" ht="14.25" thickTop="1" thickBot="1" x14ac:dyDescent="0.25">
      <c r="A73" s="1531" t="s">
        <v>1037</v>
      </c>
      <c r="B73" s="633" t="s">
        <v>595</v>
      </c>
      <c r="C73" s="573"/>
      <c r="D73" s="573"/>
      <c r="E73" s="573">
        <v>19539</v>
      </c>
      <c r="F73" s="573"/>
      <c r="G73" s="573"/>
      <c r="H73" s="573"/>
      <c r="I73" s="531"/>
      <c r="J73" s="531"/>
      <c r="K73" s="1691">
        <f>SUM(C73:J73)</f>
        <v>19539</v>
      </c>
      <c r="L73" s="576">
        <v>23700</v>
      </c>
      <c r="M73" s="610"/>
      <c r="N73" s="610"/>
    </row>
    <row r="74" spans="1:14" ht="12.75" customHeight="1" thickTop="1" thickBot="1" x14ac:dyDescent="0.25">
      <c r="A74" s="1689" t="s">
        <v>865</v>
      </c>
      <c r="B74" s="1697">
        <v>2000</v>
      </c>
      <c r="C74" s="1698">
        <f>SUM(C42,C47,C53,C57,C65,C72,C73)</f>
        <v>399939</v>
      </c>
      <c r="D74" s="1698">
        <f t="shared" ref="D74:K74" si="10">SUM(D42,D47,D53,D57,D65,D72,D73)</f>
        <v>113800</v>
      </c>
      <c r="E74" s="1698">
        <f t="shared" si="10"/>
        <v>43471</v>
      </c>
      <c r="F74" s="1698">
        <f t="shared" si="10"/>
        <v>30998</v>
      </c>
      <c r="G74" s="1698">
        <f t="shared" si="10"/>
        <v>21135</v>
      </c>
      <c r="H74" s="1698">
        <f t="shared" si="10"/>
        <v>8590</v>
      </c>
      <c r="I74" s="1698">
        <f t="shared" si="10"/>
        <v>0</v>
      </c>
      <c r="J74" s="1698">
        <f t="shared" si="10"/>
        <v>0</v>
      </c>
      <c r="K74" s="1698">
        <f t="shared" si="10"/>
        <v>617933</v>
      </c>
      <c r="L74" s="1698">
        <f>SUM(L42,L47,L53,L57,L65,L72,L73)</f>
        <v>773329</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113075</v>
      </c>
      <c r="F79" s="617"/>
      <c r="G79" s="617"/>
      <c r="H79" s="466">
        <v>107760</v>
      </c>
      <c r="I79" s="477"/>
      <c r="J79" s="477"/>
      <c r="K79" s="1692">
        <f t="shared" si="11"/>
        <v>220835</v>
      </c>
      <c r="L79" s="466">
        <v>233800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v>2500</v>
      </c>
      <c r="I81" s="477"/>
      <c r="J81" s="477"/>
      <c r="K81" s="1692">
        <f t="shared" si="11"/>
        <v>2500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v>74345</v>
      </c>
      <c r="F83" s="617"/>
      <c r="G83" s="617"/>
      <c r="H83" s="466"/>
      <c r="I83" s="477"/>
      <c r="J83" s="477"/>
      <c r="K83" s="1692">
        <f t="shared" si="11"/>
        <v>74345</v>
      </c>
      <c r="L83" s="466"/>
    </row>
    <row r="84" spans="1:12" ht="13.5" thickBot="1" x14ac:dyDescent="0.25">
      <c r="A84" s="1689" t="s">
        <v>1565</v>
      </c>
      <c r="B84" s="1699">
        <v>4100</v>
      </c>
      <c r="C84" s="617"/>
      <c r="D84" s="617"/>
      <c r="E84" s="1691">
        <f>SUM(E78:E83)</f>
        <v>187420</v>
      </c>
      <c r="F84" s="617"/>
      <c r="G84" s="617"/>
      <c r="H84" s="1691">
        <f>SUM(H78:H83)</f>
        <v>110260</v>
      </c>
      <c r="I84" s="477"/>
      <c r="J84" s="477"/>
      <c r="K84" s="1691">
        <f>SUM(K78:K83)</f>
        <v>297680</v>
      </c>
      <c r="L84" s="1691">
        <f>SUM(L78:L83)</f>
        <v>233800</v>
      </c>
    </row>
    <row r="85" spans="1:12" ht="12.75" customHeight="1" thickTop="1" thickBot="1" x14ac:dyDescent="0.25">
      <c r="A85" s="1532" t="s">
        <v>273</v>
      </c>
      <c r="B85" s="636">
        <v>4210</v>
      </c>
      <c r="C85" s="617"/>
      <c r="D85" s="617"/>
      <c r="E85" s="637"/>
      <c r="F85" s="617"/>
      <c r="G85" s="617"/>
      <c r="H85" s="535"/>
      <c r="I85" s="477"/>
      <c r="J85" s="477"/>
      <c r="K85" s="1698">
        <f>H85</f>
        <v>0</v>
      </c>
      <c r="L85" s="530">
        <v>2500</v>
      </c>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2500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187420</v>
      </c>
      <c r="F102" s="617"/>
      <c r="G102" s="617"/>
      <c r="H102" s="1698">
        <f>SUM(H84,H92,H100,H101)</f>
        <v>110260</v>
      </c>
      <c r="I102" s="477"/>
      <c r="J102" s="477"/>
      <c r="K102" s="1698">
        <f>SUM(K84,K92,K100,K101)</f>
        <v>297680</v>
      </c>
      <c r="L102" s="1698">
        <f>SUM(L84,L92,L100,L101)</f>
        <v>236300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1820162</v>
      </c>
      <c r="D114" s="1691">
        <f t="shared" ref="D114:K114" si="13">SUM(D33,D74,D75,D102,D112,D113)</f>
        <v>491871</v>
      </c>
      <c r="E114" s="1691">
        <f t="shared" si="13"/>
        <v>288145</v>
      </c>
      <c r="F114" s="1691">
        <f t="shared" si="13"/>
        <v>119911</v>
      </c>
      <c r="G114" s="1691">
        <f t="shared" si="13"/>
        <v>62342</v>
      </c>
      <c r="H114" s="1691">
        <f>SUM(H33,H74,H75,H102,H112,H113)</f>
        <v>162823</v>
      </c>
      <c r="I114" s="1691">
        <f t="shared" si="13"/>
        <v>0</v>
      </c>
      <c r="J114" s="1691">
        <f t="shared" si="13"/>
        <v>0</v>
      </c>
      <c r="K114" s="1691">
        <f t="shared" si="13"/>
        <v>2945254</v>
      </c>
      <c r="L114" s="1691">
        <f>SUM(L33,L74,L75,L102,L112,L113)</f>
        <v>3161485</v>
      </c>
    </row>
    <row r="115" spans="1:14" ht="13.5" thickTop="1" x14ac:dyDescent="0.2">
      <c r="A115" s="2206" t="s">
        <v>1053</v>
      </c>
      <c r="B115" s="2207"/>
      <c r="C115" s="619"/>
      <c r="D115" s="619"/>
      <c r="E115" s="619"/>
      <c r="F115" s="619"/>
      <c r="G115" s="619"/>
      <c r="H115" s="619"/>
      <c r="I115" s="619"/>
      <c r="J115" s="619"/>
      <c r="K115" s="1705">
        <f>'Revenues 9-14'!C275-'Expenditures 15-22'!K114</f>
        <v>133589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98653</v>
      </c>
      <c r="D124" s="466">
        <v>21880</v>
      </c>
      <c r="E124" s="466">
        <v>17350</v>
      </c>
      <c r="F124" s="466">
        <v>59510</v>
      </c>
      <c r="G124" s="466">
        <v>42167</v>
      </c>
      <c r="H124" s="466"/>
      <c r="I124" s="467"/>
      <c r="J124" s="467"/>
      <c r="K124" s="1691">
        <f>SUM(C124:J124)</f>
        <v>239560</v>
      </c>
      <c r="L124" s="466">
        <v>299884</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v>199900</v>
      </c>
    </row>
    <row r="127" spans="1:14" ht="12.75" customHeight="1" thickTop="1" thickBot="1" x14ac:dyDescent="0.25">
      <c r="A127" s="1689" t="s">
        <v>743</v>
      </c>
      <c r="B127" s="1690" t="s">
        <v>35</v>
      </c>
      <c r="C127" s="1691">
        <f>SUM(C122:C126)</f>
        <v>98653</v>
      </c>
      <c r="D127" s="1691">
        <f t="shared" ref="D127:L127" si="14">SUM(D122:D126)</f>
        <v>21880</v>
      </c>
      <c r="E127" s="1691">
        <f t="shared" si="14"/>
        <v>17350</v>
      </c>
      <c r="F127" s="1691">
        <f t="shared" si="14"/>
        <v>59510</v>
      </c>
      <c r="G127" s="1691">
        <f t="shared" si="14"/>
        <v>42167</v>
      </c>
      <c r="H127" s="1691">
        <f t="shared" si="14"/>
        <v>0</v>
      </c>
      <c r="I127" s="1691">
        <f t="shared" si="14"/>
        <v>0</v>
      </c>
      <c r="J127" s="1691">
        <f t="shared" si="14"/>
        <v>0</v>
      </c>
      <c r="K127" s="1691">
        <f t="shared" si="14"/>
        <v>239560</v>
      </c>
      <c r="L127" s="1691">
        <f t="shared" si="14"/>
        <v>499784</v>
      </c>
    </row>
    <row r="128" spans="1:14" ht="12.75" customHeight="1" thickTop="1" x14ac:dyDescent="0.2">
      <c r="A128" s="1532" t="s">
        <v>1037</v>
      </c>
      <c r="B128" s="656" t="s">
        <v>595</v>
      </c>
      <c r="C128" s="657"/>
      <c r="D128" s="657"/>
      <c r="E128" s="657">
        <v>71400</v>
      </c>
      <c r="F128" s="657"/>
      <c r="G128" s="657"/>
      <c r="H128" s="657"/>
      <c r="I128" s="535"/>
      <c r="J128" s="535"/>
      <c r="K128" s="1706">
        <f>SUM(C128:J128)</f>
        <v>71400</v>
      </c>
      <c r="L128" s="657"/>
    </row>
    <row r="129" spans="1:14" ht="12.75" customHeight="1" thickBot="1" x14ac:dyDescent="0.25">
      <c r="A129" s="1707" t="s">
        <v>865</v>
      </c>
      <c r="B129" s="1708" t="s">
        <v>590</v>
      </c>
      <c r="C129" s="1698">
        <f>SUM(C120,C127,C128)</f>
        <v>98653</v>
      </c>
      <c r="D129" s="1698">
        <f t="shared" ref="D129:L129" si="15">SUM(D120,D127,D128)</f>
        <v>21880</v>
      </c>
      <c r="E129" s="1698">
        <f t="shared" si="15"/>
        <v>88750</v>
      </c>
      <c r="F129" s="1698">
        <f t="shared" si="15"/>
        <v>59510</v>
      </c>
      <c r="G129" s="1698">
        <f t="shared" si="15"/>
        <v>42167</v>
      </c>
      <c r="H129" s="1698">
        <f t="shared" si="15"/>
        <v>0</v>
      </c>
      <c r="I129" s="1698">
        <f t="shared" si="15"/>
        <v>0</v>
      </c>
      <c r="J129" s="1698">
        <f t="shared" si="15"/>
        <v>0</v>
      </c>
      <c r="K129" s="1698">
        <f t="shared" si="15"/>
        <v>310960</v>
      </c>
      <c r="L129" s="1698">
        <f t="shared" si="15"/>
        <v>499784</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v>100558</v>
      </c>
      <c r="F136" s="617"/>
      <c r="G136" s="617"/>
      <c r="H136" s="466"/>
      <c r="I136" s="477"/>
      <c r="J136" s="617"/>
      <c r="K136" s="1693">
        <f>SUM(E136,H136)</f>
        <v>100558</v>
      </c>
      <c r="L136" s="466"/>
    </row>
    <row r="137" spans="1:14" ht="12.75" customHeight="1" thickBot="1" x14ac:dyDescent="0.25">
      <c r="A137" s="1689" t="s">
        <v>501</v>
      </c>
      <c r="B137" s="1699">
        <v>4100</v>
      </c>
      <c r="C137" s="617"/>
      <c r="D137" s="617"/>
      <c r="E137" s="1691">
        <f>SUM(E133:E136)</f>
        <v>100558</v>
      </c>
      <c r="F137" s="617"/>
      <c r="G137" s="617"/>
      <c r="H137" s="1691">
        <f>SUM(H133:H136)</f>
        <v>0</v>
      </c>
      <c r="I137" s="477"/>
      <c r="J137" s="617"/>
      <c r="K137" s="1691">
        <f>SUM(K133:K136)</f>
        <v>100558</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100558</v>
      </c>
      <c r="F139" s="617"/>
      <c r="G139" s="617"/>
      <c r="H139" s="1700">
        <f>SUM(H137:H138)</f>
        <v>0</v>
      </c>
      <c r="I139" s="477"/>
      <c r="J139" s="617"/>
      <c r="K139" s="1693">
        <f>SUM(K137,K138)</f>
        <v>100558</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6" t="s">
        <v>641</v>
      </c>
      <c r="B151" s="2178"/>
      <c r="C151" s="1691">
        <f>SUM(C129,C130,C139,C149,C150)</f>
        <v>98653</v>
      </c>
      <c r="D151" s="1691">
        <f t="shared" ref="D151:K151" si="16">SUM(D129,D130,D139,D149,D150)</f>
        <v>21880</v>
      </c>
      <c r="E151" s="1691">
        <f t="shared" si="16"/>
        <v>189308</v>
      </c>
      <c r="F151" s="1691">
        <f t="shared" si="16"/>
        <v>59510</v>
      </c>
      <c r="G151" s="1691">
        <f t="shared" si="16"/>
        <v>42167</v>
      </c>
      <c r="H151" s="1691">
        <f t="shared" si="16"/>
        <v>0</v>
      </c>
      <c r="I151" s="1691">
        <f t="shared" si="16"/>
        <v>0</v>
      </c>
      <c r="J151" s="1691">
        <f t="shared" si="16"/>
        <v>0</v>
      </c>
      <c r="K151" s="1691">
        <f t="shared" si="16"/>
        <v>411518</v>
      </c>
      <c r="L151" s="1691">
        <f>SUM(L129,L130,L139,L149,L150)</f>
        <v>499784</v>
      </c>
    </row>
    <row r="152" spans="1:14" ht="12.75" customHeight="1" thickTop="1" x14ac:dyDescent="0.2">
      <c r="A152" s="2199" t="s">
        <v>1240</v>
      </c>
      <c r="B152" s="2200"/>
      <c r="C152" s="619"/>
      <c r="D152" s="619"/>
      <c r="E152" s="619"/>
      <c r="F152" s="619"/>
      <c r="G152" s="619"/>
      <c r="H152" s="619"/>
      <c r="I152" s="619"/>
      <c r="J152" s="617"/>
      <c r="K152" s="1705">
        <f>'Revenues 9-14'!D275-'Expenditures 15-22'!K151</f>
        <v>164544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206" t="s">
        <v>1053</v>
      </c>
      <c r="B175" s="2207"/>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207192</v>
      </c>
      <c r="D182" s="466">
        <v>9850</v>
      </c>
      <c r="E182" s="466">
        <v>80120</v>
      </c>
      <c r="F182" s="466">
        <v>49486</v>
      </c>
      <c r="G182" s="466"/>
      <c r="H182" s="466">
        <v>192</v>
      </c>
      <c r="I182" s="467"/>
      <c r="J182" s="467"/>
      <c r="K182" s="1692">
        <f>SUM(C182:J182)</f>
        <v>346840</v>
      </c>
      <c r="L182" s="466">
        <v>387598</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207192</v>
      </c>
      <c r="D184" s="1698">
        <f t="shared" ref="D184:J184" si="17">SUM(D180,D182,D183)</f>
        <v>9850</v>
      </c>
      <c r="E184" s="1698">
        <f t="shared" si="17"/>
        <v>80120</v>
      </c>
      <c r="F184" s="1698">
        <f t="shared" si="17"/>
        <v>49486</v>
      </c>
      <c r="G184" s="1698">
        <f t="shared" si="17"/>
        <v>0</v>
      </c>
      <c r="H184" s="1698">
        <f t="shared" si="17"/>
        <v>192</v>
      </c>
      <c r="I184" s="1698">
        <f t="shared" si="17"/>
        <v>0</v>
      </c>
      <c r="J184" s="1698">
        <f t="shared" si="17"/>
        <v>0</v>
      </c>
      <c r="K184" s="1698">
        <f>SUM(K180,K182,K183)</f>
        <v>346840</v>
      </c>
      <c r="L184" s="1698">
        <f>SUM(L180, L182:L183)</f>
        <v>387598</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34933</v>
      </c>
      <c r="F188" s="617"/>
      <c r="G188" s="617"/>
      <c r="H188" s="466"/>
      <c r="I188" s="477"/>
      <c r="J188" s="617"/>
      <c r="K188" s="1692">
        <f t="shared" ref="K188:K193" si="18">SUM(E188,H188)</f>
        <v>34933</v>
      </c>
      <c r="L188" s="466">
        <v>45000</v>
      </c>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34933</v>
      </c>
      <c r="F194" s="617"/>
      <c r="G194" s="617"/>
      <c r="H194" s="1691">
        <f>SUM(H188:H193)</f>
        <v>0</v>
      </c>
      <c r="I194" s="477"/>
      <c r="J194" s="617"/>
      <c r="K194" s="1691">
        <f>SUM(K188:K193)</f>
        <v>34933</v>
      </c>
      <c r="L194" s="1691">
        <f>SUM(L188:L193)</f>
        <v>45000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34933</v>
      </c>
      <c r="F196" s="617"/>
      <c r="G196" s="617"/>
      <c r="H196" s="1698">
        <f>SUM(H194,H195)</f>
        <v>0</v>
      </c>
      <c r="I196" s="477"/>
      <c r="J196" s="617"/>
      <c r="K196" s="1698">
        <f>SUM(K194,K195)</f>
        <v>34933</v>
      </c>
      <c r="L196" s="1698">
        <f>SUM(L194,L195)</f>
        <v>45000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207192</v>
      </c>
      <c r="D210" s="1691">
        <f>SUM(D184,D185)</f>
        <v>9850</v>
      </c>
      <c r="E210" s="1691">
        <f>SUM(E184,E185,E196)</f>
        <v>115053</v>
      </c>
      <c r="F210" s="1691">
        <f>SUM(F184,F185)</f>
        <v>49486</v>
      </c>
      <c r="G210" s="1691">
        <f>SUM(G184,G185)</f>
        <v>0</v>
      </c>
      <c r="H210" s="1691">
        <f>SUM(H184,H185,H196,H208,H209)</f>
        <v>192</v>
      </c>
      <c r="I210" s="1691">
        <f>SUM(I184,I185)</f>
        <v>0</v>
      </c>
      <c r="J210" s="1691">
        <f>SUM(J184,J185)</f>
        <v>0</v>
      </c>
      <c r="K210" s="1692">
        <f>SUM(K184,K185,K196,K208,K209)</f>
        <v>381773</v>
      </c>
      <c r="L210" s="1691">
        <f>SUM(L184,L185,L196,L208,L209)</f>
        <v>432598</v>
      </c>
    </row>
    <row r="211" spans="1:14" ht="13.5" thickTop="1" x14ac:dyDescent="0.2">
      <c r="A211" s="2206" t="s">
        <v>1053</v>
      </c>
      <c r="B211" s="2207"/>
      <c r="C211" s="619"/>
      <c r="D211" s="619"/>
      <c r="E211" s="619"/>
      <c r="F211" s="619"/>
      <c r="G211" s="619"/>
      <c r="H211" s="619"/>
      <c r="I211" s="617"/>
      <c r="J211" s="617"/>
      <c r="K211" s="1705">
        <f>'Revenues 9-14'!F275-'Expenditures 15-22'!K210</f>
        <v>97703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16750</v>
      </c>
      <c r="E215" s="617"/>
      <c r="F215" s="617"/>
      <c r="G215" s="617"/>
      <c r="H215" s="617"/>
      <c r="I215" s="617"/>
      <c r="J215" s="617"/>
      <c r="K215" s="1692">
        <f>D215</f>
        <v>16750</v>
      </c>
      <c r="L215" s="466">
        <v>18000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5571</v>
      </c>
      <c r="E217" s="617"/>
      <c r="F217" s="617"/>
      <c r="G217" s="617"/>
      <c r="H217" s="617"/>
      <c r="I217" s="617"/>
      <c r="J217" s="617"/>
      <c r="K217" s="1692">
        <f t="shared" si="19"/>
        <v>5571</v>
      </c>
      <c r="L217" s="466">
        <v>6100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8428</v>
      </c>
      <c r="E219" s="617"/>
      <c r="F219" s="617"/>
      <c r="G219" s="617"/>
      <c r="H219" s="617"/>
      <c r="I219" s="617"/>
      <c r="J219" s="617"/>
      <c r="K219" s="1692">
        <f t="shared" si="19"/>
        <v>8428</v>
      </c>
      <c r="L219" s="466">
        <v>9400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2813</v>
      </c>
      <c r="E222" s="617"/>
      <c r="F222" s="617"/>
      <c r="G222" s="617"/>
      <c r="H222" s="617"/>
      <c r="I222" s="617"/>
      <c r="J222" s="617"/>
      <c r="K222" s="1692">
        <f t="shared" si="19"/>
        <v>2813</v>
      </c>
      <c r="L222" s="466">
        <v>3200</v>
      </c>
    </row>
    <row r="223" spans="1:14" x14ac:dyDescent="0.2">
      <c r="A223" s="1525" t="s">
        <v>1020</v>
      </c>
      <c r="B223" s="615">
        <v>1500</v>
      </c>
      <c r="C223" s="617"/>
      <c r="D223" s="466">
        <v>5999</v>
      </c>
      <c r="E223" s="617"/>
      <c r="F223" s="617"/>
      <c r="G223" s="617"/>
      <c r="H223" s="617"/>
      <c r="I223" s="617"/>
      <c r="J223" s="617"/>
      <c r="K223" s="1692">
        <f t="shared" si="19"/>
        <v>5999</v>
      </c>
      <c r="L223" s="466">
        <v>6850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651</v>
      </c>
      <c r="E226" s="617"/>
      <c r="F226" s="617"/>
      <c r="G226" s="617"/>
      <c r="H226" s="617"/>
      <c r="I226" s="617"/>
      <c r="J226" s="617"/>
      <c r="K226" s="1692">
        <f t="shared" si="19"/>
        <v>651</v>
      </c>
      <c r="L226" s="466">
        <v>680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40212</v>
      </c>
      <c r="E229" s="617"/>
      <c r="F229" s="617"/>
      <c r="G229" s="617"/>
      <c r="H229" s="617"/>
      <c r="I229" s="617"/>
      <c r="J229" s="617"/>
      <c r="K229" s="1691">
        <f>SUM(K215:K228)</f>
        <v>40212</v>
      </c>
      <c r="L229" s="1691">
        <f>SUM(L215:L228)</f>
        <v>44230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787</v>
      </c>
      <c r="E233" s="617"/>
      <c r="F233" s="617"/>
      <c r="G233" s="617"/>
      <c r="H233" s="617"/>
      <c r="I233" s="617"/>
      <c r="J233" s="617"/>
      <c r="K233" s="1692">
        <f t="shared" si="20"/>
        <v>787</v>
      </c>
      <c r="L233" s="466">
        <v>850</v>
      </c>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787</v>
      </c>
      <c r="E238" s="617"/>
      <c r="F238" s="617"/>
      <c r="G238" s="617"/>
      <c r="H238" s="617"/>
      <c r="I238" s="617"/>
      <c r="J238" s="617"/>
      <c r="K238" s="1691">
        <f>SUM(K232:K237)</f>
        <v>787</v>
      </c>
      <c r="L238" s="1691">
        <f>SUM(L232:L237)</f>
        <v>850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2823</v>
      </c>
      <c r="E246" s="617"/>
      <c r="F246" s="617"/>
      <c r="G246" s="617"/>
      <c r="H246" s="617"/>
      <c r="I246" s="617"/>
      <c r="J246" s="617"/>
      <c r="K246" s="1693">
        <f t="shared" ref="K246:K256" si="21">D246</f>
        <v>2823</v>
      </c>
      <c r="L246" s="466">
        <v>3900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v>5565</v>
      </c>
      <c r="E254" s="617"/>
      <c r="F254" s="617"/>
      <c r="G254" s="617"/>
      <c r="H254" s="617"/>
      <c r="I254" s="617"/>
      <c r="J254" s="617"/>
      <c r="K254" s="1693">
        <f t="shared" si="21"/>
        <v>5565</v>
      </c>
      <c r="L254" s="466">
        <v>6300</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8388</v>
      </c>
      <c r="E257" s="617"/>
      <c r="F257" s="617"/>
      <c r="G257" s="617"/>
      <c r="H257" s="617"/>
      <c r="I257" s="617"/>
      <c r="J257" s="617"/>
      <c r="K257" s="1691">
        <f>SUM(K245:K256)</f>
        <v>8388</v>
      </c>
      <c r="L257" s="1691">
        <f>SUM(L245:L256)</f>
        <v>10200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8104</v>
      </c>
      <c r="E259" s="617"/>
      <c r="F259" s="617"/>
      <c r="G259" s="617"/>
      <c r="H259" s="617"/>
      <c r="I259" s="617"/>
      <c r="J259" s="617"/>
      <c r="K259" s="1693">
        <f>D259</f>
        <v>8104</v>
      </c>
      <c r="L259" s="481">
        <v>9400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8104</v>
      </c>
      <c r="E261" s="617"/>
      <c r="F261" s="617"/>
      <c r="G261" s="617"/>
      <c r="H261" s="617"/>
      <c r="I261" s="617"/>
      <c r="J261" s="617"/>
      <c r="K261" s="1691">
        <f>SUM(K259:K260)</f>
        <v>8104</v>
      </c>
      <c r="L261" s="1691">
        <f>SUM(L259:L260)</f>
        <v>9400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4442</v>
      </c>
      <c r="E264" s="617"/>
      <c r="F264" s="617"/>
      <c r="G264" s="617"/>
      <c r="H264" s="617"/>
      <c r="I264" s="617"/>
      <c r="J264" s="617"/>
      <c r="K264" s="1693">
        <f t="shared" ref="K264:K269" si="22">D264</f>
        <v>4442</v>
      </c>
      <c r="L264" s="466">
        <v>4937</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11896</v>
      </c>
      <c r="E266" s="617"/>
      <c r="F266" s="617"/>
      <c r="G266" s="617"/>
      <c r="H266" s="617"/>
      <c r="I266" s="617"/>
      <c r="J266" s="617"/>
      <c r="K266" s="1693">
        <f t="shared" si="22"/>
        <v>11896</v>
      </c>
      <c r="L266" s="466">
        <v>16000</v>
      </c>
    </row>
    <row r="267" spans="1:14" x14ac:dyDescent="0.2">
      <c r="A267" s="1525" t="s">
        <v>1010</v>
      </c>
      <c r="B267" s="615">
        <v>2550</v>
      </c>
      <c r="C267" s="617"/>
      <c r="D267" s="466">
        <v>24549</v>
      </c>
      <c r="E267" s="617"/>
      <c r="F267" s="617"/>
      <c r="G267" s="617"/>
      <c r="H267" s="617"/>
      <c r="I267" s="617"/>
      <c r="J267" s="617"/>
      <c r="K267" s="1693">
        <f t="shared" si="22"/>
        <v>24549</v>
      </c>
      <c r="L267" s="466">
        <v>31700</v>
      </c>
    </row>
    <row r="268" spans="1:14" x14ac:dyDescent="0.2">
      <c r="A268" s="1525" t="s">
        <v>102</v>
      </c>
      <c r="B268" s="615">
        <v>2560</v>
      </c>
      <c r="C268" s="617"/>
      <c r="D268" s="466"/>
      <c r="E268" s="617"/>
      <c r="F268" s="617"/>
      <c r="G268" s="617"/>
      <c r="H268" s="617"/>
      <c r="I268" s="617"/>
      <c r="J268" s="617"/>
      <c r="K268" s="1693">
        <f t="shared" si="22"/>
        <v>0</v>
      </c>
      <c r="L268" s="466"/>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40887</v>
      </c>
      <c r="E270" s="617"/>
      <c r="F270" s="617"/>
      <c r="G270" s="617"/>
      <c r="H270" s="617"/>
      <c r="I270" s="617"/>
      <c r="J270" s="617"/>
      <c r="K270" s="1691">
        <f>SUM(K263:K269)</f>
        <v>40887</v>
      </c>
      <c r="L270" s="1691">
        <f>SUM(L263:L269)</f>
        <v>52637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v>4779</v>
      </c>
      <c r="E276" s="617"/>
      <c r="F276" s="617"/>
      <c r="G276" s="617"/>
      <c r="H276" s="617"/>
      <c r="I276" s="617"/>
      <c r="J276" s="617"/>
      <c r="K276" s="1693">
        <f>D276</f>
        <v>4779</v>
      </c>
      <c r="L276" s="466">
        <v>5400</v>
      </c>
    </row>
    <row r="277" spans="1:12" ht="12.75" customHeight="1" thickBot="1" x14ac:dyDescent="0.25">
      <c r="A277" s="1712" t="s">
        <v>37</v>
      </c>
      <c r="B277" s="1690" t="s">
        <v>36</v>
      </c>
      <c r="C277" s="617"/>
      <c r="D277" s="1691">
        <f>SUM(D272:D276)</f>
        <v>4779</v>
      </c>
      <c r="E277" s="617"/>
      <c r="F277" s="617"/>
      <c r="G277" s="617"/>
      <c r="H277" s="617"/>
      <c r="I277" s="617"/>
      <c r="J277" s="617"/>
      <c r="K277" s="1691">
        <f>SUM(K272:K276)</f>
        <v>4779</v>
      </c>
      <c r="L277" s="1691">
        <f>SUM(L272:L276)</f>
        <v>5400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62945</v>
      </c>
      <c r="E279" s="617"/>
      <c r="F279" s="617"/>
      <c r="G279" s="617"/>
      <c r="H279" s="617"/>
      <c r="I279" s="617"/>
      <c r="J279" s="617"/>
      <c r="K279" s="1698">
        <f>SUM(K238,K243,K257,K261,K270,K277,K278)</f>
        <v>62945</v>
      </c>
      <c r="L279" s="1698">
        <f>SUM(L238,L243,L257,L261,L270,L277,L278)</f>
        <v>78487</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1">
        <f>SUM(D229,D279,D280,D285)</f>
        <v>103157</v>
      </c>
      <c r="E295" s="617"/>
      <c r="F295" s="617"/>
      <c r="G295" s="617"/>
      <c r="H295" s="1691">
        <f>H293</f>
        <v>0</v>
      </c>
      <c r="I295" s="617"/>
      <c r="J295" s="617"/>
      <c r="K295" s="1691">
        <f>SUM(K229,K279,K280,K285,K293,K294)</f>
        <v>103157</v>
      </c>
      <c r="L295" s="1691">
        <f>SUM(L229,L279,L280,L285,L293,L294)</f>
        <v>122717</v>
      </c>
    </row>
    <row r="296" spans="1:14" ht="13.5" thickTop="1" x14ac:dyDescent="0.2">
      <c r="A296" s="2206" t="s">
        <v>1053</v>
      </c>
      <c r="B296" s="2207"/>
      <c r="C296" s="617"/>
      <c r="D296" s="619"/>
      <c r="E296" s="617"/>
      <c r="F296" s="617"/>
      <c r="G296" s="617"/>
      <c r="H296" s="688"/>
      <c r="I296" s="617"/>
      <c r="J296" s="617"/>
      <c r="K296" s="1705">
        <f>'Revenues 9-14'!G275-'Expenditures 15-22'!K295</f>
        <v>-45012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0" t="s">
        <v>1053</v>
      </c>
      <c r="B313" s="2191"/>
      <c r="C313" s="627"/>
      <c r="D313" s="627"/>
      <c r="E313" s="627"/>
      <c r="F313" s="627"/>
      <c r="G313" s="627"/>
      <c r="H313" s="627"/>
      <c r="I313" s="627"/>
      <c r="J313" s="627"/>
      <c r="K313" s="1706">
        <f>'Revenues 9-14'!H275-'Expenditures 15-22'!K312</f>
        <v>26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34783</v>
      </c>
      <c r="F320" s="467"/>
      <c r="G320" s="467"/>
      <c r="H320" s="467"/>
      <c r="I320" s="467"/>
      <c r="J320" s="467"/>
      <c r="K320" s="1692">
        <f t="shared" ref="K320:K327" si="24">SUM(C320:J320)</f>
        <v>34783</v>
      </c>
      <c r="L320" s="467">
        <v>35000</v>
      </c>
      <c r="M320" s="666"/>
      <c r="N320" s="666"/>
    </row>
    <row r="321" spans="1:14" s="675" customFormat="1" x14ac:dyDescent="0.2">
      <c r="A321" s="1540" t="s">
        <v>318</v>
      </c>
      <c r="B321" s="698" t="s">
        <v>301</v>
      </c>
      <c r="C321" s="467"/>
      <c r="D321" s="467"/>
      <c r="E321" s="467">
        <v>4325</v>
      </c>
      <c r="F321" s="467"/>
      <c r="G321" s="467"/>
      <c r="H321" s="467"/>
      <c r="I321" s="467"/>
      <c r="J321" s="467"/>
      <c r="K321" s="1692">
        <f t="shared" si="24"/>
        <v>4325</v>
      </c>
      <c r="L321" s="467">
        <v>6000</v>
      </c>
      <c r="M321" s="666"/>
      <c r="N321" s="666"/>
    </row>
    <row r="322" spans="1:14" s="675" customFormat="1" x14ac:dyDescent="0.2">
      <c r="A322" s="1540" t="s">
        <v>256</v>
      </c>
      <c r="B322" s="698" t="s">
        <v>302</v>
      </c>
      <c r="C322" s="467"/>
      <c r="D322" s="467"/>
      <c r="E322" s="467">
        <v>10401</v>
      </c>
      <c r="F322" s="467"/>
      <c r="G322" s="467"/>
      <c r="H322" s="467"/>
      <c r="I322" s="467"/>
      <c r="J322" s="467"/>
      <c r="K322" s="1692">
        <f t="shared" si="24"/>
        <v>10401</v>
      </c>
      <c r="L322" s="467">
        <v>12000</v>
      </c>
      <c r="M322" s="666"/>
      <c r="N322" s="666"/>
    </row>
    <row r="323" spans="1:14" s="675" customFormat="1" x14ac:dyDescent="0.2">
      <c r="A323" s="1540" t="s">
        <v>726</v>
      </c>
      <c r="B323" s="698" t="s">
        <v>303</v>
      </c>
      <c r="C323" s="467"/>
      <c r="D323" s="467"/>
      <c r="E323" s="467">
        <v>28224</v>
      </c>
      <c r="F323" s="467">
        <v>6617</v>
      </c>
      <c r="G323" s="467">
        <v>864</v>
      </c>
      <c r="H323" s="467"/>
      <c r="I323" s="467"/>
      <c r="J323" s="467"/>
      <c r="K323" s="1692">
        <f t="shared" si="24"/>
        <v>35705</v>
      </c>
      <c r="L323" s="467">
        <v>54300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98522</v>
      </c>
      <c r="D325" s="467">
        <v>24335</v>
      </c>
      <c r="E325" s="467"/>
      <c r="F325" s="467"/>
      <c r="G325" s="467"/>
      <c r="H325" s="467"/>
      <c r="I325" s="467"/>
      <c r="J325" s="467"/>
      <c r="K325" s="1692">
        <f t="shared" si="24"/>
        <v>122857</v>
      </c>
      <c r="L325" s="467">
        <v>134099</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14528</v>
      </c>
      <c r="F327" s="467"/>
      <c r="G327" s="467"/>
      <c r="H327" s="467"/>
      <c r="I327" s="467"/>
      <c r="J327" s="467"/>
      <c r="K327" s="1692">
        <f t="shared" si="24"/>
        <v>14528</v>
      </c>
      <c r="L327" s="467">
        <v>20000</v>
      </c>
      <c r="M327" s="666"/>
      <c r="N327" s="666"/>
    </row>
    <row r="328" spans="1:14" s="675" customFormat="1" x14ac:dyDescent="0.2">
      <c r="A328" s="1541" t="s">
        <v>492</v>
      </c>
      <c r="B328" s="691" t="s">
        <v>1194</v>
      </c>
      <c r="C328" s="474"/>
      <c r="D328" s="474"/>
      <c r="E328" s="474">
        <v>34638</v>
      </c>
      <c r="F328" s="474"/>
      <c r="G328" s="474"/>
      <c r="H328" s="474"/>
      <c r="I328" s="474"/>
      <c r="J328" s="474"/>
      <c r="K328" s="1720">
        <f>SUM(C328:J328)</f>
        <v>34638</v>
      </c>
      <c r="L328" s="474">
        <v>35066</v>
      </c>
      <c r="M328" s="666"/>
      <c r="N328" s="666"/>
    </row>
    <row r="329" spans="1:14" s="675" customFormat="1" x14ac:dyDescent="0.2">
      <c r="A329" s="1541" t="s">
        <v>1195</v>
      </c>
      <c r="B329" s="691" t="s">
        <v>1196</v>
      </c>
      <c r="C329" s="474"/>
      <c r="D329" s="474"/>
      <c r="E329" s="474">
        <v>17744</v>
      </c>
      <c r="F329" s="474"/>
      <c r="G329" s="474"/>
      <c r="H329" s="474"/>
      <c r="I329" s="474"/>
      <c r="J329" s="474"/>
      <c r="K329" s="1720">
        <f>SUM(C329:J329)</f>
        <v>17744</v>
      </c>
      <c r="L329" s="474">
        <v>18000</v>
      </c>
      <c r="M329" s="666"/>
      <c r="N329" s="666"/>
    </row>
    <row r="330" spans="1:14" s="675" customFormat="1" ht="12.75" customHeight="1" thickBot="1" x14ac:dyDescent="0.25">
      <c r="A330" s="1721" t="s">
        <v>741</v>
      </c>
      <c r="B330" s="1690" t="s">
        <v>590</v>
      </c>
      <c r="C330" s="1691">
        <f>SUM(C319:C329)</f>
        <v>98522</v>
      </c>
      <c r="D330" s="1691">
        <f t="shared" ref="D330:J330" si="25">SUM(D319:D329)</f>
        <v>24335</v>
      </c>
      <c r="E330" s="1691">
        <f t="shared" si="25"/>
        <v>144643</v>
      </c>
      <c r="F330" s="1691">
        <f t="shared" si="25"/>
        <v>6617</v>
      </c>
      <c r="G330" s="1691">
        <f t="shared" si="25"/>
        <v>864</v>
      </c>
      <c r="H330" s="1691">
        <f t="shared" si="25"/>
        <v>0</v>
      </c>
      <c r="I330" s="1691">
        <f t="shared" si="25"/>
        <v>0</v>
      </c>
      <c r="J330" s="1691">
        <f t="shared" si="25"/>
        <v>0</v>
      </c>
      <c r="K330" s="1691">
        <f>SUM(K319:K329)</f>
        <v>274981</v>
      </c>
      <c r="L330" s="1691">
        <f>SUM(L319:L329)</f>
        <v>314465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98522</v>
      </c>
      <c r="D342" s="1691">
        <f>SUM(D330)</f>
        <v>24335</v>
      </c>
      <c r="E342" s="1691">
        <f>SUM(E330)</f>
        <v>144643</v>
      </c>
      <c r="F342" s="1691">
        <f>SUM(F330)</f>
        <v>6617</v>
      </c>
      <c r="G342" s="1691">
        <f>SUM(G330)</f>
        <v>864</v>
      </c>
      <c r="H342" s="1691">
        <f>SUM(H330,H334,H340)</f>
        <v>0</v>
      </c>
      <c r="I342" s="1691">
        <f>SUM(I330)</f>
        <v>0</v>
      </c>
      <c r="J342" s="1691">
        <f>SUM(J330)</f>
        <v>0</v>
      </c>
      <c r="K342" s="1691">
        <f>SUM(K330,K334,K340)</f>
        <v>274981</v>
      </c>
      <c r="L342" s="1698">
        <f>SUM(L330,L340,L341)</f>
        <v>314465</v>
      </c>
    </row>
    <row r="343" spans="1:14" ht="12.75" customHeight="1" thickTop="1" x14ac:dyDescent="0.2">
      <c r="A343" s="2192" t="s">
        <v>1053</v>
      </c>
      <c r="B343" s="2193"/>
      <c r="C343" s="617"/>
      <c r="D343" s="617"/>
      <c r="E343" s="617"/>
      <c r="F343" s="617"/>
      <c r="G343" s="617"/>
      <c r="H343" s="617"/>
      <c r="I343" s="617"/>
      <c r="J343" s="617"/>
      <c r="K343" s="1705">
        <f>'Revenues 9-14'!J275-'Expenditures 15-22'!K342</f>
        <v>108740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20992</v>
      </c>
      <c r="H348" s="466"/>
      <c r="I348" s="467"/>
      <c r="J348" s="467"/>
      <c r="K348" s="1692">
        <f>SUM(C348:J348)</f>
        <v>20992</v>
      </c>
      <c r="L348" s="466">
        <v>30000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20992</v>
      </c>
      <c r="H350" s="1691">
        <f t="shared" si="26"/>
        <v>0</v>
      </c>
      <c r="I350" s="1691">
        <f t="shared" si="26"/>
        <v>0</v>
      </c>
      <c r="J350" s="1691">
        <f t="shared" si="26"/>
        <v>0</v>
      </c>
      <c r="K350" s="1691">
        <f t="shared" si="26"/>
        <v>20992</v>
      </c>
      <c r="L350" s="1691">
        <f t="shared" si="26"/>
        <v>30000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20992</v>
      </c>
      <c r="H352" s="1691">
        <f t="shared" si="27"/>
        <v>0</v>
      </c>
      <c r="I352" s="1691">
        <f t="shared" si="27"/>
        <v>0</v>
      </c>
      <c r="J352" s="1691">
        <f t="shared" si="27"/>
        <v>0</v>
      </c>
      <c r="K352" s="1691">
        <f t="shared" si="27"/>
        <v>20992</v>
      </c>
      <c r="L352" s="1691">
        <f t="shared" si="27"/>
        <v>30000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20992</v>
      </c>
      <c r="H367" s="1691">
        <f t="shared" si="28"/>
        <v>0</v>
      </c>
      <c r="I367" s="1691">
        <f t="shared" si="28"/>
        <v>0</v>
      </c>
      <c r="J367" s="1691">
        <f t="shared" si="28"/>
        <v>0</v>
      </c>
      <c r="K367" s="1691">
        <f t="shared" si="28"/>
        <v>20992</v>
      </c>
      <c r="L367" s="1691">
        <f t="shared" si="28"/>
        <v>30000</v>
      </c>
    </row>
    <row r="368" spans="1:14" ht="13.5" thickTop="1" x14ac:dyDescent="0.2">
      <c r="A368" s="2206" t="s">
        <v>1053</v>
      </c>
      <c r="B368" s="2207"/>
      <c r="C368" s="655"/>
      <c r="D368" s="655"/>
      <c r="E368" s="627"/>
      <c r="F368" s="627"/>
      <c r="G368" s="627"/>
      <c r="H368" s="627"/>
      <c r="I368" s="627"/>
      <c r="J368" s="624"/>
      <c r="K368" s="1692">
        <f>'Revenues 9-14'!K275-'Expenditures 15-22'!K367</f>
        <v>51964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4d435f69-8686-490b-bd6d-b153bf22ab50"/>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d21dc803-237d-4c68-8692-8d731fd29118"/>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2018-09-25T20:08:42Z</cp:lastPrinted>
  <dcterms:created xsi:type="dcterms:W3CDTF">2003-10-29T19:06:34Z</dcterms:created>
  <dcterms:modified xsi:type="dcterms:W3CDTF">2018-10-10T15:58:13Z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