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26"/>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 SEFA (4)" sheetId="185" r:id="rId32"/>
    <sheet name="SF&amp;QC Sec-1" sheetId="174" r:id="rId33"/>
    <sheet name="SF&amp;QC Sec-2" sheetId="175" r:id="rId34"/>
    <sheet name="SF&amp;QC Sec-3" sheetId="176" r:id="rId35"/>
    <sheet name="SSPAF" sheetId="177" r:id="rId36"/>
  </sheets>
  <definedNames>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27">'SEFA NOTES'!$A$1:$F$52</definedName>
    <definedName name="_xlnm.Print_Area" localSheetId="26">'SEFA Reconcile'!$A$1:$E$49</definedName>
    <definedName name="_xlnm.Print_Area" localSheetId="32">'SF&amp;QC Sec-1'!$A$1:$J$63</definedName>
    <definedName name="_xlnm.Print_Area" localSheetId="34">'SF&amp;QC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workbook>
</file>

<file path=xl/calcChain.xml><?xml version="1.0" encoding="utf-8"?>
<calcChain xmlns="http://schemas.openxmlformats.org/spreadsheetml/2006/main">
  <c r="M15" i="185" l="1"/>
  <c r="I15" i="185"/>
  <c r="G15" i="185"/>
  <c r="L15" i="185" s="1"/>
  <c r="E15" i="185"/>
  <c r="L27" i="185"/>
  <c r="L26" i="185"/>
  <c r="L25" i="185"/>
  <c r="L24" i="185"/>
  <c r="L23" i="185"/>
  <c r="L22" i="185"/>
  <c r="L21" i="185"/>
  <c r="L19" i="185"/>
  <c r="L18" i="185"/>
  <c r="L17" i="185"/>
  <c r="L16" i="185"/>
  <c r="L14" i="185"/>
  <c r="L13" i="185"/>
  <c r="L12" i="185"/>
  <c r="L11" i="185"/>
  <c r="B4" i="185"/>
  <c r="I26" i="184"/>
  <c r="G26" i="184"/>
  <c r="F26" i="184"/>
  <c r="E26" i="184"/>
  <c r="I20" i="184"/>
  <c r="G20" i="184"/>
  <c r="E20" i="184"/>
  <c r="I19" i="184"/>
  <c r="G19" i="184"/>
  <c r="L19" i="184" s="1"/>
  <c r="F19" i="184"/>
  <c r="E19" i="184"/>
  <c r="I16" i="184"/>
  <c r="G16" i="184"/>
  <c r="F16" i="184"/>
  <c r="F20" i="184" s="1"/>
  <c r="F15" i="185" s="1"/>
  <c r="E16" i="184"/>
  <c r="I15" i="184"/>
  <c r="G15" i="184"/>
  <c r="F15" i="184"/>
  <c r="E15" i="184"/>
  <c r="L27" i="184"/>
  <c r="L26" i="184"/>
  <c r="L25" i="184"/>
  <c r="L24" i="184"/>
  <c r="L23" i="184"/>
  <c r="L22" i="184"/>
  <c r="L21" i="184"/>
  <c r="L20" i="184"/>
  <c r="L18" i="184"/>
  <c r="L17" i="184"/>
  <c r="L15" i="184"/>
  <c r="L14" i="184"/>
  <c r="L13" i="184"/>
  <c r="L12" i="184"/>
  <c r="L11" i="184"/>
  <c r="B4" i="184"/>
  <c r="I27" i="183"/>
  <c r="G27" i="183"/>
  <c r="L27" i="183" s="1"/>
  <c r="F27" i="183"/>
  <c r="E27" i="183"/>
  <c r="M17" i="183"/>
  <c r="I17" i="183"/>
  <c r="G17" i="183"/>
  <c r="F17" i="183"/>
  <c r="E17" i="183"/>
  <c r="M16" i="183"/>
  <c r="I16" i="183"/>
  <c r="G16" i="183"/>
  <c r="L16" i="183" s="1"/>
  <c r="F16" i="183"/>
  <c r="E16" i="183"/>
  <c r="L26" i="183"/>
  <c r="L25" i="183"/>
  <c r="L24" i="183"/>
  <c r="L23" i="183"/>
  <c r="L22" i="183"/>
  <c r="L21" i="183"/>
  <c r="L20" i="183"/>
  <c r="L19" i="183"/>
  <c r="L18" i="183"/>
  <c r="L15" i="183"/>
  <c r="L14" i="183"/>
  <c r="L13" i="183"/>
  <c r="L12" i="183"/>
  <c r="L11" i="183"/>
  <c r="B4" i="183"/>
  <c r="I27" i="179"/>
  <c r="G27" i="179"/>
  <c r="E27" i="179"/>
  <c r="F27" i="179"/>
  <c r="M21" i="179"/>
  <c r="I21" i="179"/>
  <c r="G21" i="179"/>
  <c r="F21" i="179"/>
  <c r="E21" i="179"/>
  <c r="M18" i="179"/>
  <c r="I18" i="179"/>
  <c r="G18" i="179"/>
  <c r="F18" i="179"/>
  <c r="E18" i="179"/>
  <c r="M15" i="179"/>
  <c r="I15" i="179"/>
  <c r="G15" i="179"/>
  <c r="F15" i="179"/>
  <c r="E15" i="179"/>
  <c r="F107" i="5"/>
  <c r="D26" i="181"/>
  <c r="E10" i="108"/>
  <c r="D25" i="181"/>
  <c r="D24" i="181"/>
  <c r="D21" i="181"/>
  <c r="D18" i="181"/>
  <c r="D17" i="181"/>
  <c r="J15" i="12"/>
  <c r="J31" i="8"/>
  <c r="D107" i="5"/>
  <c r="L20" i="185" l="1"/>
  <c r="L16" i="184"/>
  <c r="L17" i="183"/>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F79" i="34"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7"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4"/>
  <c r="B1" i="183"/>
  <c r="B2" i="179"/>
  <c r="B2" i="184"/>
  <c r="B2" i="183"/>
  <c r="B2" i="185"/>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D7733" i="106" s="1"/>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B5286" i="106" s="1"/>
  <c r="D5286" i="106" s="1"/>
  <c r="C228" i="5"/>
  <c r="B5304" i="106" s="1"/>
  <c r="D5304" i="106" s="1"/>
  <c r="C259" i="5"/>
  <c r="B7761" i="106"/>
  <c r="L127" i="29"/>
  <c r="L129" i="29" s="1"/>
  <c r="L139" i="29"/>
  <c r="L149" i="29"/>
  <c r="I7" i="145"/>
  <c r="I6" i="145"/>
  <c r="D78" i="36"/>
  <c r="K75" i="29"/>
  <c r="K130" i="29"/>
  <c r="K185" i="29"/>
  <c r="K122" i="29"/>
  <c r="K67" i="29"/>
  <c r="K64" i="29"/>
  <c r="K59" i="29"/>
  <c r="E15" i="145" s="1"/>
  <c r="K56" i="29"/>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B2977" i="106" s="1"/>
  <c r="D2977" i="106" s="1"/>
  <c r="K83" i="29"/>
  <c r="K93" i="29"/>
  <c r="K94" i="29"/>
  <c r="K95" i="29"/>
  <c r="B7001" i="106" s="1"/>
  <c r="D7001" i="106" s="1"/>
  <c r="K96" i="29"/>
  <c r="K97" i="29"/>
  <c r="K98" i="29"/>
  <c r="K99" i="29"/>
  <c r="B7010" i="106" s="1"/>
  <c r="D7010" i="106" s="1"/>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D11" i="37" s="1"/>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s="1"/>
  <c r="B5105" i="106"/>
  <c r="D5105" i="106"/>
  <c r="B5106" i="106"/>
  <c r="D5106" i="106" s="1"/>
  <c r="B5107" i="106"/>
  <c r="D5107" i="106"/>
  <c r="B5108" i="106"/>
  <c r="D5108" i="106" s="1"/>
  <c r="B5109" i="106"/>
  <c r="D5109" i="106" s="1"/>
  <c r="B5110" i="106"/>
  <c r="D5110" i="106" s="1"/>
  <c r="B5111" i="106"/>
  <c r="D5111" i="106"/>
  <c r="B5113" i="106"/>
  <c r="D5113" i="106" s="1"/>
  <c r="B5114" i="106"/>
  <c r="D5114" i="106"/>
  <c r="B5115" i="106"/>
  <c r="D5115" i="106" s="1"/>
  <c r="B5116" i="106"/>
  <c r="D5116" i="106"/>
  <c r="B5117" i="106"/>
  <c r="D5117" i="106" s="1"/>
  <c r="B5118" i="106"/>
  <c r="D5118" i="106"/>
  <c r="B5119" i="106"/>
  <c r="D5119" i="106" s="1"/>
  <c r="B5122" i="106"/>
  <c r="D5122" i="106"/>
  <c r="B5123" i="106"/>
  <c r="D5123" i="106" s="1"/>
  <c r="B5124" i="106"/>
  <c r="D5124" i="106"/>
  <c r="B5126" i="106"/>
  <c r="D5126" i="106" s="1"/>
  <c r="B5127" i="106"/>
  <c r="D5127" i="106"/>
  <c r="D5128" i="106"/>
  <c r="D5129" i="106"/>
  <c r="D5130" i="106"/>
  <c r="D5131" i="106"/>
  <c r="B5133" i="106"/>
  <c r="D5133" i="106" s="1"/>
  <c r="B5134" i="106"/>
  <c r="D5134" i="106"/>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s="1"/>
  <c r="B5241" i="106"/>
  <c r="D5241" i="106"/>
  <c r="B5242" i="106"/>
  <c r="D5242" i="106" s="1"/>
  <c r="B5243" i="106"/>
  <c r="D5243" i="106"/>
  <c r="D5244" i="106"/>
  <c r="D5245" i="106"/>
  <c r="B5247" i="106"/>
  <c r="D5247" i="106"/>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c r="B6302" i="106"/>
  <c r="D6302" i="106" s="1"/>
  <c r="B6303" i="106"/>
  <c r="D6303" i="106" s="1"/>
  <c r="B6304" i="106"/>
  <c r="D6304" i="106" s="1"/>
  <c r="B6305" i="106"/>
  <c r="D6305" i="106" s="1"/>
  <c r="B6307" i="106"/>
  <c r="D6307" i="106" s="1"/>
  <c r="B6308" i="106"/>
  <c r="D6308" i="106"/>
  <c r="B6309" i="106"/>
  <c r="D6309" i="106" s="1"/>
  <c r="B6310" i="106"/>
  <c r="D6310" i="106"/>
  <c r="B6311" i="106"/>
  <c r="D6311" i="106" s="1"/>
  <c r="B6312" i="106"/>
  <c r="D6312" i="106" s="1"/>
  <c r="B6313" i="106"/>
  <c r="D6313" i="106" s="1"/>
  <c r="B6314" i="106"/>
  <c r="D6314" i="106" s="1"/>
  <c r="B6315" i="106"/>
  <c r="D6315" i="106" s="1"/>
  <c r="B6316" i="106"/>
  <c r="D6316" i="106" s="1"/>
  <c r="B6317" i="106"/>
  <c r="D6317" i="106" s="1"/>
  <c r="B6319" i="106"/>
  <c r="D6319" i="106"/>
  <c r="B6320" i="106"/>
  <c r="D6320" i="106" s="1"/>
  <c r="B6321" i="106"/>
  <c r="D6321" i="106"/>
  <c r="B6322" i="106"/>
  <c r="D6322" i="106" s="1"/>
  <c r="B6323" i="106"/>
  <c r="D6323" i="106"/>
  <c r="B6324" i="106"/>
  <c r="D6324" i="106" s="1"/>
  <c r="B6325" i="106"/>
  <c r="D6325" i="106"/>
  <c r="B6326" i="106"/>
  <c r="D6326" i="106" s="1"/>
  <c r="B6327" i="106"/>
  <c r="D6327" i="106"/>
  <c r="B6328" i="106"/>
  <c r="D6328" i="106" s="1"/>
  <c r="B6329" i="106"/>
  <c r="D6329" i="106"/>
  <c r="B6330" i="106"/>
  <c r="D6330" i="106" s="1"/>
  <c r="B6331" i="106"/>
  <c r="D6331" i="106"/>
  <c r="B6332" i="106"/>
  <c r="D6332" i="106" s="1"/>
  <c r="B6333" i="106"/>
  <c r="D6333" i="106"/>
  <c r="B6334" i="106"/>
  <c r="D6334" i="106" s="1"/>
  <c r="B6335" i="106"/>
  <c r="D6335" i="106"/>
  <c r="B6336" i="106"/>
  <c r="D6336" i="106" s="1"/>
  <c r="B6337" i="106"/>
  <c r="D6337" i="106"/>
  <c r="B6338" i="106"/>
  <c r="D6338" i="106" s="1"/>
  <c r="B6339" i="106"/>
  <c r="D6339" i="106" s="1"/>
  <c r="B6340" i="106"/>
  <c r="D6340" i="106"/>
  <c r="B6341" i="106"/>
  <c r="D6341" i="106" s="1"/>
  <c r="B6342" i="106"/>
  <c r="D6342" i="106"/>
  <c r="B6343" i="106"/>
  <c r="D6343" i="106" s="1"/>
  <c r="B6344" i="106"/>
  <c r="D6344" i="106" s="1"/>
  <c r="B6345" i="106"/>
  <c r="D6345" i="106" s="1"/>
  <c r="B6346" i="106"/>
  <c r="D6346" i="106" s="1"/>
  <c r="B6347" i="106"/>
  <c r="D6347" i="106" s="1"/>
  <c r="B6348" i="106"/>
  <c r="D6348" i="106"/>
  <c r="B6349" i="106"/>
  <c r="D6349" i="106" s="1"/>
  <c r="B6350" i="106"/>
  <c r="D6350" i="106"/>
  <c r="B6353" i="106"/>
  <c r="D6353" i="106" s="1"/>
  <c r="B6354" i="106"/>
  <c r="D6354" i="106" s="1"/>
  <c r="B6355" i="106"/>
  <c r="D6355" i="106" s="1"/>
  <c r="B6356" i="106"/>
  <c r="D6356" i="106" s="1"/>
  <c r="B6358" i="106"/>
  <c r="D6358" i="106" s="1"/>
  <c r="B6359" i="106"/>
  <c r="D6359" i="106"/>
  <c r="B6360" i="106"/>
  <c r="D6360" i="106" s="1"/>
  <c r="B6361" i="106"/>
  <c r="D6361" i="106"/>
  <c r="B6362" i="106"/>
  <c r="D6362" i="106" s="1"/>
  <c r="B6363" i="106"/>
  <c r="D6363" i="106" s="1"/>
  <c r="B6364" i="106"/>
  <c r="D6364" i="106" s="1"/>
  <c r="B6365" i="106"/>
  <c r="D6365" i="106" s="1"/>
  <c r="B6366" i="106"/>
  <c r="D6366" i="106" s="1"/>
  <c r="B6367" i="106"/>
  <c r="D6367" i="106"/>
  <c r="B6368" i="106"/>
  <c r="D6368" i="106" s="1"/>
  <c r="B6369" i="106"/>
  <c r="D6369" i="106"/>
  <c r="B6370" i="106"/>
  <c r="D6370" i="106" s="1"/>
  <c r="B6371" i="106"/>
  <c r="D6371" i="106" s="1"/>
  <c r="B6372" i="106"/>
  <c r="D6372" i="106" s="1"/>
  <c r="B6373" i="106"/>
  <c r="D6373" i="106" s="1"/>
  <c r="B6374" i="106"/>
  <c r="D6374" i="106" s="1"/>
  <c r="B6375" i="106"/>
  <c r="D6375" i="106"/>
  <c r="B6376" i="106"/>
  <c r="D6376" i="106" s="1"/>
  <c r="B6377" i="106"/>
  <c r="D6377" i="106"/>
  <c r="B6378" i="106"/>
  <c r="D6378" i="106" s="1"/>
  <c r="B6379" i="106"/>
  <c r="D6379" i="106" s="1"/>
  <c r="B6380" i="106"/>
  <c r="D6380" i="106" s="1"/>
  <c r="B6381" i="106"/>
  <c r="D6381" i="106" s="1"/>
  <c r="B6382" i="106"/>
  <c r="D6382" i="106" s="1"/>
  <c r="B6383" i="106"/>
  <c r="D6383" i="106"/>
  <c r="B6384" i="106"/>
  <c r="D6384" i="106" s="1"/>
  <c r="B6385" i="106"/>
  <c r="D6385" i="106"/>
  <c r="B6386" i="106"/>
  <c r="D6386" i="106" s="1"/>
  <c r="B6387" i="106"/>
  <c r="D6387" i="106" s="1"/>
  <c r="B6388" i="106"/>
  <c r="D6388" i="106" s="1"/>
  <c r="B6389" i="106"/>
  <c r="D6389" i="106" s="1"/>
  <c r="B6390" i="106"/>
  <c r="D6390" i="106" s="1"/>
  <c r="B6391" i="106"/>
  <c r="D6391" i="106"/>
  <c r="B6392" i="106"/>
  <c r="D6392" i="106" s="1"/>
  <c r="B6393" i="106"/>
  <c r="D6393" i="106"/>
  <c r="B6394" i="106"/>
  <c r="D6394" i="106" s="1"/>
  <c r="B6395" i="106"/>
  <c r="D6395" i="106" s="1"/>
  <c r="B6398" i="106"/>
  <c r="D6398" i="106" s="1"/>
  <c r="B6399" i="106"/>
  <c r="D6399" i="106" s="1"/>
  <c r="B6401" i="106"/>
  <c r="D6401" i="106" s="1"/>
  <c r="B6402" i="106"/>
  <c r="D6402" i="106"/>
  <c r="B6403" i="106"/>
  <c r="D6403" i="106" s="1"/>
  <c r="B6404" i="106"/>
  <c r="D6404" i="106"/>
  <c r="B6405" i="106"/>
  <c r="D6405" i="106" s="1"/>
  <c r="B6406" i="106"/>
  <c r="D6406" i="106" s="1"/>
  <c r="B6407" i="106"/>
  <c r="D6407" i="106" s="1"/>
  <c r="B6408" i="106"/>
  <c r="D6408" i="106" s="1"/>
  <c r="B6410" i="106"/>
  <c r="D6410" i="106" s="1"/>
  <c r="B6411" i="106"/>
  <c r="D6411" i="106"/>
  <c r="B6412" i="106"/>
  <c r="D6412" i="106" s="1"/>
  <c r="B6413"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c r="B6619" i="106"/>
  <c r="D6619" i="106" s="1"/>
  <c r="B6620" i="106"/>
  <c r="D6620" i="106"/>
  <c r="B6621" i="106"/>
  <c r="D6621" i="106" s="1"/>
  <c r="B6622" i="106"/>
  <c r="D6622" i="106" s="1"/>
  <c r="B6623" i="106"/>
  <c r="D6623" i="106" s="1"/>
  <c r="B6624" i="106"/>
  <c r="D6624" i="106" s="1"/>
  <c r="B6625" i="106"/>
  <c r="D6625" i="106" s="1"/>
  <c r="B6626" i="106"/>
  <c r="D6626" i="106" s="1"/>
  <c r="B6627" i="106"/>
  <c r="D6627" i="106" s="1"/>
  <c r="B6628" i="106"/>
  <c r="D6628" i="106"/>
  <c r="B6629" i="106"/>
  <c r="D6629" i="106" s="1"/>
  <c r="B6630" i="106"/>
  <c r="D6630" i="106" s="1"/>
  <c r="B6631" i="106"/>
  <c r="D6631" i="106" s="1"/>
  <c r="B6632" i="106"/>
  <c r="D6632" i="106" s="1"/>
  <c r="B6633" i="106"/>
  <c r="D6633" i="106" s="1"/>
  <c r="B6634" i="106"/>
  <c r="D6634" i="106"/>
  <c r="B6635" i="106"/>
  <c r="D6635" i="106" s="1"/>
  <c r="B6636" i="106"/>
  <c r="D6636" i="106"/>
  <c r="B6637" i="106"/>
  <c r="D6637" i="106" s="1"/>
  <c r="B6638" i="106"/>
  <c r="D6638" i="106" s="1"/>
  <c r="B6639" i="106"/>
  <c r="D6639" i="106"/>
  <c r="B6640" i="106"/>
  <c r="D6640" i="106" s="1"/>
  <c r="B6641" i="106"/>
  <c r="D6641" i="106" s="1"/>
  <c r="B6642" i="106"/>
  <c r="D6642" i="106" s="1"/>
  <c r="B6643" i="106"/>
  <c r="D6643" i="106"/>
  <c r="B6644" i="106"/>
  <c r="D6644" i="106" s="1"/>
  <c r="B6645" i="106"/>
  <c r="D6645" i="106"/>
  <c r="B6646" i="106"/>
  <c r="D6646" i="106" s="1"/>
  <c r="B6647" i="106"/>
  <c r="D6647" i="106"/>
  <c r="B6648" i="106"/>
  <c r="D6648" i="106" s="1"/>
  <c r="B6649" i="106"/>
  <c r="D6649" i="106" s="1"/>
  <c r="B6650" i="106"/>
  <c r="D6650" i="106" s="1"/>
  <c r="B6651" i="106"/>
  <c r="D6651" i="106"/>
  <c r="B6652" i="106"/>
  <c r="D6652" i="106" s="1"/>
  <c r="B6653" i="106"/>
  <c r="D6653" i="106"/>
  <c r="B6654" i="106"/>
  <c r="D6654" i="106" s="1"/>
  <c r="B6655" i="106"/>
  <c r="D6655" i="106"/>
  <c r="B6656" i="106"/>
  <c r="D6656" i="106" s="1"/>
  <c r="B6657" i="106"/>
  <c r="D6657" i="106" s="1"/>
  <c r="B6658" i="106"/>
  <c r="D6658" i="106" s="1"/>
  <c r="B6659" i="106"/>
  <c r="D6659" i="106"/>
  <c r="B6660" i="106"/>
  <c r="D6660" i="106" s="1"/>
  <c r="B6661" i="106"/>
  <c r="D6661" i="106"/>
  <c r="B6662" i="106"/>
  <c r="D6662" i="106" s="1"/>
  <c r="B6663" i="106"/>
  <c r="D6663" i="106"/>
  <c r="B6664" i="106"/>
  <c r="D6664" i="106" s="1"/>
  <c r="B6665" i="106"/>
  <c r="D6665" i="106" s="1"/>
  <c r="B6666" i="106"/>
  <c r="D6666" i="106" s="1"/>
  <c r="B6667" i="106"/>
  <c r="D6667" i="106"/>
  <c r="B6668" i="106"/>
  <c r="D6668" i="106" s="1"/>
  <c r="B6669" i="106"/>
  <c r="D6669" i="106"/>
  <c r="B6670" i="106"/>
  <c r="D6670" i="106" s="1"/>
  <c r="B6671" i="106"/>
  <c r="D6671" i="106"/>
  <c r="B6672" i="106"/>
  <c r="D6672" i="106" s="1"/>
  <c r="B6673" i="106"/>
  <c r="D6673" i="106" s="1"/>
  <c r="B6674" i="106"/>
  <c r="D6674" i="106" s="1"/>
  <c r="B6675" i="106"/>
  <c r="D6675" i="106"/>
  <c r="B6676" i="106"/>
  <c r="D6676" i="106" s="1"/>
  <c r="B6677" i="106"/>
  <c r="D6677" i="106"/>
  <c r="B6678" i="106"/>
  <c r="D6678" i="106" s="1"/>
  <c r="B6679" i="106"/>
  <c r="D6679" i="106"/>
  <c r="B6680" i="106"/>
  <c r="D6680" i="106" s="1"/>
  <c r="B6681" i="106"/>
  <c r="D6681" i="106" s="1"/>
  <c r="B6682" i="106"/>
  <c r="D6682" i="106" s="1"/>
  <c r="B6683" i="106"/>
  <c r="D6683" i="106"/>
  <c r="B6684" i="106"/>
  <c r="D6684" i="106" s="1"/>
  <c r="B6685" i="106"/>
  <c r="D6685" i="106"/>
  <c r="B6686" i="106"/>
  <c r="D6686" i="106" s="1"/>
  <c r="B6687" i="106"/>
  <c r="D6687" i="106"/>
  <c r="B6688" i="106"/>
  <c r="D6688" i="106" s="1"/>
  <c r="B6689" i="106"/>
  <c r="D6689" i="106" s="1"/>
  <c r="B6690" i="106"/>
  <c r="D6690" i="106" s="1"/>
  <c r="B6691" i="106"/>
  <c r="D6691" i="106"/>
  <c r="B6692" i="106"/>
  <c r="D6692" i="106" s="1"/>
  <c r="B6693" i="106"/>
  <c r="D6693" i="106"/>
  <c r="B6694" i="106"/>
  <c r="D6694" i="106" s="1"/>
  <c r="B6695" i="106"/>
  <c r="D6695" i="106"/>
  <c r="B6696" i="106"/>
  <c r="D6696" i="106" s="1"/>
  <c r="B6697" i="106"/>
  <c r="D6697" i="106" s="1"/>
  <c r="B6698" i="106"/>
  <c r="D6698" i="106" s="1"/>
  <c r="B6699" i="106"/>
  <c r="D6699" i="106"/>
  <c r="B6700" i="106"/>
  <c r="D6700" i="106" s="1"/>
  <c r="B6701" i="106"/>
  <c r="D6701" i="106"/>
  <c r="B6702" i="106"/>
  <c r="D6702" i="106" s="1"/>
  <c r="B6703" i="106"/>
  <c r="D6703" i="106"/>
  <c r="B6704" i="106"/>
  <c r="D6704" i="106" s="1"/>
  <c r="B6705" i="106"/>
  <c r="D6705" i="106" s="1"/>
  <c r="B6706" i="106"/>
  <c r="D6706" i="106" s="1"/>
  <c r="B6707" i="106"/>
  <c r="D6707" i="106"/>
  <c r="B6708" i="106"/>
  <c r="D6708" i="106" s="1"/>
  <c r="B6709" i="106"/>
  <c r="D6709" i="106"/>
  <c r="B6710" i="106"/>
  <c r="D6710" i="106" s="1"/>
  <c r="B6711" i="106"/>
  <c r="D6711" i="106"/>
  <c r="B6712" i="106"/>
  <c r="D6712" i="106" s="1"/>
  <c r="B6713" i="106"/>
  <c r="D6713" i="106" s="1"/>
  <c r="B6714" i="106"/>
  <c r="D6714" i="106" s="1"/>
  <c r="B6715" i="106"/>
  <c r="D6715" i="106"/>
  <c r="B6716" i="106"/>
  <c r="D6716" i="106" s="1"/>
  <c r="B6717" i="106"/>
  <c r="D6717" i="106"/>
  <c r="B6718" i="106"/>
  <c r="D6718" i="106" s="1"/>
  <c r="B6719" i="106"/>
  <c r="D6719" i="106"/>
  <c r="B6720" i="106"/>
  <c r="D6720" i="106" s="1"/>
  <c r="B6721" i="106"/>
  <c r="D6721" i="106" s="1"/>
  <c r="B6722" i="106"/>
  <c r="D6722" i="106" s="1"/>
  <c r="B6723" i="106"/>
  <c r="D6723" i="106"/>
  <c r="B6724" i="106"/>
  <c r="D6724" i="106" s="1"/>
  <c r="B6725" i="106"/>
  <c r="D6725" i="106"/>
  <c r="B6726" i="106"/>
  <c r="D6726" i="106" s="1"/>
  <c r="B6727" i="106"/>
  <c r="D6727" i="106" s="1"/>
  <c r="B6728" i="106"/>
  <c r="D6728" i="106" s="1"/>
  <c r="B6729" i="106"/>
  <c r="D6729" i="106"/>
  <c r="B6730" i="106"/>
  <c r="D6730" i="106" s="1"/>
  <c r="B6731" i="106"/>
  <c r="D6731" i="106"/>
  <c r="B6732" i="106"/>
  <c r="D6732" i="106" s="1"/>
  <c r="B6733" i="106"/>
  <c r="D6733" i="106"/>
  <c r="B6734" i="106"/>
  <c r="D6734" i="106" s="1"/>
  <c r="B6735" i="106"/>
  <c r="D6735" i="106"/>
  <c r="B6736" i="106"/>
  <c r="D6736" i="106" s="1"/>
  <c r="B6737" i="106"/>
  <c r="D6737" i="106"/>
  <c r="B6738" i="106"/>
  <c r="D6738" i="106" s="1"/>
  <c r="B6739" i="106"/>
  <c r="D6739" i="106"/>
  <c r="B6740" i="106"/>
  <c r="D6740" i="106" s="1"/>
  <c r="B6741" i="106"/>
  <c r="D6741" i="106"/>
  <c r="B6742" i="106"/>
  <c r="D6742" i="106" s="1"/>
  <c r="B6743" i="106"/>
  <c r="D6743" i="106"/>
  <c r="B6744" i="106"/>
  <c r="D6744" i="106" s="1"/>
  <c r="B6745" i="106"/>
  <c r="D6745" i="106"/>
  <c r="B6746" i="106"/>
  <c r="D6746" i="106" s="1"/>
  <c r="B6747" i="106"/>
  <c r="D6747" i="106"/>
  <c r="B6748" i="106"/>
  <c r="D6748" i="106" s="1"/>
  <c r="B6749" i="106"/>
  <c r="D6749" i="106"/>
  <c r="B6750" i="106"/>
  <c r="D6750" i="106" s="1"/>
  <c r="B6751" i="106"/>
  <c r="D6751" i="106"/>
  <c r="B6752" i="106"/>
  <c r="D6752" i="106" s="1"/>
  <c r="B6753" i="106"/>
  <c r="D6753" i="106"/>
  <c r="B6754" i="106"/>
  <c r="D6754" i="106" s="1"/>
  <c r="B6755" i="106"/>
  <c r="D6755" i="106"/>
  <c r="B6756" i="106"/>
  <c r="D6756" i="106" s="1"/>
  <c r="B6757" i="106"/>
  <c r="D6757" i="106"/>
  <c r="B6758" i="106"/>
  <c r="D6758" i="106" s="1"/>
  <c r="B6759" i="106"/>
  <c r="D6759" i="106"/>
  <c r="B6760" i="106"/>
  <c r="D6760" i="106" s="1"/>
  <c r="B6761" i="106"/>
  <c r="D6761" i="106"/>
  <c r="B6762" i="106"/>
  <c r="D6762" i="106" s="1"/>
  <c r="B6763" i="106"/>
  <c r="D6763" i="106"/>
  <c r="B6764" i="106"/>
  <c r="D6764" i="106" s="1"/>
  <c r="B6765" i="106"/>
  <c r="D6765" i="106"/>
  <c r="B6766" i="106"/>
  <c r="D6766" i="106" s="1"/>
  <c r="B6767" i="106"/>
  <c r="D6767" i="106"/>
  <c r="B6768" i="106"/>
  <c r="D6768" i="106" s="1"/>
  <c r="B6769" i="106"/>
  <c r="D6769" i="106"/>
  <c r="B6770" i="106"/>
  <c r="D6770" i="106" s="1"/>
  <c r="B6771" i="106"/>
  <c r="D6771" i="106"/>
  <c r="B6772" i="106"/>
  <c r="D6772" i="106" s="1"/>
  <c r="B6773" i="106"/>
  <c r="D6773" i="106"/>
  <c r="B6774" i="106"/>
  <c r="D6774" i="106" s="1"/>
  <c r="B6775" i="106"/>
  <c r="D6775" i="106"/>
  <c r="B6776" i="106"/>
  <c r="D6776" i="106" s="1"/>
  <c r="B6777" i="106"/>
  <c r="D6777" i="106"/>
  <c r="B6778" i="106"/>
  <c r="D6778" i="106" s="1"/>
  <c r="B6779" i="106"/>
  <c r="D6779" i="106"/>
  <c r="B6780" i="106"/>
  <c r="D6780" i="106" s="1"/>
  <c r="B6781" i="106"/>
  <c r="D6781" i="106"/>
  <c r="B6782" i="106"/>
  <c r="D6782" i="106" s="1"/>
  <c r="B6783" i="106"/>
  <c r="D6783" i="106"/>
  <c r="B6784" i="106"/>
  <c r="D6784" i="106" s="1"/>
  <c r="B6785" i="106"/>
  <c r="D6785" i="106"/>
  <c r="B6786" i="106"/>
  <c r="D6786" i="106" s="1"/>
  <c r="B6787" i="106"/>
  <c r="D6787" i="106"/>
  <c r="B6788" i="106"/>
  <c r="D6788" i="106" s="1"/>
  <c r="B6789" i="106"/>
  <c r="D6789" i="106"/>
  <c r="B6790" i="106"/>
  <c r="D6790" i="106" s="1"/>
  <c r="B6791" i="106"/>
  <c r="D6791" i="106"/>
  <c r="B6792" i="106"/>
  <c r="D6792" i="106" s="1"/>
  <c r="B6793" i="106"/>
  <c r="D6793" i="106"/>
  <c r="B6794" i="106"/>
  <c r="D6794" i="106" s="1"/>
  <c r="B6795" i="106"/>
  <c r="D6795" i="106"/>
  <c r="B6796" i="106"/>
  <c r="D6796" i="106" s="1"/>
  <c r="B6797" i="106"/>
  <c r="D6797" i="106"/>
  <c r="B6798" i="106"/>
  <c r="D6798" i="106" s="1"/>
  <c r="B6799" i="106"/>
  <c r="D6799" i="106"/>
  <c r="B6800" i="106"/>
  <c r="D6800" i="106" s="1"/>
  <c r="B6801" i="106"/>
  <c r="D6801" i="106"/>
  <c r="B6802" i="106"/>
  <c r="D6802" i="106" s="1"/>
  <c r="B6803" i="106"/>
  <c r="D6803" i="106"/>
  <c r="B6804" i="106"/>
  <c r="D6804" i="106" s="1"/>
  <c r="B6805" i="106"/>
  <c r="D6805" i="106"/>
  <c r="B6806" i="106"/>
  <c r="D6806" i="106" s="1"/>
  <c r="B6807" i="106"/>
  <c r="D6807" i="106"/>
  <c r="B6808" i="106"/>
  <c r="D6808" i="106" s="1"/>
  <c r="B6809" i="106"/>
  <c r="D6809" i="106"/>
  <c r="B6810" i="106"/>
  <c r="D6810" i="106" s="1"/>
  <c r="B6811" i="106"/>
  <c r="D6811" i="106"/>
  <c r="B6812" i="106"/>
  <c r="D6812" i="106" s="1"/>
  <c r="B6813" i="106"/>
  <c r="D6813" i="106"/>
  <c r="B6814" i="106"/>
  <c r="D6814" i="106" s="1"/>
  <c r="B6815" i="106"/>
  <c r="D6815" i="106"/>
  <c r="B6816" i="106"/>
  <c r="D6816" i="106" s="1"/>
  <c r="B6817" i="106"/>
  <c r="D6817" i="106"/>
  <c r="B6818" i="106"/>
  <c r="D6818" i="106" s="1"/>
  <c r="B6819" i="106"/>
  <c r="D6819" i="106"/>
  <c r="B6820" i="106"/>
  <c r="D6820" i="106" s="1"/>
  <c r="B6821" i="106"/>
  <c r="D6821" i="106"/>
  <c r="B6822" i="106"/>
  <c r="D6822" i="106" s="1"/>
  <c r="B6823" i="106"/>
  <c r="D6823" i="106"/>
  <c r="B6824" i="106"/>
  <c r="D6824" i="106" s="1"/>
  <c r="B6825" i="106"/>
  <c r="D6825" i="106"/>
  <c r="B6826" i="106"/>
  <c r="D6826" i="106" s="1"/>
  <c r="B6827" i="106"/>
  <c r="D6827" i="106"/>
  <c r="B6828" i="106"/>
  <c r="D6828" i="106" s="1"/>
  <c r="B6829" i="106"/>
  <c r="D6829" i="106"/>
  <c r="B6830" i="106"/>
  <c r="D6830" i="106" s="1"/>
  <c r="B6831" i="106"/>
  <c r="D6831" i="106"/>
  <c r="B6832" i="106"/>
  <c r="D6832" i="106" s="1"/>
  <c r="B6841" i="106"/>
  <c r="D6841" i="106"/>
  <c r="B6842" i="106"/>
  <c r="D6842" i="106" s="1"/>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s="1"/>
  <c r="B7045" i="106"/>
  <c r="D7045" i="106"/>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5" i="127"/>
  <c r="B66" i="127"/>
  <c r="E26" i="108"/>
  <c r="E27" i="108"/>
  <c r="G27" i="108"/>
  <c r="E28" i="108"/>
  <c r="F28" i="108"/>
  <c r="F31" i="108"/>
  <c r="F36" i="108"/>
  <c r="F37" i="108"/>
  <c r="G28" i="108"/>
  <c r="E30" i="108"/>
  <c r="D31" i="108"/>
  <c r="D37"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F45" i="34"/>
  <c r="C46" i="34"/>
  <c r="D46" i="34"/>
  <c r="C47" i="34"/>
  <c r="D47" i="34"/>
  <c r="C48" i="34"/>
  <c r="D48" i="34"/>
  <c r="C49" i="34"/>
  <c r="D49" i="34"/>
  <c r="F49" i="34"/>
  <c r="C50" i="34"/>
  <c r="D50" i="34"/>
  <c r="C51" i="34"/>
  <c r="D51" i="34"/>
  <c r="C52" i="34"/>
  <c r="C53" i="34"/>
  <c r="D53" i="34"/>
  <c r="C56" i="34"/>
  <c r="F56" i="34"/>
  <c r="C57" i="34"/>
  <c r="D57" i="34"/>
  <c r="C61" i="34"/>
  <c r="C62" i="34"/>
  <c r="F62" i="34"/>
  <c r="C63" i="34"/>
  <c r="D63" i="34"/>
  <c r="C64" i="34"/>
  <c r="F64" i="34"/>
  <c r="F66" i="34"/>
  <c r="C67" i="34"/>
  <c r="D67" i="34"/>
  <c r="F67" i="34"/>
  <c r="C68" i="34"/>
  <c r="D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c r="D5066" i="106" s="1"/>
  <c r="D12" i="5"/>
  <c r="B5334" i="106"/>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s="1"/>
  <c r="D5730" i="106" s="1"/>
  <c r="H18" i="5"/>
  <c r="B5878" i="106"/>
  <c r="D5878" i="106" s="1"/>
  <c r="I18" i="5"/>
  <c r="B5923" i="106" s="1"/>
  <c r="D5923" i="106" s="1"/>
  <c r="J18" i="5"/>
  <c r="B6306" i="106"/>
  <c r="D6306" i="106" s="1"/>
  <c r="K18" i="5"/>
  <c r="B5992" i="106" s="1"/>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c r="D5112" i="106" s="1"/>
  <c r="C108" i="5"/>
  <c r="B5120" i="106" s="1"/>
  <c r="D5120" i="106" s="1"/>
  <c r="D108" i="5"/>
  <c r="B5355" i="106" s="1"/>
  <c r="D5355" i="106" s="1"/>
  <c r="E108" i="5"/>
  <c r="B5526" i="106"/>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c r="D5748" i="106" s="1"/>
  <c r="H121" i="5"/>
  <c r="B5893" i="106" s="1"/>
  <c r="D5893" i="106" s="1"/>
  <c r="J121" i="5"/>
  <c r="B6357" i="106" s="1"/>
  <c r="D6357" i="106" s="1"/>
  <c r="K121" i="5"/>
  <c r="C131" i="5"/>
  <c r="B5147" i="106" s="1"/>
  <c r="D5147" i="106" s="1"/>
  <c r="D131" i="5"/>
  <c r="B5369" i="106" s="1"/>
  <c r="D5369" i="106" s="1"/>
  <c r="C140" i="5"/>
  <c r="B5161" i="106"/>
  <c r="D5161" i="106" s="1"/>
  <c r="D140" i="5"/>
  <c r="B5383" i="106" s="1"/>
  <c r="D5383" i="106" s="1"/>
  <c r="G140" i="5"/>
  <c r="G172" i="5" s="1"/>
  <c r="G173" i="5" s="1"/>
  <c r="B5778" i="106" s="1"/>
  <c r="D5778" i="106" s="1"/>
  <c r="G144" i="5"/>
  <c r="B5756" i="106" s="1"/>
  <c r="D5756" i="106" s="1"/>
  <c r="G154" i="5"/>
  <c r="C144" i="5"/>
  <c r="B5165" i="106"/>
  <c r="D5165" i="106" s="1"/>
  <c r="C154" i="5"/>
  <c r="B5178" i="106" s="1"/>
  <c r="D5178" i="106" s="1"/>
  <c r="D154" i="5"/>
  <c r="B5394" i="106" s="1"/>
  <c r="D5394" i="106" s="1"/>
  <c r="B4357" i="106"/>
  <c r="D4357" i="106" s="1"/>
  <c r="E172" i="5"/>
  <c r="H172" i="5"/>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J178" i="5"/>
  <c r="B6400" i="106"/>
  <c r="D6400" i="106" s="1"/>
  <c r="K178" i="5"/>
  <c r="B4951" i="106" s="1"/>
  <c r="D4951" i="106" s="1"/>
  <c r="C184" i="5"/>
  <c r="B5232" i="106" s="1"/>
  <c r="D5232" i="106" s="1"/>
  <c r="D184" i="5"/>
  <c r="B5425" i="106" s="1"/>
  <c r="D5425" i="106" s="1"/>
  <c r="F184" i="5"/>
  <c r="B5658" i="106"/>
  <c r="D5658" i="106" s="1"/>
  <c r="G184" i="5"/>
  <c r="B5784" i="106" s="1"/>
  <c r="D5784" i="106" s="1"/>
  <c r="H184" i="5"/>
  <c r="B5908" i="106"/>
  <c r="D5908" i="106" s="1"/>
  <c r="K184" i="5"/>
  <c r="B6016" i="106" s="1"/>
  <c r="D6016" i="106" s="1"/>
  <c r="B4395" i="106"/>
  <c r="D4395" i="106" s="1"/>
  <c r="D191" i="5"/>
  <c r="F128" i="34" s="1"/>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F216" i="5"/>
  <c r="B4413" i="106"/>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5" i="4"/>
  <c r="B3409" i="106" s="1"/>
  <c r="D3409" i="106" s="1"/>
  <c r="G15" i="4"/>
  <c r="B6032" i="106" s="1"/>
  <c r="D6032" i="106" s="1"/>
  <c r="D14" i="4"/>
  <c r="B2570" i="106" s="1"/>
  <c r="D2570" i="106" s="1"/>
  <c r="F14" i="4"/>
  <c r="B2597" i="106" s="1"/>
  <c r="D2597" i="106" s="1"/>
  <c r="B2633" i="106"/>
  <c r="D2633" i="106" s="1"/>
  <c r="D7" i="118"/>
  <c r="D8" i="118"/>
  <c r="D9" i="118"/>
  <c r="H14" i="118"/>
  <c r="H19" i="118"/>
  <c r="H24" i="118"/>
  <c r="H28" i="118"/>
  <c r="D22" i="37"/>
  <c r="J22" i="37"/>
  <c r="L22" i="37"/>
  <c r="D24" i="37"/>
  <c r="B4270" i="106" s="1"/>
  <c r="D4270" i="106" s="1"/>
  <c r="D4" i="7"/>
  <c r="B1760" i="106" s="1"/>
  <c r="D1760" i="106" s="1"/>
  <c r="F130" i="34"/>
  <c r="B5599" i="106"/>
  <c r="D5599" i="106" s="1"/>
  <c r="B1746" i="106"/>
  <c r="D1746" i="106" s="1"/>
  <c r="D17" i="7"/>
  <c r="B4104" i="106" s="1"/>
  <c r="D4104" i="106" s="1"/>
  <c r="D15" i="7"/>
  <c r="B1772" i="106" s="1"/>
  <c r="D1772" i="106" s="1"/>
  <c r="B4412" i="106" l="1"/>
  <c r="D4412" i="106" s="1"/>
  <c r="F131" i="34"/>
  <c r="F15" i="145"/>
  <c r="F19" i="145" s="1"/>
  <c r="B1274" i="106"/>
  <c r="D1274" i="106" s="1"/>
  <c r="F136" i="34"/>
  <c r="H109" i="5"/>
  <c r="B6025" i="106" s="1"/>
  <c r="D6025" i="106" s="1"/>
  <c r="B5770" i="106"/>
  <c r="D5770" i="106" s="1"/>
  <c r="B6006" i="106"/>
  <c r="D6006" i="106" s="1"/>
  <c r="K173" i="5"/>
  <c r="K6" i="4" s="1"/>
  <c r="B3570" i="106" s="1"/>
  <c r="D3570" i="106" s="1"/>
  <c r="F46" i="34"/>
  <c r="B4373" i="106"/>
  <c r="D4373" i="106" s="1"/>
  <c r="I274" i="5"/>
  <c r="I7" i="4" s="1"/>
  <c r="B4444" i="106" s="1"/>
  <c r="D4444" i="106" s="1"/>
  <c r="E14" i="145"/>
  <c r="G14" i="145" s="1"/>
  <c r="B1124" i="106"/>
  <c r="D1124" i="106" s="1"/>
  <c r="D11" i="7"/>
  <c r="B1768" i="106" s="1"/>
  <c r="D1768" i="106" s="1"/>
  <c r="D7" i="7"/>
  <c r="B1763" i="106" s="1"/>
  <c r="D1763" i="106" s="1"/>
  <c r="B5752" i="106"/>
  <c r="D5752" i="106" s="1"/>
  <c r="J352" i="29"/>
  <c r="B6899" i="106"/>
  <c r="D6899" i="106" s="1"/>
  <c r="F50" i="34"/>
  <c r="B6887" i="106"/>
  <c r="D6887" i="106" s="1"/>
  <c r="F44" i="34"/>
  <c r="B6191" i="106"/>
  <c r="D6191" i="106" s="1"/>
  <c r="J41" i="3"/>
  <c r="B6216" i="106" s="1"/>
  <c r="D6216" i="106" s="1"/>
  <c r="F21" i="8"/>
  <c r="B3689" i="106"/>
  <c r="D3689" i="106" s="1"/>
  <c r="F127" i="34"/>
  <c r="B3725" i="106"/>
  <c r="D3725" i="106" s="1"/>
  <c r="D13" i="7"/>
  <c r="B3726" i="106" s="1"/>
  <c r="D3726" i="106" s="1"/>
  <c r="I342" i="29"/>
  <c r="B7222" i="106" s="1"/>
  <c r="D7222" i="106" s="1"/>
  <c r="B3668" i="106"/>
  <c r="D3668" i="106" s="1"/>
  <c r="K350" i="29"/>
  <c r="B3670" i="106" s="1"/>
  <c r="D3670" i="106" s="1"/>
  <c r="K274" i="5"/>
  <c r="D9" i="7"/>
  <c r="B1767" i="106" s="1"/>
  <c r="D1767" i="106" s="1"/>
  <c r="B7041" i="106"/>
  <c r="D7041" i="106" s="1"/>
  <c r="B5899" i="106"/>
  <c r="D5899" i="106" s="1"/>
  <c r="H173" i="5"/>
  <c r="F106" i="34"/>
  <c r="F111" i="34"/>
  <c r="G26" i="108"/>
  <c r="L367" i="29"/>
  <c r="F41" i="34"/>
  <c r="F35" i="34"/>
  <c r="B3723" i="106"/>
  <c r="D3723" i="106" s="1"/>
  <c r="B3647" i="106"/>
  <c r="D3647" i="106" s="1"/>
  <c r="B3565" i="106"/>
  <c r="D3565" i="106" s="1"/>
  <c r="K41" i="3"/>
  <c r="B3568" i="106" s="1"/>
  <c r="D3568" i="106" s="1"/>
  <c r="B1995" i="106"/>
  <c r="D1995" i="106" s="1"/>
  <c r="I24" i="12"/>
  <c r="L13" i="11"/>
  <c r="B2060" i="106" s="1"/>
  <c r="D2060" i="106" s="1"/>
  <c r="B1223" i="106"/>
  <c r="D1223" i="106" s="1"/>
  <c r="K76" i="4"/>
  <c r="B3586" i="106" s="1"/>
  <c r="D3586" i="106" s="1"/>
  <c r="G39" i="108"/>
  <c r="L15" i="11"/>
  <c r="B3459" i="106" s="1"/>
  <c r="D3459" i="106" s="1"/>
  <c r="L5" i="11"/>
  <c r="B2056" i="106" s="1"/>
  <c r="D2056" i="106" s="1"/>
  <c r="K26" i="12"/>
  <c r="B7743" i="106" s="1"/>
  <c r="D7743" i="106" s="1"/>
  <c r="N22" i="3"/>
  <c r="B283" i="106" s="1"/>
  <c r="D283" i="106" s="1"/>
  <c r="D69" i="36"/>
  <c r="F19" i="7"/>
  <c r="B1807" i="106" s="1"/>
  <c r="D1807" i="106" s="1"/>
  <c r="B3649" i="106"/>
  <c r="D3649" i="106" s="1"/>
  <c r="G367" i="29"/>
  <c r="C352" i="29"/>
  <c r="C342" i="29"/>
  <c r="B7216" i="106" s="1"/>
  <c r="D7216" i="106" s="1"/>
  <c r="L342" i="29"/>
  <c r="G14" i="4"/>
  <c r="B2609" i="106" s="1"/>
  <c r="D2609" i="106" s="1"/>
  <c r="F72" i="34"/>
  <c r="B1410" i="106"/>
  <c r="D1410" i="106" s="1"/>
  <c r="F65" i="34"/>
  <c r="E29" i="108"/>
  <c r="K184" i="29"/>
  <c r="F13" i="4" s="1"/>
  <c r="B2596" i="106" s="1"/>
  <c r="D2596" i="106" s="1"/>
  <c r="B1329" i="106"/>
  <c r="D1329" i="106" s="1"/>
  <c r="F61" i="34"/>
  <c r="B6995" i="106"/>
  <c r="D6995" i="106" s="1"/>
  <c r="C14" i="4"/>
  <c r="B2558" i="106" s="1"/>
  <c r="D2558" i="106" s="1"/>
  <c r="F52" i="34"/>
  <c r="D36" i="108"/>
  <c r="G30" i="108"/>
  <c r="G29" i="108"/>
  <c r="F27" i="108"/>
  <c r="D26" i="108"/>
  <c r="B1126" i="106"/>
  <c r="D1126" i="106" s="1"/>
  <c r="F26" i="108"/>
  <c r="C172" i="5"/>
  <c r="B5214" i="106" s="1"/>
  <c r="D5214" i="106" s="1"/>
  <c r="F172" i="5"/>
  <c r="B5644" i="106" s="1"/>
  <c r="D5644" i="106" s="1"/>
  <c r="H4" i="4"/>
  <c r="B2655" i="106" s="1"/>
  <c r="D2655" i="106" s="1"/>
  <c r="F94" i="34"/>
  <c r="G109" i="5"/>
  <c r="C109" i="5"/>
  <c r="B5121" i="106" s="1"/>
  <c r="D5121" i="106" s="1"/>
  <c r="D109" i="5"/>
  <c r="B5356" i="106" s="1"/>
  <c r="D5356" i="106" s="1"/>
  <c r="D12" i="7"/>
  <c r="B1769" i="106" s="1"/>
  <c r="D1769" i="106" s="1"/>
  <c r="E109" i="5"/>
  <c r="E4" i="4" s="1"/>
  <c r="B2630" i="106" s="1"/>
  <c r="D2630" i="106" s="1"/>
  <c r="D5" i="7"/>
  <c r="B1761" i="106" s="1"/>
  <c r="D1761" i="106" s="1"/>
  <c r="D54" i="36"/>
  <c r="H33" i="118"/>
  <c r="H29" i="118"/>
  <c r="K28" i="118" s="1"/>
  <c r="O27" i="118" s="1"/>
  <c r="O29" i="118" s="1"/>
  <c r="D31" i="36"/>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L279" i="29"/>
  <c r="L295" i="29" s="1"/>
  <c r="L74" i="29"/>
  <c r="L114" i="29" s="1"/>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B7270" i="106"/>
  <c r="D274" i="5" l="1"/>
  <c r="B1996" i="106"/>
  <c r="D1996" i="106" s="1"/>
  <c r="I26" i="12"/>
  <c r="B7741" i="106" s="1"/>
  <c r="D7741" i="106" s="1"/>
  <c r="B5906" i="106"/>
  <c r="D5906" i="106" s="1"/>
  <c r="H6" i="4"/>
  <c r="B2656" i="106" s="1"/>
  <c r="D2656" i="106" s="1"/>
  <c r="J367" i="29"/>
  <c r="B7245" i="106" s="1"/>
  <c r="D7245" i="106" s="1"/>
  <c r="B7235" i="106"/>
  <c r="D7235" i="106" s="1"/>
  <c r="D7255" i="106"/>
  <c r="D7252" i="106"/>
  <c r="N23" i="3"/>
  <c r="B284" i="106" s="1"/>
  <c r="D284" i="106" s="1"/>
  <c r="D52" i="36"/>
  <c r="K352" i="29"/>
  <c r="K13" i="4" s="1"/>
  <c r="B3572" i="106" s="1"/>
  <c r="D3572" i="106" s="1"/>
  <c r="G15" i="145"/>
  <c r="H367" i="29"/>
  <c r="B3660" i="106" s="1"/>
  <c r="D3660" i="106" s="1"/>
  <c r="B1879" i="106"/>
  <c r="D1879" i="106" s="1"/>
  <c r="H22" i="37"/>
  <c r="L16" i="11"/>
  <c r="B2061" i="106" s="1"/>
  <c r="D2061" i="106" s="1"/>
  <c r="B3621" i="106"/>
  <c r="D3621" i="106" s="1"/>
  <c r="C367" i="29"/>
  <c r="B3622" i="106" s="1"/>
  <c r="D3622" i="106" s="1"/>
  <c r="K342" i="29"/>
  <c r="F13" i="34" s="1"/>
  <c r="D41" i="108"/>
  <c r="E43" i="108" s="1"/>
  <c r="B1381" i="106"/>
  <c r="D1381" i="106" s="1"/>
  <c r="F41" i="108"/>
  <c r="G43" i="108" s="1"/>
  <c r="C114" i="29"/>
  <c r="B757" i="106" s="1"/>
  <c r="D757" i="106" s="1"/>
  <c r="F173" i="5"/>
  <c r="F275" i="5"/>
  <c r="B5720" i="106" s="1"/>
  <c r="D5720" i="106" s="1"/>
  <c r="C173" i="5"/>
  <c r="H8" i="4"/>
  <c r="B2658" i="106" s="1"/>
  <c r="D2658" i="106" s="1"/>
  <c r="C4" i="4"/>
  <c r="B2551" i="106" s="1"/>
  <c r="D2551" i="106" s="1"/>
  <c r="B6024" i="106"/>
  <c r="D6024" i="106" s="1"/>
  <c r="G4" i="4"/>
  <c r="B2603" i="106" s="1"/>
  <c r="D2603" i="106" s="1"/>
  <c r="D4" i="4"/>
  <c r="B2564" i="106" s="1"/>
  <c r="D2564" i="106" s="1"/>
  <c r="D19" i="7"/>
  <c r="B1775" i="106" s="1"/>
  <c r="D1775" i="106" s="1"/>
  <c r="B5527" i="106"/>
  <c r="D552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H10" i="4"/>
  <c r="B4127" i="106" s="1"/>
  <c r="D4127" i="106" s="1"/>
  <c r="D7" i="4"/>
  <c r="D275" i="5"/>
  <c r="B5507" i="106"/>
  <c r="D5507" i="106" s="1"/>
  <c r="B7298" i="106"/>
  <c r="B7299" i="106"/>
  <c r="K367" i="29" l="1"/>
  <c r="B3672" i="106"/>
  <c r="D3672" i="106" s="1"/>
  <c r="F24" i="37"/>
  <c r="J17" i="4"/>
  <c r="J20" i="4" s="1"/>
  <c r="G41" i="108"/>
  <c r="G44" i="108" s="1"/>
  <c r="G45" i="108" s="1"/>
  <c r="E41" i="108"/>
  <c r="E44" i="108" s="1"/>
  <c r="E45" i="108" s="1"/>
  <c r="F6" i="4"/>
  <c r="B2593" i="106" s="1"/>
  <c r="D2593" i="106" s="1"/>
  <c r="B5653" i="106"/>
  <c r="D5653" i="106" s="1"/>
  <c r="B5223" i="106"/>
  <c r="D5223" i="106" s="1"/>
  <c r="C6" i="4"/>
  <c r="B2553" i="106" s="1"/>
  <c r="D2553" i="106" s="1"/>
  <c r="F8" i="4"/>
  <c r="D8" i="14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B2595" i="106" l="1"/>
  <c r="D2595" i="106" s="1"/>
  <c r="B6227" i="106"/>
  <c r="D6227" i="106" s="1"/>
  <c r="J19" i="4"/>
  <c r="B6229" i="106" s="1"/>
  <c r="D6229" i="106" s="1"/>
  <c r="F76" i="34"/>
  <c r="D10" i="171"/>
  <c r="D19" i="171" s="1"/>
  <c r="D32" i="171" s="1"/>
  <c r="D49" i="171" s="1"/>
  <c r="F10" i="4"/>
  <c r="B4125" i="106" s="1"/>
  <c r="D41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<sst xmlns="http://schemas.openxmlformats.org/spreadsheetml/2006/main" count="5354" uniqueCount="2216">
  <si>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</si>
  <si>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</si>
  <si>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</si>
  <si>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</si>
  <si>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</si>
  <si>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</si>
  <si>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</si>
  <si>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</si>
  <si>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</si>
  <si>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</si>
  <si>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</si>
  <si>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</si>
  <si>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</si>
  <si>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</si>
  <si>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</si>
  <si>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</si>
  <si>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</si>
  <si>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</si>
  <si>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</si>
  <si>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</si>
  <si>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</si>
  <si>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</si>
  <si>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</si>
  <si>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</si>
  <si>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</si>
  <si>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</si>
  <si>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</si>
  <si>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</si>
  <si>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</si>
  <si>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</si>
  <si>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</si>
  <si>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</si>
  <si>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</si>
  <si>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</si>
  <si>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</si>
  <si>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</si>
  <si>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</si>
  <si>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</si>
  <si>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</si>
  <si>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</si>
  <si>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</si>
  <si>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</si>
  <si>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</si>
  <si>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</si>
  <si>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</si>
  <si>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</si>
  <si>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</si>
  <si>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</si>
  <si>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</si>
  <si>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</si>
  <si>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</si>
  <si>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</si>
  <si>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</si>
  <si>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</si>
  <si>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</si>
  <si>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</si>
  <si>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</si>
  <si>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</si>
  <si>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</si>
  <si>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</si>
  <si>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</si>
  <si>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</si>
  <si>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</si>
  <si>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</si>
  <si>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</si>
  <si>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</si>
  <si>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</si>
  <si>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</si>
  <si>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</si>
  <si>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</si>
  <si>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</si>
  <si>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</si>
  <si>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</si>
  <si>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</si>
  <si>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</si>
  <si>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</si>
  <si>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</si>
  <si>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</si>
  <si>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</si>
  <si>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</si>
  <si>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</si>
  <si>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</si>
  <si>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</si>
  <si>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</si>
  <si>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</si>
  <si>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</si>
  <si>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</si>
  <si>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</si>
  <si>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</si>
  <si>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</si>
  <si>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</si>
  <si>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</si>
  <si>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</si>
  <si>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</si>
  <si>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</si>
  <si>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</si>
  <si>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</si>
  <si>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</si>
  <si>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</si>
  <si>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</si>
  <si>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</si>
  <si>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</si>
  <si>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</si>
  <si>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</si>
  <si>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</si>
  <si>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</si>
  <si>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</si>
  <si>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</si>
  <si>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</si>
  <si>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</si>
  <si>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</si>
  <si>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</si>
  <si>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</si>
  <si>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</si>
  <si>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</si>
  <si>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</si>
  <si>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</si>
  <si>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</si>
  <si>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</si>
  <si>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</si>
  <si>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</si>
  <si>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</si>
  <si>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</si>
  <si>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</si>
  <si>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</si>
  <si>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</si>
  <si>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</si>
  <si>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</si>
  <si>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</si>
  <si>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</si>
  <si>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</si>
  <si>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</si>
  <si>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</si>
  <si>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</si>
  <si>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</si>
  <si>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</si>
  <si>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</si>
  <si>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</si>
  <si>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</si>
  <si>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</si>
  <si>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</si>
  <si>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</si>
  <si>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</si>
  <si>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</si>
  <si>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</si>
  <si>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</si>
  <si>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</si>
  <si>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</si>
  <si>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</si>
  <si>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</si>
  <si>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</si>
  <si>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</si>
  <si>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</si>
  <si>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</si>
  <si>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</si>
  <si>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</si>
  <si>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</si>
  <si>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</si>
  <si>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</si>
  <si>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</si>
  <si>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</si>
  <si>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</si>
  <si>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</si>
  <si>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</si>
  <si>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</si>
  <si>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</si>
  <si>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</si>
  <si>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</si>
  <si>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</si>
  <si>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</si>
  <si>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</si>
  <si>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</si>
  <si>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</si>
  <si>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</si>
  <si>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</si>
  <si>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</si>
  <si>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</si>
  <si>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</si>
  <si>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</si>
  <si>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</si>
  <si>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</si>
  <si>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</si>
  <si>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</si>
  <si>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</si>
  <si>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</si>
  <si>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</si>
  <si>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</si>
  <si>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</si>
  <si>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</si>
  <si>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</si>
  <si>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</si>
  <si>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</si>
  <si>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</si>
  <si>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</si>
  <si>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</si>
  <si>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</si>
  <si>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</si>
  <si>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</si>
  <si>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</si>
  <si>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</si>
  <si>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</si>
  <si>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</si>
  <si>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</si>
  <si>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</si>
  <si>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</si>
  <si>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</si>
  <si>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</si>
  <si>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</si>
  <si>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</si>
  <si>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</si>
  <si>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</si>
  <si>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</si>
  <si>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</si>
  <si>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</si>
  <si>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</si>
  <si>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</si>
  <si>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</si>
  <si>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</si>
  <si>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</si>
  <si>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</si>
  <si>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</si>
  <si>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</si>
  <si>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</si>
  <si>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</si>
  <si>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</si>
  <si>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</si>
  <si>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</si>
  <si>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</si>
  <si>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</si>
  <si>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</si>
  <si>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</si>
  <si>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</si>
  <si>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</si>
  <si>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</si>
  <si>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</si>
  <si>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</si>
  <si>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</si>
  <si>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</si>
  <si>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</si>
  <si>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</si>
  <si>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</si>
  <si>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</si>
  <si>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</si>
  <si>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</si>
  <si>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</si>
  <si>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</si>
  <si>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</si>
  <si>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</si>
  <si>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</si>
  <si>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</si>
  <si>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</si>
  <si>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</si>
  <si>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</si>
  <si>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</si>
  <si>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</si>
  <si>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</si>
  <si>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</si>
  <si>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</si>
  <si>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</si>
  <si>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</si>
  <si>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</si>
  <si>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</si>
  <si>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</si>
  <si>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</si>
  <si>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</si>
  <si>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</si>
  <si>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</si>
  <si>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</si>
  <si>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</si>
  <si>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</si>
  <si>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</si>
  <si>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</si>
  <si>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</si>
  <si>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</si>
  <si>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</si>
  <si>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</si>
  <si>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</si>
  <si>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</si>
  <si>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</si>
  <si>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</si>
  <si>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</si>
  <si>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</si>
  <si>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</si>
  <si>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</si>
  <si>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</si>
  <si>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</si>
  <si>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</si>
  <si>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</si>
  <si>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</si>
  <si>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</si>
  <si>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</si>
  <si>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</si>
  <si>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</si>
  <si>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</si>
  <si>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</si>
  <si>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</si>
  <si>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</si>
  <si>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</si>
  <si>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</si>
  <si>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</si>
  <si>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</si>
  <si>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</si>
  <si>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</si>
  <si>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</si>
  <si>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</si>
  <si>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</si>
  <si>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</si>
  <si>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</si>
  <si>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</si>
  <si>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</si>
  <si>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</si>
  <si>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</si>
  <si>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</si>
  <si>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</si>
  <si>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</si>
  <si>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</si>
  <si>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</si>
  <si>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</si>
  <si>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</si>
  <si>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</si>
  <si>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</si>
  <si>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</si>
  <si>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</si>
  <si>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</si>
  <si>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</si>
  <si>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</si>
  <si>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</si>
  <si>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</si>
  <si>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</si>
  <si>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</si>
  <si>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</si>
  <si>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</si>
  <si>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</si>
  <si>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</si>
  <si>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</si>
  <si>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</si>
  <si>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</si>
  <si>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</si>
  <si>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</si>
  <si>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</si>
  <si>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</si>
  <si>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</si>
  <si>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</si>
  <si>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</si>
  <si>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</si>
  <si>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</si>
  <si>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</si>
  <si>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</si>
  <si>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</si>
  <si>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</si>
  <si>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</si>
  <si>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</si>
  <si>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</si>
  <si>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</si>
  <si>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</si>
  <si>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</si>
  <si>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</si>
  <si>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</si>
  <si>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</si>
  <si>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</si>
  <si>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</si>
  <si>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</si>
  <si>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</si>
  <si>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</si>
  <si>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</si>
  <si>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</si>
  <si>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</si>
  <si>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</si>
  <si>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</si>
  <si>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</si>
  <si>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</si>
  <si>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</si>
  <si>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</si>
  <si>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</si>
  <si>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</si>
  <si>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</si>
  <si>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</si>
  <si>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</si>
  <si>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</si>
  <si>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</si>
  <si>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</si>
  <si>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</si>
  <si>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</si>
  <si>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</si>
  <si>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</si>
  <si>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</si>
  <si>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</si>
  <si>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</si>
  <si>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</si>
  <si>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</si>
  <si>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</si>
  <si>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</si>
  <si>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</si>
  <si>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</si>
  <si>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</si>
  <si>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</si>
  <si>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</si>
  <si>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</si>
  <si>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</si>
  <si>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</si>
  <si>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</si>
  <si>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</si>
  <si>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</si>
  <si>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</si>
  <si>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</si>
  <si>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</si>
  <si>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</si>
  <si>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</si>
  <si>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</si>
  <si>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</si>
  <si>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</si>
  <si>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</si>
  <si>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</si>
  <si>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</si>
  <si>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</si>
  <si>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</si>
  <si>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</si>
  <si>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</si>
  <si>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</si>
  <si>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</si>
  <si>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</si>
  <si>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</si>
  <si>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</si>
  <si>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</si>
  <si>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</si>
  <si>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</si>
  <si>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</si>
  <si>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</si>
  <si>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</si>
  <si>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</si>
  <si>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</si>
  <si>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</si>
  <si>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</si>
  <si>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</si>
  <si>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</si>
  <si>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</si>
  <si>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</si>
  <si>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</si>
  <si>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</si>
  <si>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</si>
  <si>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</si>
  <si>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</si>
  <si>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</si>
  <si>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</si>
  <si>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</si>
  <si>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</si>
  <si>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</si>
  <si>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</si>
  <si>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</si>
  <si>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</si>
  <si>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</si>
  <si>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</si>
  <si>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</si>
  <si>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</si>
  <si>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</si>
  <si>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</si>
  <si>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</si>
  <si>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</si>
  <si>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</si>
  <si>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</si>
  <si>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</si>
  <si>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</si>
  <si>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</si>
  <si>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</si>
  <si>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</si>
  <si>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</si>
  <si>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</si>
  <si>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</si>
  <si>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</si>
  <si>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</si>
  <si>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</si>
  <si>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</si>
  <si>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</si>
  <si>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</si>
  <si>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</si>
  <si>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</si>
  <si>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</si>
  <si>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</si>
  <si>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</si>
  <si>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</si>
  <si>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</si>
  <si>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</si>
  <si>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</si>
  <si>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</si>
  <si>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</si>
  <si>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</si>
  <si>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</si>
  <si>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</si>
  <si>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</si>
  <si>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</si>
  <si>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</si>
  <si>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</si>
  <si>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</si>
  <si>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</si>
  <si>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</si>
  <si>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</si>
  <si>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</si>
  <si>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</si>
  <si>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</si>
  <si>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</si>
  <si>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</si>
  <si>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</si>
  <si>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</si>
  <si>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</si>
  <si>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</si>
  <si>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</si>
  <si>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</si>
  <si>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</si>
  <si>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</si>
  <si>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</si>
  <si>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</si>
  <si>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</si>
  <si>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</si>
  <si>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</si>
  <si>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</si>
  <si>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</si>
  <si>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</si>
  <si>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</si>
  <si>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</si>
  <si>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</si>
  <si>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</si>
  <si>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</si>
  <si>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</si>
  <si>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</si>
  <si>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</si>
  <si>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</si>
  <si>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</si>
  <si>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</si>
  <si>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</si>
  <si>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</si>
  <si>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</si>
  <si>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</si>
  <si>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</si>
  <si>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</si>
  <si>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</si>
  <si>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</si>
  <si>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</si>
  <si>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</si>
  <si>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</si>
  <si>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</si>
  <si>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</si>
  <si>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</si>
  <si>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</si>
  <si>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</si>
  <si>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</si>
  <si>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</si>
  <si>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</si>
  <si>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</si>
  <si>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</si>
  <si>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</si>
  <si>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</si>
  <si>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</si>
  <si>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</si>
  <si>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</si>
  <si>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</si>
  <si>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</si>
  <si>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</si>
  <si>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</si>
  <si>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</si>
  <si>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</si>
  <si>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</si>
  <si>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</si>
  <si>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</si>
  <si>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</si>
  <si>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</si>
  <si>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</si>
  <si>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</si>
  <si>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</si>
  <si>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</si>
  <si>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</si>
  <si>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</si>
  <si>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</si>
  <si>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</si>
  <si>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</si>
  <si>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</si>
  <si>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</si>
  <si>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</si>
  <si>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</si>
  <si>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</si>
  <si>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</si>
  <si>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</si>
  <si>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</si>
  <si>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</si>
  <si>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</si>
  <si>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</si>
  <si>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</si>
  <si>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</si>
  <si>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</si>
  <si>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</si>
  <si>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</si>
  <si>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</si>
  <si>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</si>
  <si>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</si>
  <si>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</si>
  <si>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</si>
  <si>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</si>
  <si>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</si>
  <si>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</si>
  <si>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</si>
  <si>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</si>
  <si>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</si>
  <si>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</si>
  <si>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</si>
  <si>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</si>
  <si>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</si>
  <si>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</si>
  <si>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</si>
  <si>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</si>
  <si>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</si>
  <si>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</si>
  <si>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</si>
  <si>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</si>
  <si>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</si>
  <si>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</si>
  <si>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</si>
  <si>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</si>
  <si>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</si>
  <si>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</si>
  <si>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</si>
  <si>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</si>
  <si>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</si>
  <si>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</si>
  <si>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</si>
  <si>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</si>
  <si>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</si>
  <si>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</si>
  <si>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</si>
  <si>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</si>
  <si>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</si>
  <si>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</si>
  <si>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</si>
  <si>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</si>
  <si>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</si>
  <si>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</si>
  <si>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</si>
  <si>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</si>
  <si>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</si>
  <si>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</si>
  <si>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</si>
  <si>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</si>
  <si>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</si>
  <si>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</si>
  <si>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</si>
  <si>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</si>
  <si>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</si>
  <si>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</si>
  <si>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</si>
  <si>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</si>
  <si>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</si>
  <si>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</si>
  <si>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</si>
  <si>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</si>
  <si>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</si>
  <si>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</si>
  <si>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</si>
  <si>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</si>
  <si>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</si>
  <si>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</si>
  <si>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</si>
  <si>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</si>
  <si>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</si>
  <si>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</si>
  <si>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</si>
  <si>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</si>
  <si>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</si>
  <si>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</si>
  <si>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</si>
  <si>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</si>
  <si>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</si>
  <si>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</si>
  <si>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</si>
  <si>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</si>
  <si>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</si>
  <si>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</si>
  <si>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</si>
  <si>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</si>
  <si>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</si>
  <si>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</si>
  <si>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</si>
  <si>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</si>
  <si>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</si>
  <si>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</si>
  <si>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</si>
  <si>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</si>
  <si>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</si>
  <si>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</si>
  <si>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</si>
  <si>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</si>
  <si>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</si>
  <si>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</si>
  <si>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</si>
  <si>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</si>
  <si>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</si>
  <si>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</si>
  <si>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</si>
  <si>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</si>
  <si>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</si>
  <si>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</si>
  <si>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</si>
  <si>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</si>
  <si>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</si>
  <si>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</si>
  <si>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</si>
  <si>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</si>
  <si>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</si>
  <si>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</si>
  <si>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</si>
  <si>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</si>
  <si>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</si>
  <si>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</si>
  <si>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</si>
  <si>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</si>
  <si>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</si>
  <si>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</si>
  <si>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</si>
  <si>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</si>
  <si>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</si>
  <si>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</si>
  <si>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</si>
  <si>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</si>
  <si>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</si>
  <si>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</si>
  <si>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</si>
  <si>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</si>
  <si>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</si>
  <si>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</si>
  <si>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</si>
  <si>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</si>
  <si>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</si>
  <si>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</si>
  <si>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</si>
  <si>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</si>
  <si>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</si>
  <si>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</si>
  <si>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</si>
  <si>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</si>
  <si>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</si>
  <si>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</si>
  <si>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</si>
  <si>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</si>
  <si>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</si>
  <si>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</si>
  <si>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</si>
  <si>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</si>
  <si>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</si>
  <si>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</si>
  <si>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</si>
  <si>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</si>
  <si>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</si>
  <si>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</si>
  <si>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</si>
  <si>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</si>
  <si>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</si>
  <si>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</si>
  <si>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</si>
  <si>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</si>
  <si>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</si>
  <si>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</si>
  <si>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</si>
  <si>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</si>
  <si>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</si>
  <si>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</si>
  <si>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</si>
  <si>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</si>
  <si>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</si>
  <si>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</si>
  <si>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</si>
  <si>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</si>
  <si>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</si>
  <si>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</si>
  <si>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</si>
  <si>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</si>
  <si>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</si>
  <si>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</si>
  <si>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</si>
  <si>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</si>
  <si>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</si>
  <si>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</si>
  <si>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</si>
  <si>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</si>
  <si>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</si>
  <si>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</si>
  <si>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</si>
  <si>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</si>
  <si>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</si>
  <si>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</si>
  <si>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</si>
  <si>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</si>
  <si>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</si>
  <si>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</si>
  <si>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</si>
  <si>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</si>
  <si>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</si>
  <si>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</si>
  <si>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</si>
  <si>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</si>
  <si>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</si>
  <si>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</si>
  <si>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</si>
  <si>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</si>
  <si>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</si>
  <si>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</si>
  <si>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</si>
  <si>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</si>
  <si>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</si>
  <si>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</si>
  <si>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</si>
  <si>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</si>
  <si>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</si>
  <si>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</si>
  <si>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</si>
  <si>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</si>
  <si>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</si>
  <si>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</si>
  <si>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</si>
  <si>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</si>
  <si>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</si>
  <si>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</si>
  <si>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</si>
  <si>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</si>
  <si>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</si>
  <si>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</si>
  <si>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</si>
  <si>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</si>
  <si>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</si>
  <si>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</si>
  <si>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</si>
  <si>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</si>
  <si>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</si>
  <si>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</si>
  <si>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</si>
  <si>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</si>
  <si>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</si>
  <si>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</si>
  <si>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</si>
  <si>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</si>
  <si>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</si>
  <si>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</si>
  <si>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</si>
  <si>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</si>
  <si>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</si>
  <si>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</si>
  <si>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</si>
  <si>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</si>
  <si>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</si>
  <si>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</si>
  <si>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</si>
  <si>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</si>
  <si>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</si>
  <si>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</si>
  <si>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</si>
  <si>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</si>
  <si>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</si>
  <si>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</si>
  <si>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</si>
  <si>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</si>
  <si>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</si>
  <si>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</si>
  <si>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</si>
  <si>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</si>
  <si>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</si>
  <si>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</si>
  <si>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</si>
  <si>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</si>
  <si>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</si>
  <si>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</si>
  <si>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</si>
  <si>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</si>
  <si>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</si>
  <si>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</si>
  <si>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</si>
  <si>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</si>
  <si>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</si>
  <si>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</si>
  <si>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</si>
  <si>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</si>
  <si>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</si>
  <si>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</si>
  <si>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</si>
  <si>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</si>
  <si>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</si>
  <si>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</si>
  <si>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</si>
  <si>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</si>
  <si>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</si>
  <si>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</si>
  <si>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</si>
  <si>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</si>
  <si>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</si>
  <si>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</si>
  <si>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</si>
  <si>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</si>
  <si>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</si>
  <si>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</si>
  <si>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</si>
  <si>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</si>
  <si>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</si>
  <si>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</si>
  <si>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</si>
  <si>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</si>
  <si>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</si>
  <si>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</si>
  <si>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</si>
  <si>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</si>
  <si>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</si>
  <si>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</si>
  <si>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</si>
  <si>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</si>
  <si>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</si>
  <si>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</si>
  <si>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</si>
  <si>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</si>
  <si>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</si>
  <si>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</si>
  <si>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</si>
  <si>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</si>
  <si>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</si>
  <si>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</si>
  <si>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</si>
  <si>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</si>
  <si>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</si>
  <si>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</si>
  <si>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</si>
  <si>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</si>
  <si>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</si>
  <si>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</si>
  <si>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</si>
  <si>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</si>
  <si>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</si>
  <si>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</si>
  <si>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</si>
  <si>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</si>
  <si>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</si>
  <si>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</si>
  <si>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</si>
  <si>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</si>
  <si>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</si>
  <si>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</si>
  <si>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</si>
  <si>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</si>
  <si>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</si>
  <si>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</si>
  <si>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</si>
  <si>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</si>
  <si>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</si>
  <si>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</si>
  <si>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</si>
  <si>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</si>
  <si>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</si>
  <si>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</si>
  <si>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</si>
  <si>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</si>
  <si>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</si>
  <si>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</si>
  <si>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</si>
  <si>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</si>
  <si>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</si>
  <si>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</si>
  <si>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</si>
  <si>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</si>
  <si>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</si>
  <si>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</si>
  <si>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</si>
  <si>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</si>
  <si>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</si>
  <si>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</si>
  <si>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</si>
  <si>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</si>
  <si>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</si>
  <si>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</si>
  <si>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</si>
  <si>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</si>
  <si>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</si>
  <si>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</si>
  <si>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</si>
  <si>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</si>
  <si>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</si>
  <si>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</si>
  <si>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</si>
  <si>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</si>
  <si>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</si>
  <si>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</si>
  <si>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</si>
  <si>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</si>
  <si>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</si>
  <si>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</si>
  <si>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</si>
  <si>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</si>
  <si>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</si>
  <si>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</si>
  <si>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</si>
  <si>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</si>
  <si>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</si>
  <si>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</si>
  <si>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</si>
  <si>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</si>
  <si>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</si>
  <si>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</si>
  <si>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</si>
  <si>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</si>
  <si>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</si>
  <si>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</si>
  <si>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</si>
  <si>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</si>
  <si>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</si>
  <si>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</si>
  <si>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</si>
  <si>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</si>
  <si>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</si>
  <si>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</si>
  <si>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</si>
  <si>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</si>
  <si>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</si>
  <si>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</si>
  <si>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</si>
  <si>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</si>
  <si>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</si>
  <si>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</si>
  <si>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</si>
  <si>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</si>
  <si>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</si>
  <si>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</si>
  <si>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</si>
  <si>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</si>
  <si>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</si>
  <si>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</si>
  <si>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</si>
  <si>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</si>
  <si>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</si>
  <si>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</si>
  <si>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</si>
  <si>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</si>
  <si>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</si>
  <si>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</si>
  <si>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</si>
  <si>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</si>
  <si>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</si>
  <si>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</si>
  <si>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</si>
  <si>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</si>
  <si>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</si>
  <si>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</si>
  <si>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</si>
  <si>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</si>
  <si>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</si>
  <si>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</si>
  <si>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</si>
  <si>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</si>
  <si>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</si>
  <si>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</si>
  <si>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</si>
  <si>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</si>
  <si>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</si>
  <si>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</si>
  <si>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</si>
  <si>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</si>
  <si>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</si>
  <si>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</si>
  <si>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</si>
  <si>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</si>
  <si>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</si>
  <si>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</si>
  <si>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</si>
  <si>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</si>
  <si>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</si>
  <si>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</si>
  <si>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</si>
  <si>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</si>
  <si>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</si>
  <si>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</si>
  <si>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</si>
  <si>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</si>
  <si>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</si>
  <si>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</si>
  <si>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</si>
  <si>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</si>
  <si>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</si>
  <si>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</si>
  <si>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</si>
  <si>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</si>
  <si>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</si>
  <si>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</si>
  <si>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</si>
  <si>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</si>
  <si>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</si>
  <si>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</si>
  <si>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</si>
  <si>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</si>
  <si>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</si>
  <si>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</si>
  <si>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</si>
  <si>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</si>
  <si>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</si>
  <si>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</si>
  <si>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</si>
  <si>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</si>
  <si>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</si>
  <si>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</si>
  <si>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</si>
  <si>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</si>
  <si>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</si>
  <si>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</si>
  <si>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</si>
  <si>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</si>
  <si>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</si>
  <si>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</si>
  <si>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</si>
  <si>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</si>
  <si>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</si>
  <si>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</si>
  <si>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</si>
  <si>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</si>
  <si>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</si>
  <si>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</si>
  <si>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</si>
  <si>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</si>
  <si>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</si>
  <si>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</si>
  <si>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</si>
  <si>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</si>
  <si>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</si>
  <si>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</si>
  <si>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</si>
  <si>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</si>
  <si>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</si>
  <si>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</si>
  <si>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</si>
  <si>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</si>
  <si>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</si>
  <si>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</si>
  <si>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</si>
  <si>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</si>
  <si>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</si>
  <si>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</si>
  <si>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</si>
  <si>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</si>
  <si>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</si>
  <si>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</si>
  <si>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</si>
  <si>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</si>
  <si>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</si>
  <si>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</si>
  <si>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</si>
  <si>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</si>
  <si>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</si>
  <si>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</si>
  <si>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</si>
  <si>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</si>
  <si>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</si>
  <si>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</si>
  <si>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</si>
  <si>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</si>
  <si>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</si>
  <si>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</si>
  <si>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</si>
  <si>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</si>
  <si>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</si>
  <si>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</si>
  <si>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</si>
  <si>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</si>
  <si>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</si>
  <si>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</si>
  <si>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</si>
  <si>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</si>
  <si>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</si>
  <si>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</si>
  <si>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</si>
  <si>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</si>
  <si>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</si>
  <si>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</si>
  <si>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</si>
  <si>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</si>
  <si>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</si>
  <si>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</si>
  <si>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</si>
  <si>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</si>
  <si>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</si>
  <si>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</si>
  <si>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</si>
  <si>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</si>
  <si>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</si>
  <si>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</si>
  <si>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</si>
  <si>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</si>
  <si>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</si>
  <si>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</si>
  <si>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</si>
  <si>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</si>
  <si>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</si>
  <si>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</si>
  <si>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</si>
  <si>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</si>
  <si>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</si>
  <si>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</si>
  <si>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</si>
  <si>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</si>
  <si>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</si>
  <si>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</si>
  <si>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</si>
  <si>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</si>
  <si>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</si>
  <si>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</si>
  <si>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</si>
  <si>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</si>
  <si>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</si>
  <si>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</si>
  <si>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</si>
  <si>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</si>
  <si>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</si>
  <si>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</si>
  <si>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</si>
  <si>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</si>
  <si>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</si>
  <si>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</si>
  <si>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</si>
  <si>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</si>
  <si>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</si>
  <si>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</si>
  <si>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</si>
  <si>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</si>
  <si>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</si>
  <si>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</si>
  <si>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</si>
  <si>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</si>
  <si>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</si>
  <si>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</si>
  <si>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</si>
  <si>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</si>
  <si>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</si>
  <si>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</si>
  <si>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</si>
  <si>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</si>
  <si>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</si>
  <si>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</si>
  <si>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</si>
  <si>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</si>
  <si>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</si>
  <si>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</si>
  <si>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</si>
  <si>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</si>
  <si>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</si>
  <si>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</si>
  <si>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</si>
  <si>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</si>
  <si>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</si>
  <si>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</si>
  <si>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</si>
  <si>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</si>
  <si>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</si>
  <si>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</si>
  <si>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</si>
  <si>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</si>
  <si>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</si>
  <si>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</si>
  <si>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</si>
  <si>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</si>
  <si>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</si>
  <si>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</si>
  <si>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</si>
  <si>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</si>
  <si>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</si>
  <si>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</si>
  <si>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</si>
  <si>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</si>
  <si>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</si>
  <si>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</si>
  <si>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</si>
  <si>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</si>
  <si>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</si>
  <si>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</si>
  <si>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</si>
  <si>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</si>
  <si>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</si>
  <si>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</si>
  <si>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</si>
  <si>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</si>
  <si>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</si>
  <si>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</si>
  <si>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</si>
  <si>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</si>
  <si>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</si>
  <si>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</si>
  <si>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</si>
  <si>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</si>
  <si>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</si>
  <si>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</si>
  <si>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</si>
  <si>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</si>
  <si>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</si>
  <si>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</si>
  <si>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</si>
  <si>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</si>
  <si>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</si>
  <si>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</si>
  <si>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</si>
  <si>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</si>
  <si>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</si>
  <si>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</si>
  <si>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</si>
  <si>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</si>
  <si>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</si>
  <si>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</si>
  <si>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</si>
  <si>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</si>
  <si>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</si>
  <si>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</si>
  <si>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</si>
  <si>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</si>
  <si>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</si>
  <si>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</si>
  <si>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</si>
  <si>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</si>
  <si>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</si>
  <si>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</si>
  <si>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</si>
  <si>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</si>
  <si>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</si>
  <si>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</si>
  <si>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</si>
  <si>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</si>
  <si>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</si>
  <si>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</si>
  <si>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</si>
  <si>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</si>
  <si>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</si>
  <si>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</si>
  <si>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</si>
  <si>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</si>
  <si>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</si>
  <si>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</si>
  <si>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</si>
  <si>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</si>
  <si>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</si>
  <si>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</si>
  <si>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</si>
  <si>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</si>
  <si>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</si>
  <si>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</si>
  <si>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</si>
  <si>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</si>
  <si>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</si>
  <si>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</si>
  <si>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</si>
  <si>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</si>
  <si>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</si>
  <si>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</si>
  <si>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</si>
  <si>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</si>
  <si>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</si>
  <si>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</si>
  <si>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</si>
  <si>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</si>
  <si>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</si>
  <si>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</si>
  <si>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</si>
  <si>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</si>
  <si>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</si>
  <si>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</si>
  <si>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</si>
  <si>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</si>
  <si>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</si>
  <si>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</si>
  <si>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</si>
  <si>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</si>
  <si>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</si>
  <si>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</si>
  <si>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</si>
  <si>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</si>
  <si>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</si>
  <si>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</si>
  <si>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</si>
  <si>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</si>
  <si>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</si>
  <si>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</si>
  <si>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</si>
  <si>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</si>
  <si>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</si>
  <si>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</si>
  <si>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</si>
  <si>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</si>
  <si>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</si>
  <si>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</si>
  <si>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</si>
  <si>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</si>
  <si>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</si>
  <si>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</si>
  <si>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</si>
  <si>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</si>
  <si>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</si>
  <si>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</si>
  <si>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</si>
  <si>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</si>
  <si>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</si>
  <si>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</si>
  <si>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</si>
  <si>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</si>
  <si>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</si>
  <si>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</si>
  <si>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</si>
  <si>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</si>
  <si>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</si>
  <si>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</si>
  <si>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</si>
  <si>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</si>
  <si>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</si>
  <si>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</si>
  <si>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</si>
  <si>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</si>
  <si>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</si>
  <si>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</si>
  <si>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</si>
  <si>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</si>
  <si>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</si>
  <si>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</si>
  <si>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</si>
  <si>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</si>
  <si>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</si>
  <si>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</si>
  <si>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</si>
  <si>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</si>
  <si>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</si>
  <si>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</si>
  <si>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</si>
  <si>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</si>
  <si>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</si>
  <si>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</si>
  <si>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</si>
  <si>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</si>
  <si>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</si>
  <si>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</si>
  <si>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</si>
  <si>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</si>
  <si>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</si>
  <si>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</si>
  <si>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</si>
  <si>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</si>
  <si>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</si>
  <si>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</si>
  <si>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</si>
  <si>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</si>
  <si>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</si>
  <si>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</si>
  <si>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</si>
  <si>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</si>
  <si>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</si>
  <si>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</si>
  <si>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</si>
  <si>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</si>
  <si>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</si>
  <si>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</si>
  <si>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</si>
  <si>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</si>
  <si>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</si>
  <si>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</si>
  <si>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</si>
  <si>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</si>
  <si>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</si>
  <si>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</si>
  <si>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</si>
  <si>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</si>
  <si>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</si>
  <si>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</si>
  <si>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</si>
  <si>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</si>
  <si>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</si>
  <si>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</si>
  <si>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</si>
  <si>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</si>
  <si>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</si>
  <si>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</si>
  <si>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</si>
  <si>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</si>
  <si>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</si>
  <si>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</si>
  <si>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</si>
  <si>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</si>
  <si>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</si>
  <si>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</si>
  <si>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</si>
  <si>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</si>
  <si>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</si>
  <si>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</si>
  <si>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</si>
  <si>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</si>
  <si>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</si>
  <si>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</si>
  <si>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</si>
  <si>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</si>
  <si>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</si>
  <si>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</si>
  <si>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</si>
  <si>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</si>
  <si>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</si>
  <si>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</si>
  <si>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</si>
  <si>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</si>
  <si>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</si>
  <si>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</si>
  <si>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</si>
  <si>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</si>
  <si>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</si>
  <si>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</si>
  <si>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</si>
  <si>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</si>
  <si>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</si>
  <si>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</si>
  <si>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</si>
  <si>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</si>
  <si>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</si>
  <si>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</si>
  <si>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</si>
  <si>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</si>
  <si>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</si>
  <si>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</si>
  <si>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</si>
  <si>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</si>
  <si>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</si>
  <si>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</si>
  <si>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</si>
  <si>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</si>
  <si>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</si>
  <si>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</si>
  <si>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</si>
  <si>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</si>
  <si>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</si>
  <si>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</si>
  <si>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</si>
  <si>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</si>
  <si>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</si>
  <si>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</si>
  <si>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</si>
  <si>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</si>
  <si>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</si>
  <si>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</si>
  <si>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</si>
  <si>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</si>
  <si>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</si>
  <si>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</si>
  <si>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</si>
  <si>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</si>
  <si>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</si>
  <si>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</si>
  <si>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</si>
  <si>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</si>
  <si>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</si>
  <si>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</si>
  <si>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</si>
  <si>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</si>
  <si>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</si>
  <si>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</si>
  <si>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</si>
  <si>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</si>
  <si>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</si>
  <si>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</si>
  <si>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</si>
  <si>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</si>
  <si>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</si>
  <si>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</si>
  <si>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</si>
  <si>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</si>
  <si>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</si>
  <si>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</si>
  <si>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</si>
  <si>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</si>
  <si>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</si>
  <si>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</si>
  <si>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</si>
  <si>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</si>
  <si>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</si>
  <si>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</si>
  <si>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</si>
  <si>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</si>
  <si>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</si>
  <si>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</si>
  <si>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</si>
  <si>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</si>
  <si>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</si>
  <si>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</si>
  <si>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</si>
  <si>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</si>
  <si>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</si>
  <si>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</si>
  <si>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</si>
  <si>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</si>
  <si>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</si>
  <si>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</si>
  <si>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</si>
  <si>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</si>
  <si>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</si>
  <si>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</si>
  <si>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</si>
  <si>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</si>
  <si>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</si>
  <si>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</si>
  <si>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</si>
  <si>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</si>
  <si>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</si>
  <si>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</si>
  <si>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</si>
  <si>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</si>
  <si>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</si>
  <si>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</si>
  <si>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</si>
  <si>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</si>
  <si>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</si>
  <si>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</si>
  <si>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</si>
  <si>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</si>
  <si>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</si>
  <si>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</si>
  <si>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</si>
  <si>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</si>
  <si>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</si>
  <si>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</si>
  <si>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</si>
  <si>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</si>
  <si>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</si>
  <si>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</si>
  <si>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</si>
  <si>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</si>
  <si>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</si>
  <si>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</si>
  <si>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</si>
  <si>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</si>
  <si>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</si>
  <si>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</si>
  <si>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</si>
  <si>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</si>
  <si>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</si>
  <si>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</si>
  <si>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</si>
  <si>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</si>
  <si>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</si>
  <si>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</si>
  <si>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</si>
  <si>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</si>
  <si>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</si>
  <si>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</si>
  <si>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</si>
  <si>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</si>
  <si>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</si>
  <si>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</si>
  <si>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</si>
  <si>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</si>
  <si>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</si>
  <si>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</si>
  <si>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</si>
  <si>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</si>
  <si>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</si>
  <si>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</si>
  <si>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</si>
  <si>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</si>
  <si>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</si>
  <si>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</si>
  <si>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</si>
  <si>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</si>
  <si>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</si>
  <si>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</si>
  <si>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</si>
  <si>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</si>
  <si>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</si>
  <si>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</si>
  <si>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</si>
  <si>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</si>
  <si>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</si>
  <si>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</si>
  <si>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</si>
  <si>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</si>
  <si>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</si>
  <si>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</si>
  <si>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</si>
  <si>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</si>
  <si>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</si>
  <si>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</si>
  <si>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</si>
  <si>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</si>
  <si>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</si>
  <si>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</si>
  <si>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</si>
  <si>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</si>
  <si>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</si>
  <si>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</si>
  <si>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</si>
  <si>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</si>
  <si>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</si>
  <si>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</si>
  <si>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</si>
  <si>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</si>
  <si>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</si>
  <si>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</si>
  <si>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</si>
  <si>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</si>
  <si>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</si>
  <si>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</si>
  <si>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</si>
  <si>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</si>
  <si>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</si>
  <si>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</si>
  <si>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</si>
  <si>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</si>
  <si>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</si>
  <si>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</si>
  <si>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</si>
  <si>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</si>
  <si>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</si>
  <si>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</si>
  <si>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</si>
  <si>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</si>
  <si>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</si>
  <si>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</si>
  <si>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</si>
  <si>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</si>
  <si>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</si>
  <si>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</si>
  <si>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</si>
  <si>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</si>
  <si>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</si>
  <si>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</si>
  <si>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</si>
  <si>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</si>
  <si>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</si>
  <si>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</si>
  <si>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</si>
  <si>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</si>
  <si>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</si>
  <si>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</si>
  <si>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</si>
  <si>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</si>
  <si>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</si>
  <si>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</si>
  <si>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</si>
  <si>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</si>
  <si>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</si>
  <si>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</si>
  <si>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</si>
  <si>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</si>
  <si>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</si>
  <si>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</si>
  <si>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</si>
  <si>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</si>
  <si>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</si>
  <si>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</si>
  <si>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</si>
  <si>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</si>
  <si>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</si>
  <si>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</si>
  <si>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</si>
  <si>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</si>
  <si>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</si>
  <si>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</si>
  <si>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</si>
  <si>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</si>
  <si>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</si>
  <si>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</si>
  <si>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</si>
  <si>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</si>
  <si>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</si>
  <si>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</si>
  <si>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</si>
  <si>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</si>
  <si>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</si>
  <si>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</si>
  <si>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</si>
  <si>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</si>
  <si>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</si>
  <si>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</si>
  <si>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</si>
  <si>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</si>
  <si>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</si>
  <si>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</si>
  <si>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</si>
  <si>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</si>
  <si>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</si>
  <si>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</si>
  <si>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</si>
  <si>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</si>
  <si>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</si>
  <si>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</si>
  <si>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</si>
  <si>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</si>
  <si>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</si>
  <si>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</si>
  <si>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</si>
  <si>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</si>
  <si>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</si>
  <si>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</si>
  <si>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</si>
  <si>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</si>
  <si>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</si>
  <si>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</si>
  <si>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</si>
  <si>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</si>
  <si>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</si>
  <si>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</si>
  <si>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</si>
  <si>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</si>
  <si>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</si>
  <si>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</si>
  <si>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</si>
  <si>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</si>
  <si>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</si>
  <si>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</si>
  <si>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</si>
  <si>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</si>
  <si>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</si>
  <si>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</si>
  <si>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</si>
  <si>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</si>
  <si>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</si>
  <si>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</si>
  <si>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</si>
  <si>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</si>
  <si>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</si>
  <si>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</si>
  <si>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</si>
  <si>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</si>
  <si>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</si>
  <si>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</si>
  <si>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</si>
  <si>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</si>
  <si>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</si>
  <si>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</si>
  <si>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</si>
  <si>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</si>
  <si>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</si>
  <si>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</si>
  <si>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</si>
  <si>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</si>
  <si>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</si>
  <si>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</si>
  <si>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</si>
  <si>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</si>
  <si>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</si>
  <si>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</si>
  <si>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</si>
  <si>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</si>
  <si>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</si>
  <si>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</si>
  <si>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</si>
  <si>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</si>
  <si>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</si>
  <si>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</si>
  <si>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</si>
  <si>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</si>
  <si>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</si>
  <si>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</si>
  <si>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</si>
  <si>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</si>
  <si>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</si>
  <si>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</si>
  <si>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</si>
  <si>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</si>
  <si>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</si>
  <si>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</si>
  <si>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</si>
  <si>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</si>
  <si>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</si>
  <si>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</si>
  <si>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</si>
  <si>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</si>
  <si>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</si>
  <si>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</si>
  <si>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</si>
  <si>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</si>
  <si>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</si>
  <si>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</si>
  <si>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</si>
  <si>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</si>
  <si>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</si>
  <si>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</si>
  <si>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</si>
  <si>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</si>
  <si>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</si>
  <si>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</si>
  <si>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</si>
  <si>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</si>
  <si>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</si>
  <si>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</si>
  <si>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</si>
  <si>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</si>
  <si>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</si>
  <si>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</si>
  <si>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</si>
  <si>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</si>
  <si>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</si>
  <si>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</si>
  <si>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</si>
  <si>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</si>
  <si>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</si>
  <si>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</si>
  <si>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</si>
  <si>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</si>
  <si>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</si>
  <si>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</si>
  <si>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</si>
  <si>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</si>
  <si>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</si>
  <si>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</si>
  <si>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</si>
  <si>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</si>
  <si>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</si>
  <si>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</si>
  <si>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</si>
  <si>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</si>
  <si>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</si>
  <si>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</si>
  <si>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</si>
  <si>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</si>
  <si>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</si>
  <si>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</si>
  <si>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</si>
  <si>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</si>
  <si>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</si>
  <si>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</si>
  <si>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</si>
  <si>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</si>
  <si>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</si>
  <si>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</si>
  <si>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</si>
  <si>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</si>
  <si>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</si>
  <si>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</si>
  <si>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</si>
  <si>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</si>
  <si>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</si>
  <si>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</si>
  <si>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</si>
  <si>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</si>
  <si>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</si>
  <si>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</si>
  <si>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</si>
  <si>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</si>
  <si>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</si>
  <si>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</si>
  <si>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</si>
  <si>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</si>
  <si>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</si>
  <si>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</si>
  <si>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</si>
  <si>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</si>
  <si>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</si>
  <si>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</si>
  <si>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</si>
  <si>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</si>
  <si>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</si>
  <si>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</si>
  <si>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</si>
  <si>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</si>
  <si>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</si>
  <si>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</si>
  <si>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</si>
  <si>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</si>
  <si>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</si>
  <si>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</si>
  <si>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</si>
  <si>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</si>
  <si>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</si>
  <si>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</si>
  <si>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</si>
  <si>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</si>
  <si>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</si>
  <si>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</si>
  <si>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</si>
  <si>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</si>
  <si>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</si>
  <si>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</si>
  <si>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</si>
  <si>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</si>
  <si>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</si>
  <si>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</si>
  <si>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</si>
  <si>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</si>
  <si>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</si>
  <si>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</si>
  <si>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</si>
  <si>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</si>
  <si>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</si>
  <si>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</si>
  <si>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</si>
  <si>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</si>
  <si>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</si>
  <si>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</si>
  <si>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</si>
  <si>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</si>
  <si>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</si>
  <si>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</si>
  <si>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</si>
  <si>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</si>
  <si>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</si>
  <si>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</si>
  <si>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</si>
  <si>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</si>
  <si>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</si>
  <si>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</si>
  <si>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</si>
  <si>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</si>
  <si>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</si>
  <si>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</si>
  <si>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</si>
  <si>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</si>
  <si>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</si>
  <si>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</si>
  <si>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</si>
  <si>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</si>
  <si>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</si>
  <si>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</si>
  <si>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</si>
  <si>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</si>
  <si>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</si>
  <si>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</si>
  <si>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</si>
  <si>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</si>
  <si>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</si>
  <si>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</si>
  <si>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</si>
  <si>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</si>
  <si>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</si>
  <si>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</si>
  <si>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</si>
  <si>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</si>
  <si>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</si>
  <si>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</si>
  <si>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</si>
  <si>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</si>
  <si>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</si>
  <si>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</si>
  <si>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</si>
  <si>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</si>
  <si>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</si>
  <si>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</si>
  <si>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</si>
  <si>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</si>
  <si>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</si>
  <si>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</si>
  <si>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</si>
  <si>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</si>
  <si>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</si>
  <si>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</si>
  <si>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</si>
  <si>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</si>
  <si>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</si>
  <si>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</si>
  <si>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</si>
  <si>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</si>
  <si>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</si>
  <si>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</si>
  <si>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</si>
  <si>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</si>
  <si>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</si>
  <si>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</si>
  <si>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</si>
  <si>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</si>
  <si>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</si>
  <si>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</si>
  <si>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</si>
  <si>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</si>
  <si>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</si>
  <si>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</si>
  <si>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</si>
  <si>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</si>
  <si>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</si>
  <si>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</si>
  <si>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</si>
  <si>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</si>
  <si>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</si>
  <si>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</si>
  <si>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</si>
  <si>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</si>
  <si>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</si>
  <si>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</si>
  <si>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</si>
  <si>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</si>
  <si>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</si>
  <si>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</si>
  <si>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</si>
  <si>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Fulton</t>
  </si>
  <si>
    <t>20 W. Walnut</t>
  </si>
  <si>
    <t xml:space="preserve">Canton  </t>
  </si>
  <si>
    <t>rolf.sivertsen@cantonusd.org</t>
  </si>
  <si>
    <t>X</t>
  </si>
  <si>
    <t>Rolf Sivertsen</t>
  </si>
  <si>
    <t>309-647-9411</t>
  </si>
  <si>
    <t>309-649-5036</t>
  </si>
  <si>
    <t>Mack &amp; Associates, P.C.</t>
  </si>
  <si>
    <t>Tawnya Mack, CPA</t>
  </si>
  <si>
    <t>116 E. Washington Street, Suite One</t>
  </si>
  <si>
    <t>Morris</t>
  </si>
  <si>
    <t>IL</t>
  </si>
  <si>
    <t>(815) 942-3306</t>
  </si>
  <si>
    <t>(815) 942-9430</t>
  </si>
  <si>
    <t>066-005100</t>
  </si>
  <si>
    <t>tmack@mackcpas.com</t>
  </si>
  <si>
    <t>PDF in Opinion Page with signature</t>
  </si>
  <si>
    <t>Life Safety Bonds 2008</t>
  </si>
  <si>
    <t>Life Safety Bonds 2012</t>
  </si>
  <si>
    <t>Ingersoll Lease</t>
  </si>
  <si>
    <t>Life Safety Bonds 2017</t>
  </si>
  <si>
    <t>Capital Lease</t>
  </si>
  <si>
    <t>x</t>
  </si>
  <si>
    <t>Arbor Management</t>
  </si>
  <si>
    <t>West Central Illinois Special Education Co-op</t>
  </si>
  <si>
    <t>Western Area Career System</t>
  </si>
  <si>
    <t>ED - DIR BUS SUPPORT - PURCHASED SERVICES</t>
  </si>
  <si>
    <t>10-2510-300</t>
  </si>
  <si>
    <t>BEEKMAN &amp; ASSOCIATES</t>
  </si>
  <si>
    <t>BRECHT'S DATABASE SOLUTIONS</t>
  </si>
  <si>
    <t>FRONTLINE TECHNOLOGIES GROUP</t>
  </si>
  <si>
    <t>JEWEL TECHNOLOGY SERVICES, INC.</t>
  </si>
  <si>
    <t>SKYWARD</t>
  </si>
  <si>
    <t>ED - FISCAL SERVICES - PURCHASED SERVICES</t>
  </si>
  <si>
    <t>10-2520-300</t>
  </si>
  <si>
    <t>O&amp;M - O&amp;M PLANT - PURCHASED SERVICES</t>
  </si>
  <si>
    <t>20-2540-300</t>
  </si>
  <si>
    <t>AMERICAN PEST CONTROL</t>
  </si>
  <si>
    <t>ENVIRONMENTAL CONTROL SOLUTION</t>
  </si>
  <si>
    <t>HUNTER HYDROVAC, INC.</t>
  </si>
  <si>
    <t>ED - FOOD SERVICES - PURCHASED SERVICES</t>
  </si>
  <si>
    <t>10-2560-300</t>
  </si>
  <si>
    <t>ARBOR MANAGEMENT</t>
  </si>
  <si>
    <t>Page 10, Line 74 - Sales of Excess Food</t>
  </si>
  <si>
    <t xml:space="preserve">Page 11, Line 107 - </t>
  </si>
  <si>
    <t>Education - Refunds &amp; Reimbursements</t>
  </si>
  <si>
    <t>Operations &amp; Maintenance - Insurance &amp; Miscellaneous reimbursements</t>
  </si>
  <si>
    <t>Transportation - Refunds &amp; Reimbursements</t>
  </si>
  <si>
    <t>Page 12, Line 171 - State Library Grant</t>
  </si>
  <si>
    <t>Page 16, Line 83 - School Resource Officer</t>
  </si>
  <si>
    <t>Page 18, Line 165 - Bank Agent Fees</t>
  </si>
  <si>
    <t>Rounding Adjustment</t>
  </si>
  <si>
    <r>
      <t xml:space="preserve">Of the federal expenditures presented in the schedule, </t>
    </r>
    <r>
      <rPr>
        <b/>
        <sz val="9"/>
        <rFont val="Calibri"/>
        <family val="2"/>
        <scheme val="minor"/>
      </rPr>
      <t>Canton Union CUSD #66</t>
    </r>
    <r>
      <rPr>
        <sz val="9"/>
        <rFont val="Calibri"/>
        <family val="2"/>
        <scheme val="minor"/>
      </rPr>
      <t xml:space="preserve"> provided federal awards to subrecipients as follows:</t>
    </r>
  </si>
  <si>
    <r>
      <t xml:space="preserve">The accompanying Schedule of Expenditures of Federal Awards includes the federal grant activity of </t>
    </r>
    <r>
      <rPr>
        <b/>
        <sz val="9"/>
        <rFont val="Calibri"/>
        <family val="2"/>
        <scheme val="minor"/>
      </rPr>
      <t>Canton Union CUSD #66</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 xml:space="preserve">General-Purpose </t>
    </r>
    <r>
      <rPr>
        <sz val="9"/>
        <rFont val="Calibri"/>
        <family val="2"/>
        <scheme val="minor"/>
      </rPr>
      <t>financial statements.</t>
    </r>
  </si>
  <si>
    <t>None</t>
  </si>
  <si>
    <t>N/A</t>
  </si>
  <si>
    <t>US DEPARTMENT OF EDUCATION:</t>
  </si>
  <si>
    <t xml:space="preserve">  PASSED THROUGH ISBE:</t>
  </si>
  <si>
    <t>84.010A</t>
  </si>
  <si>
    <t>2017-4300</t>
  </si>
  <si>
    <t>2018-4300</t>
  </si>
  <si>
    <t xml:space="preserve">      TOTAL TITLE I - LOW INCOME</t>
  </si>
  <si>
    <t xml:space="preserve">    TITLE V - RURAL EDUCATION - 2017</t>
  </si>
  <si>
    <t>2017-4107</t>
  </si>
  <si>
    <t xml:space="preserve">    TITLE V - RURAL EDUCATION - 2018</t>
  </si>
  <si>
    <t>2018-4107</t>
  </si>
  <si>
    <t xml:space="preserve">      TOTAL TITLE V - RURAL EDUCATION</t>
  </si>
  <si>
    <t xml:space="preserve">    TITLE II - TEACHER QUALITY - 2017</t>
  </si>
  <si>
    <t>84.367A</t>
  </si>
  <si>
    <t>2017-4932</t>
  </si>
  <si>
    <t xml:space="preserve">    TITLE II - TEACHER QUALITY - 2018</t>
  </si>
  <si>
    <t>2018-4932</t>
  </si>
  <si>
    <t xml:space="preserve">      TOTAL TITLE II - TEACHER QUALITY</t>
  </si>
  <si>
    <t xml:space="preserve">    TITLE IVA - STUDENT SUPPORT</t>
  </si>
  <si>
    <t>2018-4400</t>
  </si>
  <si>
    <t xml:space="preserve">    TITLE I - LOW INCOME - 2017 (M)</t>
  </si>
  <si>
    <t xml:space="preserve">    TITLE I - LOW INCOME - 2018 (M)</t>
  </si>
  <si>
    <t xml:space="preserve">  SPECIAL EDUCATION CLUSTER:</t>
  </si>
  <si>
    <t xml:space="preserve">    PASSED THROUGH ISBE:</t>
  </si>
  <si>
    <t xml:space="preserve">      IDEA - ROOM &amp; BOARD - EXCESS</t>
  </si>
  <si>
    <t>84.027A</t>
  </si>
  <si>
    <t>2017-4625</t>
  </si>
  <si>
    <t xml:space="preserve">      IDEA - ROOM &amp; BOARD</t>
  </si>
  <si>
    <t xml:space="preserve">        TOTAL IDEA - ROOM &amp; BOARD</t>
  </si>
  <si>
    <t xml:space="preserve">  SPECIAL EDUCATION CLUSTER (CONT):</t>
  </si>
  <si>
    <t xml:space="preserve">    PASSED THROUGH WCISEC:</t>
  </si>
  <si>
    <t xml:space="preserve">      IDEA - FLOW-THROUGH - 2017</t>
  </si>
  <si>
    <t>84.173A</t>
  </si>
  <si>
    <t>2017-4600</t>
  </si>
  <si>
    <t xml:space="preserve">      IDEA - FLOW-THROUGH - 2018</t>
  </si>
  <si>
    <t>2018-4600</t>
  </si>
  <si>
    <t xml:space="preserve">        TOTAL IDEA - FLOW-THROUGH</t>
  </si>
  <si>
    <t>TOTAL US DEPARTMENT OF EDUCATION</t>
  </si>
  <si>
    <t>US DEPARTMENT OF AGRICULTURE:</t>
  </si>
  <si>
    <t xml:space="preserve">  CHILD NUTRITION CLUSTER (M):</t>
  </si>
  <si>
    <t xml:space="preserve">    PASSED THROUGH DoD:</t>
  </si>
  <si>
    <t xml:space="preserve">      COMMODITY CREDIT (FRESH)</t>
  </si>
  <si>
    <t>2018-4250</t>
  </si>
  <si>
    <t xml:space="preserve">      COMMODITY CREDIT (LANTER)</t>
  </si>
  <si>
    <t xml:space="preserve">      NATIONAL SCHOOL LUNCH PROG - 2017</t>
  </si>
  <si>
    <t>2018-4210</t>
  </si>
  <si>
    <t>2017-4210</t>
  </si>
  <si>
    <t xml:space="preserve">      NATIONAL SCHOOL LUNCH PROG - 2018</t>
  </si>
  <si>
    <t xml:space="preserve">        TOTAL NATIONAL SCHOOL LUNCH PROG</t>
  </si>
  <si>
    <t>US DEPARTMENT OF AGRICULTURE (CONT):</t>
  </si>
  <si>
    <t xml:space="preserve">  CHILD NUTRITION CLUSTER (M) (CONT):</t>
  </si>
  <si>
    <t xml:space="preserve">    SCHOOL BREAKFAST PROGRAM - 2017</t>
  </si>
  <si>
    <t>2017-4220</t>
  </si>
  <si>
    <t xml:space="preserve">    SCHOOL BREAKFAST PROGRAM - 2018</t>
  </si>
  <si>
    <t>2018-4220</t>
  </si>
  <si>
    <t xml:space="preserve">      TOTAL SCHOOL BREAKFAST PROGRAM</t>
  </si>
  <si>
    <t xml:space="preserve">  TOTAL CHILD NUTRITION CLUSTER</t>
  </si>
  <si>
    <t xml:space="preserve">  CHILD &amp; ADULT FOOD CARE PROGRAM - 2017</t>
  </si>
  <si>
    <t>2017-4215</t>
  </si>
  <si>
    <t xml:space="preserve">  CHILD &amp; ADULT FOOD CARE PROGRAM - 2018</t>
  </si>
  <si>
    <t>2018-4215</t>
  </si>
  <si>
    <t xml:space="preserve">    TOTAL CHILD &amp; ADULT FOOD CARE PROGRAM</t>
  </si>
  <si>
    <t>TOTAL US DEPARTMENT OF AGRICULTURE</t>
  </si>
  <si>
    <t>US DEPARTMENT OF HEALTH &amp; HUM. SVCS.:</t>
  </si>
  <si>
    <t xml:space="preserve">  PASSED THROUGH IL DCHFS:</t>
  </si>
  <si>
    <t xml:space="preserve">    MEDICAL ASSITANCE PROGRAM - 2017</t>
  </si>
  <si>
    <t>2017-4991</t>
  </si>
  <si>
    <t xml:space="preserve">    MEDICAL ASSITANCE PROGRAM - 2018</t>
  </si>
  <si>
    <t>2018-4991</t>
  </si>
  <si>
    <t>TOTAL US DEPARTMENT OF HEALTH &amp; HUM. SVCS.</t>
  </si>
  <si>
    <t>US NATIONAL ENDOWMENT FOR HUMANITIES:</t>
  </si>
  <si>
    <t xml:space="preserve">  PASSED THROUGH IL. STATE LIBRARY:</t>
  </si>
  <si>
    <t xml:space="preserve">    LIBRARY SERVICE &amp; TECH. ACT GRANT</t>
  </si>
  <si>
    <t>18-5182-BTB</t>
  </si>
  <si>
    <t>TOTAL FEDERAL AWARDS</t>
  </si>
  <si>
    <t>ADVERSE</t>
  </si>
  <si>
    <t>UNQUALIFIED</t>
  </si>
  <si>
    <t>TITLE I - LOW INCOME</t>
  </si>
  <si>
    <t>10.555; 10.553</t>
  </si>
  <si>
    <t>CHILD NUTRITION CLUSTER</t>
  </si>
  <si>
    <t>Page 10, Line 81 - Technology Device Fees</t>
  </si>
  <si>
    <t>Debt Services - Lease receipts to cover loan payment</t>
  </si>
  <si>
    <t>Capital Projects - Insurance reimbursement</t>
  </si>
  <si>
    <t>Page 14, Line 272 - Federal Library Grant</t>
  </si>
  <si>
    <t>Canton Union School District  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</si>
</sst>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742950</xdr:colOff>
          <xdr:row>4</xdr:row>
          <xdr:rowOff>57150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742950</xdr:colOff>
          <xdr:row>8</xdr:row>
          <xdr:rowOff>57150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742950</xdr:colOff>
          <xdr:row>12</xdr:row>
          <xdr:rowOff>57150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1400-000004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2.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3" t="s">
        <v>425</v>
      </c>
      <c r="J1" s="2034"/>
      <c r="K1" s="2034"/>
      <c r="L1" s="2034"/>
      <c r="M1" s="2034"/>
      <c r="N1" s="2034"/>
      <c r="O1" s="2034"/>
      <c r="P1" s="2034"/>
      <c r="Q1" s="2034"/>
      <c r="R1" s="2034"/>
      <c r="S1" s="2034"/>
    </row>
    <row r="2" spans="1:28" ht="12" customHeight="1" x14ac:dyDescent="0.2">
      <c r="A2" s="47" t="s">
        <v>1684</v>
      </c>
      <c r="D2" s="48"/>
      <c r="I2" s="2035" t="s">
        <v>1036</v>
      </c>
      <c r="J2" s="2034"/>
      <c r="K2" s="2034"/>
      <c r="L2" s="2034"/>
      <c r="M2" s="2034"/>
      <c r="N2" s="2034"/>
      <c r="O2" s="2034"/>
      <c r="P2" s="2034"/>
      <c r="Q2" s="2034"/>
      <c r="R2" s="2034"/>
      <c r="S2" s="2034"/>
    </row>
    <row r="3" spans="1:28" ht="12" customHeight="1" x14ac:dyDescent="0.2">
      <c r="A3" s="155" t="s">
        <v>1685</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t="s">
        <v>2079</v>
      </c>
      <c r="C5" s="26" t="s">
        <v>966</v>
      </c>
      <c r="D5" s="84"/>
      <c r="E5" s="84"/>
      <c r="H5" s="38"/>
      <c r="I5" s="2042" t="s">
        <v>701</v>
      </c>
      <c r="J5" s="1987"/>
      <c r="K5" s="1987"/>
      <c r="L5" s="1987"/>
      <c r="M5" s="1987"/>
      <c r="N5" s="1987"/>
      <c r="O5" s="1987"/>
      <c r="P5" s="1987"/>
      <c r="Q5" s="1987"/>
      <c r="R5" s="1987"/>
      <c r="S5" s="1987"/>
    </row>
    <row r="6" spans="1:28" ht="14.1" customHeight="1" x14ac:dyDescent="0.2">
      <c r="B6" s="104"/>
      <c r="C6" s="26" t="s">
        <v>967</v>
      </c>
      <c r="D6" s="84"/>
      <c r="E6" s="84"/>
      <c r="I6" s="2041" t="s">
        <v>938</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8" t="s">
        <v>2079</v>
      </c>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3">
        <v>26029066025</v>
      </c>
      <c r="B13" s="2004"/>
      <c r="C13" s="2004"/>
      <c r="D13" s="2004"/>
      <c r="E13" s="2004"/>
      <c r="F13" s="2004"/>
      <c r="G13" s="2004"/>
      <c r="H13" s="2005"/>
      <c r="I13" s="31"/>
      <c r="J13" s="30"/>
      <c r="K13" s="28"/>
      <c r="L13" s="30"/>
      <c r="M13" s="30"/>
      <c r="N13" s="30"/>
      <c r="O13" s="30"/>
      <c r="P13" s="30"/>
      <c r="Q13" s="30"/>
      <c r="R13" s="30"/>
      <c r="S13" s="30"/>
      <c r="T13" s="2008" t="s">
        <v>2083</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1" t="s">
        <v>2075</v>
      </c>
      <c r="B15" s="2006"/>
      <c r="C15" s="2006"/>
      <c r="D15" s="2006"/>
      <c r="E15" s="2006"/>
      <c r="F15" s="2006"/>
      <c r="G15" s="2006"/>
      <c r="H15" s="2007"/>
      <c r="T15" s="1969" t="s">
        <v>2084</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1" t="s">
        <v>2215</v>
      </c>
      <c r="B17" s="2031"/>
      <c r="C17" s="2031"/>
      <c r="D17" s="2031"/>
      <c r="E17" s="2031"/>
      <c r="F17" s="2031"/>
      <c r="G17" s="2031"/>
      <c r="H17" s="2032"/>
      <c r="T17" s="2018" t="s">
        <v>2085</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01" t="s">
        <v>2076</v>
      </c>
      <c r="B19" s="2002"/>
      <c r="C19" s="2002"/>
      <c r="D19" s="2002"/>
      <c r="E19" s="2002"/>
      <c r="F19" s="2002"/>
      <c r="G19" s="2002"/>
      <c r="H19" s="2000"/>
      <c r="I19" s="30"/>
      <c r="J19" s="99"/>
      <c r="K19" s="40"/>
      <c r="L19" s="38"/>
      <c r="M19" s="112" t="s">
        <v>333</v>
      </c>
      <c r="P19" s="27"/>
      <c r="Q19" s="27"/>
      <c r="R19" s="27"/>
      <c r="S19" s="31"/>
      <c r="T19" s="2001" t="s">
        <v>2086</v>
      </c>
      <c r="U19" s="1999"/>
      <c r="V19" s="1999"/>
      <c r="W19" s="2000"/>
      <c r="X19" s="2016" t="s">
        <v>2087</v>
      </c>
      <c r="Y19" s="2017"/>
      <c r="Z19" s="2014">
        <v>60450</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8" t="s">
        <v>2077</v>
      </c>
      <c r="B21" s="1999"/>
      <c r="C21" s="1999"/>
      <c r="D21" s="1999"/>
      <c r="E21" s="1999"/>
      <c r="F21" s="1999"/>
      <c r="G21" s="1999"/>
      <c r="H21" s="2000"/>
      <c r="I21" s="2024" t="s">
        <v>699</v>
      </c>
      <c r="J21" s="1987"/>
      <c r="K21" s="1987"/>
      <c r="L21" s="1987"/>
      <c r="M21" s="1987"/>
      <c r="N21" s="1987"/>
      <c r="O21" s="1987"/>
      <c r="P21" s="1987"/>
      <c r="Q21" s="1987"/>
      <c r="R21" s="1987"/>
      <c r="S21" s="1988"/>
      <c r="T21" s="1966" t="s">
        <v>2088</v>
      </c>
      <c r="U21" s="1967"/>
      <c r="V21" s="1967"/>
      <c r="W21" s="1967"/>
      <c r="X21" s="1980" t="s">
        <v>2089</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1" t="s">
        <v>2078</v>
      </c>
      <c r="B23" s="2022"/>
      <c r="C23" s="2022"/>
      <c r="D23" s="2022"/>
      <c r="E23" s="2022"/>
      <c r="F23" s="2022"/>
      <c r="G23" s="2022"/>
      <c r="H23" s="2023"/>
      <c r="T23" s="1961" t="s">
        <v>2090</v>
      </c>
      <c r="U23" s="1962"/>
      <c r="V23" s="1962"/>
      <c r="W23" s="1962"/>
      <c r="X23" s="1977">
        <v>43434</v>
      </c>
      <c r="Y23" s="1978"/>
      <c r="Z23" s="1978"/>
      <c r="AA23" s="1979"/>
    </row>
    <row r="24" spans="1:27" ht="14.1" customHeight="1" x14ac:dyDescent="0.2">
      <c r="A24" s="88" t="s">
        <v>698</v>
      </c>
      <c r="B24" s="49"/>
      <c r="C24" s="49"/>
      <c r="D24" s="49"/>
      <c r="E24" s="49"/>
      <c r="F24" s="49"/>
      <c r="G24" s="49"/>
      <c r="H24" s="61"/>
      <c r="J24" s="2063">
        <f>IF(B5="x",IF(AUDITCHECK!D29="AFR form Incomplete.","",IF(AUDITCHECK!D29="Deficit reduction plan is required.","School District must complete a deficit reduction plan in the 2018-2019 Budget",)),"")</f>
        <v>0</v>
      </c>
      <c r="K24" s="2063"/>
      <c r="L24" s="2063"/>
      <c r="M24" s="2063"/>
      <c r="N24" s="2063"/>
      <c r="O24" s="2063"/>
      <c r="P24" s="2063"/>
      <c r="Q24" s="2063"/>
      <c r="R24" s="2063"/>
      <c r="S24" s="2064"/>
      <c r="T24" s="105" t="s">
        <v>552</v>
      </c>
      <c r="U24" s="106"/>
      <c r="V24" s="106"/>
      <c r="W24" s="106"/>
      <c r="X24" s="107"/>
      <c r="Y24" s="107"/>
      <c r="Z24" s="107"/>
      <c r="AA24" s="108"/>
    </row>
    <row r="25" spans="1:27" ht="14.1" customHeight="1" x14ac:dyDescent="0.2">
      <c r="A25" s="1998">
        <v>61520</v>
      </c>
      <c r="B25" s="1999"/>
      <c r="C25" s="1999"/>
      <c r="D25" s="1999"/>
      <c r="E25" s="1999"/>
      <c r="F25" s="1999"/>
      <c r="G25" s="1999"/>
      <c r="H25" s="2000"/>
      <c r="I25" s="113"/>
      <c r="J25" s="2065"/>
      <c r="K25" s="2065"/>
      <c r="L25" s="2065"/>
      <c r="M25" s="2065"/>
      <c r="N25" s="2065"/>
      <c r="O25" s="2065"/>
      <c r="P25" s="2065"/>
      <c r="Q25" s="2065"/>
      <c r="R25" s="2065"/>
      <c r="S25" s="2066"/>
      <c r="T25" s="1958" t="s">
        <v>2091</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2079</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2079</v>
      </c>
      <c r="C30" s="124" t="s">
        <v>1226</v>
      </c>
      <c r="D30" s="28"/>
      <c r="E30" s="28"/>
      <c r="F30" s="140"/>
      <c r="G30" s="114"/>
      <c r="H30" s="114"/>
      <c r="I30" s="54"/>
      <c r="J30" s="148" t="s">
        <v>2079</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2079</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1" t="s">
        <v>2080</v>
      </c>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552</v>
      </c>
      <c r="B39" s="2055"/>
      <c r="C39" s="72"/>
      <c r="D39" s="69"/>
      <c r="E39" s="69"/>
      <c r="F39" s="79"/>
      <c r="G39" s="69"/>
      <c r="H39" s="56"/>
      <c r="I39" s="2054" t="s">
        <v>552</v>
      </c>
      <c r="J39" s="2055"/>
      <c r="K39" s="2055"/>
      <c r="L39" s="2055"/>
      <c r="M39" s="2055"/>
      <c r="N39" s="67"/>
      <c r="O39" s="72"/>
      <c r="P39" s="72"/>
      <c r="Q39" s="78"/>
      <c r="R39" s="72"/>
      <c r="S39" s="56"/>
      <c r="T39" s="72" t="s">
        <v>552</v>
      </c>
      <c r="U39" s="51"/>
      <c r="V39" s="72"/>
      <c r="W39" s="50"/>
      <c r="X39" s="78"/>
      <c r="Y39" s="45"/>
      <c r="Z39" s="45"/>
      <c r="AA39" s="46"/>
    </row>
    <row r="40" spans="1:27" ht="13.5" customHeight="1" x14ac:dyDescent="0.2">
      <c r="A40" s="2057" t="s">
        <v>2078</v>
      </c>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t="s">
        <v>2081</v>
      </c>
      <c r="B42" s="2048"/>
      <c r="C42" s="2049"/>
      <c r="D42" s="2062" t="s">
        <v>2082</v>
      </c>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14" sqref="C14"/>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0" t="s">
        <v>1903</v>
      </c>
      <c r="B2" s="1550" t="s">
        <v>2033</v>
      </c>
      <c r="C2" s="715" t="s">
        <v>1908</v>
      </c>
      <c r="D2" s="715" t="s">
        <v>1909</v>
      </c>
      <c r="E2" s="715" t="s">
        <v>1910</v>
      </c>
      <c r="F2" s="715" t="s">
        <v>1911</v>
      </c>
    </row>
    <row r="3" spans="1:6" ht="12" customHeight="1" x14ac:dyDescent="0.2">
      <c r="A3" s="2201"/>
      <c r="B3" s="1547"/>
      <c r="C3" s="1548"/>
      <c r="D3" s="1549" t="s">
        <v>274</v>
      </c>
      <c r="E3" s="1548"/>
      <c r="F3" s="1549" t="s">
        <v>275</v>
      </c>
    </row>
    <row r="4" spans="1:6" ht="13.7" customHeight="1" x14ac:dyDescent="0.2">
      <c r="A4" s="716" t="s">
        <v>1217</v>
      </c>
      <c r="B4" s="1771">
        <f>'Revenues 9-14'!C5</f>
        <v>3872951</v>
      </c>
      <c r="C4" s="1546">
        <v>2197850</v>
      </c>
      <c r="D4" s="1774">
        <f>B4-C4</f>
        <v>1675101</v>
      </c>
      <c r="E4" s="1546">
        <v>3950040</v>
      </c>
      <c r="F4" s="1774">
        <f>E4-C4</f>
        <v>1752190</v>
      </c>
    </row>
    <row r="5" spans="1:6" ht="13.7" customHeight="1" x14ac:dyDescent="0.2">
      <c r="A5" s="716" t="s">
        <v>925</v>
      </c>
      <c r="B5" s="1772">
        <f>'Revenues 9-14'!D5</f>
        <v>1054617</v>
      </c>
      <c r="C5" s="585">
        <v>599425</v>
      </c>
      <c r="D5" s="1775">
        <f t="shared" ref="D5:D18" si="0">B5-C5</f>
        <v>455192</v>
      </c>
      <c r="E5" s="585">
        <v>1077303</v>
      </c>
      <c r="F5" s="1775">
        <f>E5-C5</f>
        <v>477878</v>
      </c>
    </row>
    <row r="6" spans="1:6" ht="13.7" customHeight="1" x14ac:dyDescent="0.2">
      <c r="A6" s="716" t="s">
        <v>431</v>
      </c>
      <c r="B6" s="1772">
        <f>'Revenues 9-14'!E5</f>
        <v>790895</v>
      </c>
      <c r="C6" s="585">
        <v>442857</v>
      </c>
      <c r="D6" s="1775">
        <f t="shared" si="0"/>
        <v>348038</v>
      </c>
      <c r="E6" s="585">
        <v>795912</v>
      </c>
      <c r="F6" s="1775">
        <f t="shared" ref="F6:F18" si="1">E6-C6</f>
        <v>353055</v>
      </c>
    </row>
    <row r="7" spans="1:6" ht="13.7" customHeight="1" x14ac:dyDescent="0.2">
      <c r="A7" s="716" t="s">
        <v>157</v>
      </c>
      <c r="B7" s="1772">
        <f>'Revenues 9-14'!F5</f>
        <v>421367</v>
      </c>
      <c r="C7" s="585">
        <v>239290</v>
      </c>
      <c r="D7" s="1775">
        <f t="shared" si="0"/>
        <v>182077</v>
      </c>
      <c r="E7" s="585">
        <v>430059</v>
      </c>
      <c r="F7" s="1775">
        <f t="shared" si="1"/>
        <v>190769</v>
      </c>
    </row>
    <row r="8" spans="1:6" ht="13.7" customHeight="1" x14ac:dyDescent="0.2">
      <c r="A8" s="716" t="s">
        <v>1241</v>
      </c>
      <c r="B8" s="1772">
        <f>'Revenues 9-14'!G5</f>
        <v>268360</v>
      </c>
      <c r="C8" s="585">
        <v>137266</v>
      </c>
      <c r="D8" s="1775">
        <f t="shared" si="0"/>
        <v>131094</v>
      </c>
      <c r="E8" s="585">
        <v>246702</v>
      </c>
      <c r="F8" s="1775">
        <f t="shared" si="1"/>
        <v>109436</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105340</v>
      </c>
      <c r="C10" s="585">
        <v>59821</v>
      </c>
      <c r="D10" s="1775">
        <f t="shared" si="0"/>
        <v>45519</v>
      </c>
      <c r="E10" s="585">
        <v>107515</v>
      </c>
      <c r="F10" s="1775">
        <f t="shared" si="1"/>
        <v>47694</v>
      </c>
    </row>
    <row r="11" spans="1:6" x14ac:dyDescent="0.2">
      <c r="A11" s="716" t="s">
        <v>429</v>
      </c>
      <c r="B11" s="1772">
        <f>'Revenues 9-14'!J5</f>
        <v>1043565</v>
      </c>
      <c r="C11" s="585">
        <v>667761</v>
      </c>
      <c r="D11" s="1775">
        <f t="shared" si="0"/>
        <v>375804</v>
      </c>
      <c r="E11" s="585">
        <v>1200116</v>
      </c>
      <c r="F11" s="1775">
        <f t="shared" si="1"/>
        <v>532355</v>
      </c>
    </row>
    <row r="12" spans="1:6" ht="13.7" customHeight="1" x14ac:dyDescent="0.2">
      <c r="A12" s="716" t="s">
        <v>159</v>
      </c>
      <c r="B12" s="1772">
        <f>'Revenues 9-14'!K5</f>
        <v>105340</v>
      </c>
      <c r="C12" s="585">
        <v>59821</v>
      </c>
      <c r="D12" s="1775">
        <f t="shared" si="0"/>
        <v>45519</v>
      </c>
      <c r="E12" s="585">
        <v>107515</v>
      </c>
      <c r="F12" s="1775">
        <f t="shared" si="1"/>
        <v>47694</v>
      </c>
    </row>
    <row r="13" spans="1:6" ht="13.7" customHeight="1" x14ac:dyDescent="0.2">
      <c r="A13" s="716" t="s">
        <v>993</v>
      </c>
      <c r="B13" s="1772">
        <f>SUM('Revenues 9-14'!C6:D6)</f>
        <v>105340</v>
      </c>
      <c r="C13" s="585">
        <v>59821</v>
      </c>
      <c r="D13" s="1775">
        <f t="shared" si="0"/>
        <v>45519</v>
      </c>
      <c r="E13" s="585">
        <v>107515</v>
      </c>
      <c r="F13" s="1775">
        <f t="shared" si="1"/>
        <v>47694</v>
      </c>
    </row>
    <row r="14" spans="1:6" ht="13.7" customHeight="1" x14ac:dyDescent="0.2">
      <c r="A14" s="716" t="s">
        <v>430</v>
      </c>
      <c r="B14" s="1772">
        <f>SUM('Revenues 9-14'!C7:D7,'Revenues 9-14'!F7:H7)</f>
        <v>84370</v>
      </c>
      <c r="C14" s="585">
        <v>47956</v>
      </c>
      <c r="D14" s="1775">
        <f t="shared" si="0"/>
        <v>36414</v>
      </c>
      <c r="E14" s="585">
        <v>86184</v>
      </c>
      <c r="F14" s="1775">
        <f t="shared" si="1"/>
        <v>38228</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405712</v>
      </c>
      <c r="C16" s="585">
        <v>200330</v>
      </c>
      <c r="D16" s="1775">
        <f t="shared" si="0"/>
        <v>205382</v>
      </c>
      <c r="E16" s="585">
        <v>360035</v>
      </c>
      <c r="F16" s="1775">
        <f t="shared" si="1"/>
        <v>159705</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8257857</v>
      </c>
      <c r="C19" s="1773">
        <f>SUM(C4:C18)</f>
        <v>4712198</v>
      </c>
      <c r="D19" s="1773">
        <f>SUM(D4:D18)</f>
        <v>3545659</v>
      </c>
      <c r="E19" s="1773">
        <f>SUM(E4:E18)</f>
        <v>8468896</v>
      </c>
      <c r="F19" s="1773">
        <f>SUM(F4:F18)</f>
        <v>3756698</v>
      </c>
    </row>
    <row r="20" spans="1:6" ht="13.5" thickTop="1" x14ac:dyDescent="0.2">
      <c r="B20" s="714"/>
      <c r="F20" s="717"/>
    </row>
    <row r="21" spans="1:6" x14ac:dyDescent="0.2">
      <c r="A21" s="718" t="s">
        <v>1913</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J32" sqref="J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650</v>
      </c>
      <c r="B1" s="2207"/>
      <c r="C1" s="722"/>
    </row>
    <row r="2" spans="1:7" ht="33.75" x14ac:dyDescent="0.2">
      <c r="A2" s="2215" t="s">
        <v>1903</v>
      </c>
      <c r="B2" s="2216"/>
      <c r="C2" s="1908" t="s">
        <v>2034</v>
      </c>
      <c r="D2" s="724" t="s">
        <v>2041</v>
      </c>
      <c r="E2" s="724" t="s">
        <v>2042</v>
      </c>
      <c r="F2" s="1908" t="s">
        <v>2035</v>
      </c>
    </row>
    <row r="3" spans="1:7" ht="15.75" customHeight="1" x14ac:dyDescent="0.2">
      <c r="A3" s="2219" t="s">
        <v>1176</v>
      </c>
      <c r="B3" s="2220"/>
      <c r="C3" s="2208"/>
      <c r="D3" s="2209"/>
      <c r="E3" s="2209"/>
      <c r="F3" s="2210"/>
    </row>
    <row r="4" spans="1:7" ht="12.75" customHeight="1" thickBot="1" x14ac:dyDescent="0.25">
      <c r="A4" s="2217" t="s">
        <v>651</v>
      </c>
      <c r="B4" s="2218"/>
      <c r="C4" s="581"/>
      <c r="D4" s="581"/>
      <c r="E4" s="581"/>
      <c r="F4" s="1777">
        <f>SUM(C4+D4)-E4</f>
        <v>0</v>
      </c>
    </row>
    <row r="5" spans="1:7" ht="15.75" customHeight="1" thickTop="1" x14ac:dyDescent="0.2">
      <c r="A5" s="2202" t="s">
        <v>1172</v>
      </c>
      <c r="B5" s="2203"/>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4" t="s">
        <v>652</v>
      </c>
      <c r="B15" s="2205"/>
      <c r="C15" s="1777">
        <f>SUM(C6:C14)</f>
        <v>0</v>
      </c>
      <c r="D15" s="1777">
        <f>SUM(D6:D14)</f>
        <v>0</v>
      </c>
      <c r="E15" s="1777">
        <f>SUM(E6:E14)</f>
        <v>0</v>
      </c>
      <c r="F15" s="1777">
        <f>SUM(F6:F14)</f>
        <v>0</v>
      </c>
      <c r="G15" s="552"/>
    </row>
    <row r="16" spans="1:7" s="202" customFormat="1" ht="15.75" customHeight="1" thickTop="1" x14ac:dyDescent="0.2">
      <c r="A16" s="2214" t="s">
        <v>1173</v>
      </c>
      <c r="B16" s="2203"/>
      <c r="C16" s="2211"/>
      <c r="D16" s="2212"/>
      <c r="E16" s="2212"/>
      <c r="F16" s="2213"/>
    </row>
    <row r="17" spans="1:11" ht="12.75" customHeight="1" thickBot="1" x14ac:dyDescent="0.25">
      <c r="A17" s="2227" t="s">
        <v>66</v>
      </c>
      <c r="B17" s="2228"/>
      <c r="C17" s="727"/>
      <c r="D17" s="585"/>
      <c r="E17" s="727"/>
      <c r="F17" s="1777">
        <f>SUM(C17+D17)-E17</f>
        <v>0</v>
      </c>
    </row>
    <row r="18" spans="1:11" ht="12.75" customHeight="1" thickTop="1" thickBot="1" x14ac:dyDescent="0.25">
      <c r="A18" s="2227" t="s">
        <v>6</v>
      </c>
      <c r="B18" s="2228"/>
      <c r="C18" s="727"/>
      <c r="D18" s="585"/>
      <c r="E18" s="727"/>
      <c r="F18" s="1777">
        <f>SUM(C18+D18)-E18</f>
        <v>0</v>
      </c>
    </row>
    <row r="19" spans="1:11" ht="12.75" customHeight="1" thickTop="1" thickBot="1" x14ac:dyDescent="0.25">
      <c r="A19" s="2227" t="s">
        <v>406</v>
      </c>
      <c r="B19" s="2228"/>
      <c r="C19" s="727"/>
      <c r="D19" s="585"/>
      <c r="E19" s="727"/>
      <c r="F19" s="1777">
        <f>SUM(C19+D19)-E19</f>
        <v>0</v>
      </c>
    </row>
    <row r="20" spans="1:11" ht="12.75" customHeight="1" thickTop="1" thickBot="1" x14ac:dyDescent="0.25">
      <c r="A20" s="2227" t="s">
        <v>468</v>
      </c>
      <c r="B20" s="2228"/>
      <c r="C20" s="727"/>
      <c r="D20" s="585"/>
      <c r="E20" s="727"/>
      <c r="F20" s="1777">
        <f>SUM(C20+D20)-E20</f>
        <v>0</v>
      </c>
    </row>
    <row r="21" spans="1:11" ht="14.25" thickTop="1" thickBot="1" x14ac:dyDescent="0.25">
      <c r="A21" s="2204" t="s">
        <v>653</v>
      </c>
      <c r="B21" s="2205"/>
      <c r="C21" s="1777">
        <f>SUM(C17:C20)</f>
        <v>0</v>
      </c>
      <c r="D21" s="1777">
        <f>SUM(D17:D20)</f>
        <v>0</v>
      </c>
      <c r="E21" s="1777">
        <f>SUM(E17:E20)</f>
        <v>0</v>
      </c>
      <c r="F21" s="1777">
        <f>SUM(F17:F20)</f>
        <v>0</v>
      </c>
      <c r="G21" s="552"/>
    </row>
    <row r="22" spans="1:11" ht="15.75" customHeight="1" thickTop="1" x14ac:dyDescent="0.2">
      <c r="A22" s="2229" t="s">
        <v>1174</v>
      </c>
      <c r="B22" s="2203"/>
      <c r="C22" s="2211"/>
      <c r="D22" s="2212"/>
      <c r="E22" s="2212"/>
      <c r="F22" s="2213"/>
    </row>
    <row r="23" spans="1:11" ht="13.5" thickBot="1" x14ac:dyDescent="0.25">
      <c r="A23" s="2217" t="s">
        <v>654</v>
      </c>
      <c r="B23" s="2218"/>
      <c r="C23" s="581"/>
      <c r="D23" s="581"/>
      <c r="E23" s="581"/>
      <c r="F23" s="1777">
        <f>SUM(C23+D23)-E23</f>
        <v>0</v>
      </c>
      <c r="G23" s="552"/>
    </row>
    <row r="24" spans="1:11" ht="15.75" customHeight="1" thickTop="1" x14ac:dyDescent="0.2">
      <c r="A24" s="2229" t="s">
        <v>1175</v>
      </c>
      <c r="B24" s="2203"/>
      <c r="C24" s="2211"/>
      <c r="D24" s="2212"/>
      <c r="E24" s="2212"/>
      <c r="F24" s="2213"/>
    </row>
    <row r="25" spans="1:11" ht="13.5" thickBot="1" x14ac:dyDescent="0.25">
      <c r="A25" s="2217" t="s">
        <v>655</v>
      </c>
      <c r="B25" s="2218"/>
      <c r="C25" s="581"/>
      <c r="D25" s="581"/>
      <c r="E25" s="581"/>
      <c r="F25" s="1777">
        <f>SUM(C25+D25)-E25</f>
        <v>0</v>
      </c>
      <c r="G25" s="552"/>
    </row>
    <row r="26" spans="1:11" ht="15.75" customHeight="1" thickTop="1" x14ac:dyDescent="0.2">
      <c r="A26" s="2202" t="s">
        <v>678</v>
      </c>
      <c r="B26" s="2203"/>
      <c r="C26" s="728"/>
      <c r="D26" s="728"/>
      <c r="E26" s="728"/>
      <c r="F26" s="729"/>
    </row>
    <row r="27" spans="1:11" ht="13.5" thickBot="1" x14ac:dyDescent="0.25">
      <c r="A27" s="2204" t="s">
        <v>1130</v>
      </c>
      <c r="B27" s="2205"/>
      <c r="C27" s="585"/>
      <c r="D27" s="585"/>
      <c r="E27" s="585"/>
      <c r="F27" s="1777">
        <f>SUM(C27+D27)-E27</f>
        <v>0</v>
      </c>
      <c r="G27" s="552"/>
    </row>
    <row r="28" spans="1:11" ht="7.5" customHeight="1" thickTop="1" x14ac:dyDescent="0.2">
      <c r="A28" s="594"/>
    </row>
    <row r="29" spans="1:11" ht="23.25" customHeight="1" x14ac:dyDescent="0.2">
      <c r="A29" s="2230" t="s">
        <v>603</v>
      </c>
      <c r="B29" s="2207"/>
      <c r="C29" s="730"/>
      <c r="D29" s="730"/>
      <c r="E29" s="730"/>
      <c r="F29" s="730"/>
      <c r="G29" s="730"/>
      <c r="H29" s="730"/>
      <c r="I29" s="730"/>
      <c r="J29" s="730"/>
    </row>
    <row r="30" spans="1:11" ht="33.75" x14ac:dyDescent="0.2">
      <c r="A30" s="1551" t="s">
        <v>1131</v>
      </c>
      <c r="B30" s="731" t="s">
        <v>1186</v>
      </c>
      <c r="C30" s="1909" t="s">
        <v>604</v>
      </c>
      <c r="D30" s="1909" t="s">
        <v>1772</v>
      </c>
      <c r="E30" s="1909" t="s">
        <v>2036</v>
      </c>
      <c r="F30" s="1909" t="s">
        <v>2037</v>
      </c>
      <c r="G30" s="1909" t="s">
        <v>2040</v>
      </c>
      <c r="H30" s="1909" t="s">
        <v>2038</v>
      </c>
      <c r="I30" s="1909" t="s">
        <v>2039</v>
      </c>
      <c r="J30" s="1910" t="s">
        <v>2</v>
      </c>
      <c r="K30" s="732"/>
    </row>
    <row r="31" spans="1:11" ht="12" customHeight="1" x14ac:dyDescent="0.2">
      <c r="A31" s="733" t="s">
        <v>2093</v>
      </c>
      <c r="B31" s="734">
        <v>39692</v>
      </c>
      <c r="C31" s="735">
        <v>2700000</v>
      </c>
      <c r="D31" s="736">
        <v>4</v>
      </c>
      <c r="E31" s="735">
        <v>1360000</v>
      </c>
      <c r="F31" s="735"/>
      <c r="G31" s="735"/>
      <c r="H31" s="735">
        <v>665000</v>
      </c>
      <c r="I31" s="1778">
        <f>((E31+F31)-H31)+G31</f>
        <v>695000</v>
      </c>
      <c r="J31" s="735">
        <f>695000-526433+69525</f>
        <v>238092</v>
      </c>
      <c r="K31" s="737"/>
    </row>
    <row r="32" spans="1:11" ht="12" customHeight="1" x14ac:dyDescent="0.2">
      <c r="A32" s="733" t="s">
        <v>2094</v>
      </c>
      <c r="B32" s="734">
        <v>41061</v>
      </c>
      <c r="C32" s="735">
        <v>3055000</v>
      </c>
      <c r="D32" s="736">
        <v>4</v>
      </c>
      <c r="E32" s="735">
        <v>3055000</v>
      </c>
      <c r="F32" s="735"/>
      <c r="G32" s="735"/>
      <c r="H32" s="735"/>
      <c r="I32" s="1778">
        <f>((E32+F32)-H32)+G32</f>
        <v>3055000</v>
      </c>
      <c r="J32" s="735">
        <v>3055000</v>
      </c>
      <c r="K32" s="737"/>
    </row>
    <row r="33" spans="1:11" ht="12" customHeight="1" x14ac:dyDescent="0.2">
      <c r="A33" s="733" t="s">
        <v>2095</v>
      </c>
      <c r="B33" s="734"/>
      <c r="C33" s="735"/>
      <c r="D33" s="736">
        <v>7</v>
      </c>
      <c r="E33" s="735">
        <v>196077</v>
      </c>
      <c r="F33" s="735"/>
      <c r="G33" s="735"/>
      <c r="H33" s="735">
        <v>67358</v>
      </c>
      <c r="I33" s="1778">
        <f t="shared" ref="I33:I48" si="1">((E33+F33)-H33)+G33</f>
        <v>128719</v>
      </c>
      <c r="J33" s="735">
        <v>59194</v>
      </c>
      <c r="K33" s="737"/>
    </row>
    <row r="34" spans="1:11" ht="12" customHeight="1" x14ac:dyDescent="0.2">
      <c r="A34" s="733" t="s">
        <v>2096</v>
      </c>
      <c r="B34" s="734">
        <v>42803</v>
      </c>
      <c r="C34" s="735">
        <v>4750000</v>
      </c>
      <c r="D34" s="736">
        <v>4</v>
      </c>
      <c r="E34" s="735">
        <v>4750000</v>
      </c>
      <c r="F34" s="735"/>
      <c r="G34" s="735"/>
      <c r="H34" s="735">
        <v>90000</v>
      </c>
      <c r="I34" s="1778">
        <f t="shared" si="1"/>
        <v>4660000</v>
      </c>
      <c r="J34" s="735">
        <v>4660000</v>
      </c>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10505000</v>
      </c>
      <c r="D49" s="746"/>
      <c r="E49" s="1778">
        <f t="shared" ref="E49:J49" si="2">SUM(E31:E48)</f>
        <v>9361077</v>
      </c>
      <c r="F49" s="1778">
        <f t="shared" si="2"/>
        <v>0</v>
      </c>
      <c r="G49" s="1778">
        <f t="shared" si="2"/>
        <v>0</v>
      </c>
      <c r="H49" s="1778">
        <f t="shared" si="2"/>
        <v>822358</v>
      </c>
      <c r="I49" s="1778">
        <f t="shared" si="2"/>
        <v>8538719</v>
      </c>
      <c r="J49" s="1778">
        <f t="shared" si="2"/>
        <v>8012286</v>
      </c>
      <c r="K49" s="738"/>
    </row>
    <row r="50" spans="1:11" ht="6" customHeight="1" x14ac:dyDescent="0.2">
      <c r="A50" s="747"/>
      <c r="B50" s="737"/>
      <c r="C50" s="737"/>
      <c r="D50" s="737"/>
      <c r="E50" s="737"/>
      <c r="F50" s="737"/>
      <c r="G50" s="737"/>
      <c r="H50" s="737"/>
      <c r="I50" s="737"/>
      <c r="J50" s="747"/>
    </row>
    <row r="51" spans="1:11" x14ac:dyDescent="0.2">
      <c r="A51" s="748" t="s">
        <v>1912</v>
      </c>
      <c r="B51" s="747"/>
      <c r="C51" s="738"/>
      <c r="D51" s="738"/>
      <c r="E51" s="738"/>
      <c r="F51" s="738"/>
      <c r="G51" s="738"/>
      <c r="H51" s="737"/>
      <c r="I51" s="737"/>
      <c r="J51" s="747"/>
    </row>
    <row r="52" spans="1:11" ht="11.25" customHeight="1" x14ac:dyDescent="0.2">
      <c r="A52" s="749" t="s">
        <v>968</v>
      </c>
      <c r="B52" s="2221" t="s">
        <v>605</v>
      </c>
      <c r="C52" s="2222"/>
      <c r="D52" s="2222"/>
      <c r="E52" s="750" t="s">
        <v>900</v>
      </c>
      <c r="F52" s="2223" t="s">
        <v>2097</v>
      </c>
      <c r="G52" s="2224"/>
      <c r="H52" s="737"/>
      <c r="I52" s="737"/>
      <c r="J52" s="747"/>
    </row>
    <row r="53" spans="1:11" ht="11.25" customHeight="1" x14ac:dyDescent="0.2">
      <c r="A53" s="751" t="s">
        <v>969</v>
      </c>
      <c r="B53" s="752" t="s">
        <v>1008</v>
      </c>
      <c r="C53" s="747"/>
      <c r="D53" s="738"/>
      <c r="E53" s="750" t="s">
        <v>518</v>
      </c>
      <c r="F53" s="2225"/>
      <c r="G53" s="2226"/>
      <c r="H53" s="737"/>
      <c r="I53" s="737"/>
      <c r="J53" s="747"/>
    </row>
    <row r="54" spans="1:11" ht="11.25" customHeight="1" x14ac:dyDescent="0.2">
      <c r="A54" s="753" t="s">
        <v>970</v>
      </c>
      <c r="B54" s="748" t="s">
        <v>1009</v>
      </c>
      <c r="C54" s="747"/>
      <c r="D54" s="738"/>
      <c r="E54" s="750" t="s">
        <v>519</v>
      </c>
      <c r="F54" s="2225"/>
      <c r="G54" s="222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911</v>
      </c>
      <c r="B1" s="2256"/>
      <c r="C1" s="2256"/>
      <c r="D1" s="2256"/>
      <c r="E1" s="2256"/>
      <c r="F1" s="2256"/>
      <c r="G1" s="2257"/>
      <c r="H1" s="1552"/>
      <c r="I1" s="761"/>
      <c r="J1" s="433"/>
    </row>
    <row r="2" spans="1:11" ht="26.25" x14ac:dyDescent="0.2">
      <c r="A2" s="2234" t="s">
        <v>1776</v>
      </c>
      <c r="B2" s="2235"/>
      <c r="C2" s="2235"/>
      <c r="D2" s="2235"/>
      <c r="E2" s="2236"/>
      <c r="F2" s="762" t="s">
        <v>960</v>
      </c>
      <c r="G2" s="763" t="s">
        <v>1773</v>
      </c>
      <c r="H2" s="763" t="s">
        <v>430</v>
      </c>
      <c r="I2" s="763" t="s">
        <v>1220</v>
      </c>
      <c r="J2" s="763" t="s">
        <v>1917</v>
      </c>
      <c r="K2" s="763" t="s">
        <v>140</v>
      </c>
    </row>
    <row r="3" spans="1:11" x14ac:dyDescent="0.2">
      <c r="A3" s="2237" t="s">
        <v>1698</v>
      </c>
      <c r="B3" s="2238"/>
      <c r="C3" s="2238"/>
      <c r="D3" s="2238"/>
      <c r="E3" s="2239"/>
      <c r="F3" s="764"/>
      <c r="G3" s="765"/>
      <c r="H3" s="765"/>
      <c r="I3" s="765"/>
      <c r="J3" s="766">
        <v>693954</v>
      </c>
      <c r="K3" s="766"/>
    </row>
    <row r="4" spans="1:11" x14ac:dyDescent="0.2">
      <c r="A4" s="2240" t="s">
        <v>387</v>
      </c>
      <c r="B4" s="2241"/>
      <c r="C4" s="2241"/>
      <c r="D4" s="2241"/>
      <c r="E4" s="2222"/>
      <c r="F4" s="767"/>
      <c r="G4" s="768"/>
      <c r="H4" s="769"/>
      <c r="I4" s="768"/>
      <c r="J4" s="770"/>
      <c r="K4" s="770"/>
    </row>
    <row r="5" spans="1:11" x14ac:dyDescent="0.2">
      <c r="A5" s="2258" t="s">
        <v>1129</v>
      </c>
      <c r="B5" s="2231"/>
      <c r="C5" s="2231"/>
      <c r="D5" s="2231"/>
      <c r="E5" s="2259"/>
      <c r="F5" s="771" t="s">
        <v>903</v>
      </c>
      <c r="G5" s="772"/>
      <c r="H5" s="765">
        <v>84370</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11290</v>
      </c>
    </row>
    <row r="8" spans="1:11" x14ac:dyDescent="0.2">
      <c r="A8" s="779" t="s">
        <v>363</v>
      </c>
      <c r="B8" s="780"/>
      <c r="C8" s="780"/>
      <c r="D8" s="780"/>
      <c r="E8" s="781"/>
      <c r="F8" s="771" t="s">
        <v>906</v>
      </c>
      <c r="G8" s="783"/>
      <c r="H8" s="783"/>
      <c r="I8" s="783"/>
      <c r="J8" s="766">
        <v>986081</v>
      </c>
      <c r="K8" s="770"/>
    </row>
    <row r="9" spans="1:11" x14ac:dyDescent="0.2">
      <c r="A9" s="779" t="s">
        <v>140</v>
      </c>
      <c r="B9" s="780"/>
      <c r="C9" s="780"/>
      <c r="D9" s="780"/>
      <c r="E9" s="781"/>
      <c r="F9" s="778" t="s">
        <v>908</v>
      </c>
      <c r="G9" s="783"/>
      <c r="H9" s="772"/>
      <c r="I9" s="772"/>
      <c r="J9" s="782"/>
      <c r="K9" s="766">
        <v>34863</v>
      </c>
    </row>
    <row r="10" spans="1:11" x14ac:dyDescent="0.2">
      <c r="A10" s="2258" t="s">
        <v>1918</v>
      </c>
      <c r="B10" s="2231"/>
      <c r="C10" s="2231"/>
      <c r="D10" s="2231"/>
      <c r="E10" s="2260"/>
      <c r="F10" s="784" t="s">
        <v>917</v>
      </c>
      <c r="G10" s="783"/>
      <c r="H10" s="785"/>
      <c r="I10" s="765"/>
      <c r="J10" s="766"/>
      <c r="K10" s="766"/>
    </row>
    <row r="11" spans="1:11" x14ac:dyDescent="0.2">
      <c r="A11" s="2258" t="s">
        <v>162</v>
      </c>
      <c r="B11" s="2231"/>
      <c r="C11" s="2231"/>
      <c r="D11" s="2231"/>
      <c r="E11" s="2259"/>
      <c r="F11" s="771" t="s">
        <v>907</v>
      </c>
      <c r="G11" s="772"/>
      <c r="H11" s="765"/>
      <c r="I11" s="765"/>
      <c r="J11" s="766"/>
      <c r="K11" s="774"/>
    </row>
    <row r="12" spans="1:11" ht="13.5" thickBot="1" x14ac:dyDescent="0.25">
      <c r="A12" s="2248" t="s">
        <v>961</v>
      </c>
      <c r="B12" s="2249"/>
      <c r="C12" s="2249"/>
      <c r="D12" s="2249"/>
      <c r="E12" s="2250"/>
      <c r="F12" s="1779"/>
      <c r="G12" s="1780">
        <f>SUM(G5:G11)</f>
        <v>0</v>
      </c>
      <c r="H12" s="1780">
        <f>SUM(H5:H11)</f>
        <v>84370</v>
      </c>
      <c r="I12" s="1780">
        <f>SUM(I5:I11)</f>
        <v>0</v>
      </c>
      <c r="J12" s="1780">
        <f>SUM(J5:J11)</f>
        <v>986081</v>
      </c>
      <c r="K12" s="1780">
        <f>SUM(K5:K11)</f>
        <v>46153</v>
      </c>
    </row>
    <row r="13" spans="1:11" ht="13.5" thickTop="1" x14ac:dyDescent="0.2">
      <c r="A13" s="2242" t="s">
        <v>388</v>
      </c>
      <c r="B13" s="2243"/>
      <c r="C13" s="2243"/>
      <c r="D13" s="2243"/>
      <c r="E13" s="2244"/>
      <c r="F13" s="786"/>
      <c r="G13" s="787"/>
      <c r="H13" s="788"/>
      <c r="I13" s="789"/>
      <c r="J13" s="789"/>
      <c r="K13" s="789"/>
    </row>
    <row r="14" spans="1:11" x14ac:dyDescent="0.2">
      <c r="A14" s="2264" t="s">
        <v>476</v>
      </c>
      <c r="B14" s="2264"/>
      <c r="C14" s="2264"/>
      <c r="D14" s="2264"/>
      <c r="E14" s="2265"/>
      <c r="F14" s="790" t="s">
        <v>909</v>
      </c>
      <c r="G14" s="783"/>
      <c r="H14" s="765">
        <v>84370</v>
      </c>
      <c r="I14" s="772"/>
      <c r="J14" s="774"/>
      <c r="K14" s="766">
        <v>46153</v>
      </c>
    </row>
    <row r="15" spans="1:11" x14ac:dyDescent="0.2">
      <c r="A15" s="2231" t="s">
        <v>4</v>
      </c>
      <c r="B15" s="2231"/>
      <c r="C15" s="2231"/>
      <c r="D15" s="2231"/>
      <c r="E15" s="2259"/>
      <c r="F15" s="790" t="s">
        <v>910</v>
      </c>
      <c r="G15" s="772"/>
      <c r="H15" s="765"/>
      <c r="I15" s="765"/>
      <c r="J15" s="766">
        <f>1680035-486444</f>
        <v>1193591</v>
      </c>
      <c r="K15" s="766"/>
    </row>
    <row r="16" spans="1:11" x14ac:dyDescent="0.2">
      <c r="A16" s="2231" t="s">
        <v>316</v>
      </c>
      <c r="B16" s="2231"/>
      <c r="C16" s="2231"/>
      <c r="D16" s="2231"/>
      <c r="E16" s="2259"/>
      <c r="F16" s="790" t="s">
        <v>980</v>
      </c>
      <c r="G16" s="773"/>
      <c r="H16" s="768"/>
      <c r="I16" s="768"/>
      <c r="J16" s="770"/>
      <c r="K16" s="770"/>
    </row>
    <row r="17" spans="1:11" x14ac:dyDescent="0.2">
      <c r="A17" s="2253" t="s">
        <v>992</v>
      </c>
      <c r="B17" s="2253"/>
      <c r="C17" s="2253"/>
      <c r="D17" s="2253"/>
      <c r="E17" s="2254"/>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66" t="s">
        <v>1914</v>
      </c>
      <c r="B19" s="2266"/>
      <c r="C19" s="2266"/>
      <c r="D19" s="2266"/>
      <c r="E19" s="2267"/>
      <c r="F19" s="790" t="s">
        <v>990</v>
      </c>
      <c r="G19" s="783"/>
      <c r="H19" s="783"/>
      <c r="I19" s="783"/>
      <c r="J19" s="766"/>
      <c r="K19" s="796"/>
    </row>
    <row r="20" spans="1:11" x14ac:dyDescent="0.2">
      <c r="A20" s="2245" t="s">
        <v>1919</v>
      </c>
      <c r="B20" s="2246"/>
      <c r="C20" s="2246"/>
      <c r="D20" s="2246"/>
      <c r="E20" s="2247"/>
      <c r="F20" s="790" t="s">
        <v>991</v>
      </c>
      <c r="G20" s="783"/>
      <c r="H20" s="783"/>
      <c r="I20" s="783"/>
      <c r="J20" s="766"/>
      <c r="K20" s="796"/>
    </row>
    <row r="21" spans="1:11" ht="13.5" thickBot="1" x14ac:dyDescent="0.25">
      <c r="A21" s="2251" t="s">
        <v>659</v>
      </c>
      <c r="B21" s="2251"/>
      <c r="C21" s="2251"/>
      <c r="D21" s="2251"/>
      <c r="E21" s="2251"/>
      <c r="F21" s="1781"/>
      <c r="G21" s="793"/>
      <c r="H21" s="797"/>
      <c r="I21" s="797"/>
      <c r="J21" s="1782">
        <f>SUM(J18:J20)</f>
        <v>0</v>
      </c>
      <c r="K21" s="794"/>
    </row>
    <row r="22" spans="1:11" ht="13.5" thickTop="1" x14ac:dyDescent="0.2">
      <c r="A22" s="2231" t="s">
        <v>1920</v>
      </c>
      <c r="B22" s="2231"/>
      <c r="C22" s="2231"/>
      <c r="D22" s="2231"/>
      <c r="E22" s="2259"/>
      <c r="F22" s="790" t="s">
        <v>917</v>
      </c>
      <c r="G22" s="783"/>
      <c r="H22" s="765"/>
      <c r="I22" s="765"/>
      <c r="J22" s="798"/>
      <c r="K22" s="766"/>
    </row>
    <row r="23" spans="1:11" ht="13.5" thickBot="1" x14ac:dyDescent="0.25">
      <c r="A23" s="2252" t="s">
        <v>962</v>
      </c>
      <c r="B23" s="2251"/>
      <c r="C23" s="2251"/>
      <c r="D23" s="2251"/>
      <c r="E23" s="2251"/>
      <c r="F23" s="1783"/>
      <c r="G23" s="1780">
        <f>SUM(G14:G16,G21,G22)</f>
        <v>0</v>
      </c>
      <c r="H23" s="1780">
        <f>SUM(H14:H16,H21,H22)</f>
        <v>84370</v>
      </c>
      <c r="I23" s="1780">
        <f>SUM(I14:I16,I21,I22)</f>
        <v>0</v>
      </c>
      <c r="J23" s="1780">
        <f>SUM(J14:J16,J21,J22)</f>
        <v>1193591</v>
      </c>
      <c r="K23" s="1780">
        <f>SUM(K14:K16,K21,K22)</f>
        <v>46153</v>
      </c>
    </row>
    <row r="24" spans="1:11" ht="14.25" thickTop="1" thickBot="1" x14ac:dyDescent="0.25">
      <c r="A24" s="2252" t="s">
        <v>2022</v>
      </c>
      <c r="B24" s="2251"/>
      <c r="C24" s="2251"/>
      <c r="D24" s="2251"/>
      <c r="E24" s="2251"/>
      <c r="F24" s="1784"/>
      <c r="G24" s="1785">
        <f>SUM(G3,G12)-G23</f>
        <v>0</v>
      </c>
      <c r="H24" s="1785">
        <f>SUM(H3,H12)-H23</f>
        <v>0</v>
      </c>
      <c r="I24" s="1785">
        <f>SUM(I3,I12)-I23</f>
        <v>0</v>
      </c>
      <c r="J24" s="1785">
        <f>SUM(J3,J12)-J23</f>
        <v>486444</v>
      </c>
      <c r="K24" s="1785">
        <f>SUM(K3,K12)-K23</f>
        <v>0</v>
      </c>
    </row>
    <row r="25" spans="1:11" ht="13.5" thickTop="1" x14ac:dyDescent="0.2">
      <c r="A25" s="799" t="s">
        <v>440</v>
      </c>
      <c r="B25" s="800"/>
      <c r="C25" s="800"/>
      <c r="D25" s="800"/>
      <c r="E25" s="801"/>
      <c r="F25" s="802">
        <v>714</v>
      </c>
      <c r="G25" s="803"/>
      <c r="H25" s="803"/>
      <c r="I25" s="803"/>
      <c r="J25" s="798">
        <v>486444</v>
      </c>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2032</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1"/>
      <c r="I31" s="2262"/>
      <c r="J31" s="2262"/>
      <c r="K31" s="2262"/>
    </row>
    <row r="32" spans="1:11" x14ac:dyDescent="0.2">
      <c r="A32" s="810"/>
      <c r="B32" s="237"/>
      <c r="C32" s="237"/>
      <c r="D32" s="237"/>
      <c r="E32" s="806"/>
      <c r="F32" s="812" t="s">
        <v>561</v>
      </c>
      <c r="G32" s="765"/>
      <c r="H32" s="2263"/>
      <c r="I32" s="2262"/>
      <c r="J32" s="2262"/>
      <c r="K32" s="2262"/>
    </row>
    <row r="33" spans="1:11" ht="1.5" customHeight="1" x14ac:dyDescent="0.2">
      <c r="A33" s="813" t="s">
        <v>1231</v>
      </c>
      <c r="B33" s="364"/>
      <c r="C33" s="364"/>
      <c r="D33" s="364"/>
      <c r="E33" s="364"/>
      <c r="F33" s="364"/>
      <c r="G33" s="814"/>
      <c r="H33" s="2263"/>
      <c r="I33" s="2262"/>
      <c r="J33" s="2262"/>
      <c r="K33" s="2262"/>
    </row>
    <row r="34" spans="1:11" x14ac:dyDescent="0.2">
      <c r="A34" s="815" t="s">
        <v>1921</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1" t="s">
        <v>562</v>
      </c>
      <c r="B41" s="2232"/>
      <c r="C41" s="2232"/>
      <c r="D41" s="2232"/>
      <c r="E41" s="2232"/>
      <c r="F41" s="223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1915</v>
      </c>
      <c r="B46" s="408" t="s">
        <v>1774</v>
      </c>
    </row>
    <row r="47" spans="1:11" s="824" customFormat="1" ht="12.75" customHeight="1" x14ac:dyDescent="0.2">
      <c r="A47" s="822"/>
      <c r="B47" s="823" t="s">
        <v>1775</v>
      </c>
      <c r="E47" s="823"/>
      <c r="K47" s="825"/>
    </row>
    <row r="48" spans="1:11" ht="12.75" customHeight="1" x14ac:dyDescent="0.2">
      <c r="A48" s="1554" t="s">
        <v>1916</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16" sqref="A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2031</v>
      </c>
      <c r="B1" s="2271"/>
      <c r="C1" s="2272"/>
      <c r="D1" s="827"/>
      <c r="E1" s="828"/>
      <c r="F1" s="828"/>
      <c r="G1" s="829"/>
      <c r="H1" s="830"/>
      <c r="I1" s="831"/>
      <c r="J1" s="2268"/>
      <c r="K1" s="2269"/>
      <c r="L1" s="2269"/>
    </row>
    <row r="2" spans="1:14" ht="69.75" customHeight="1" x14ac:dyDescent="0.2">
      <c r="A2" s="832" t="s">
        <v>1777</v>
      </c>
      <c r="B2" s="833" t="s">
        <v>396</v>
      </c>
      <c r="C2" s="834" t="s">
        <v>2026</v>
      </c>
      <c r="D2" s="834" t="s">
        <v>2023</v>
      </c>
      <c r="E2" s="834" t="s">
        <v>2024</v>
      </c>
      <c r="F2" s="834" t="s">
        <v>2025</v>
      </c>
      <c r="G2" s="834" t="s">
        <v>626</v>
      </c>
      <c r="H2" s="834" t="s">
        <v>2027</v>
      </c>
      <c r="I2" s="834" t="s">
        <v>2028</v>
      </c>
      <c r="J2" s="834" t="s">
        <v>2043</v>
      </c>
      <c r="K2" s="834" t="s">
        <v>2029</v>
      </c>
      <c r="L2" s="834" t="s">
        <v>2030</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258690</v>
      </c>
      <c r="D5" s="842"/>
      <c r="E5" s="842">
        <v>5000</v>
      </c>
      <c r="F5" s="1782">
        <f>(C5+D5)-E5</f>
        <v>253690</v>
      </c>
      <c r="G5" s="838"/>
      <c r="H5" s="843"/>
      <c r="I5" s="843"/>
      <c r="J5" s="843"/>
      <c r="K5" s="794"/>
      <c r="L5" s="1791">
        <f>F5-K5</f>
        <v>253690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23230287</v>
      </c>
      <c r="D8" s="845">
        <v>866816</v>
      </c>
      <c r="E8" s="845"/>
      <c r="F8" s="1782">
        <f>(C8+D8)-E8</f>
        <v>24097103</v>
      </c>
      <c r="G8" s="844">
        <v>50</v>
      </c>
      <c r="H8" s="766">
        <v>13724171</v>
      </c>
      <c r="I8" s="766">
        <v>288901</v>
      </c>
      <c r="J8" s="766"/>
      <c r="K8" s="1791">
        <f>(H8+I8)-J8</f>
        <v>14013072</v>
      </c>
      <c r="L8" s="1791">
        <f>F8-K8</f>
        <v>10084031</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6443698</v>
      </c>
      <c r="D10" s="847">
        <v>823531</v>
      </c>
      <c r="E10" s="847"/>
      <c r="F10" s="1786">
        <f>(C10+D10)-E10</f>
        <v>7267229</v>
      </c>
      <c r="G10" s="844">
        <v>20</v>
      </c>
      <c r="H10" s="848">
        <v>2620444</v>
      </c>
      <c r="I10" s="848">
        <v>313878</v>
      </c>
      <c r="J10" s="848"/>
      <c r="K10" s="1791">
        <f>(H10+I10)-J10</f>
        <v>2934322</v>
      </c>
      <c r="L10" s="1791">
        <f>F10-K10</f>
        <v>4332907</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2809439</v>
      </c>
      <c r="D12" s="845">
        <v>13634</v>
      </c>
      <c r="E12" s="845"/>
      <c r="F12" s="1782">
        <f>(C12+D12)-E12</f>
        <v>2823073</v>
      </c>
      <c r="G12" s="844">
        <v>10</v>
      </c>
      <c r="H12" s="766">
        <v>1619199</v>
      </c>
      <c r="I12" s="766">
        <v>251708</v>
      </c>
      <c r="J12" s="766"/>
      <c r="K12" s="1791">
        <f>(H12+I12)-J12</f>
        <v>1870907</v>
      </c>
      <c r="L12" s="1791">
        <f>F12-K12</f>
        <v>952166</v>
      </c>
    </row>
    <row r="13" spans="1:14" ht="14.25" thickTop="1" thickBot="1" x14ac:dyDescent="0.25">
      <c r="A13" s="849" t="s">
        <v>1184</v>
      </c>
      <c r="B13" s="841">
        <v>252</v>
      </c>
      <c r="C13" s="845">
        <v>2494543</v>
      </c>
      <c r="D13" s="845">
        <v>97710</v>
      </c>
      <c r="E13" s="845"/>
      <c r="F13" s="1782">
        <f>(C13+D13)-E13</f>
        <v>2592253</v>
      </c>
      <c r="G13" s="844">
        <v>5</v>
      </c>
      <c r="H13" s="766">
        <v>2124152</v>
      </c>
      <c r="I13" s="766">
        <v>160364</v>
      </c>
      <c r="J13" s="766"/>
      <c r="K13" s="1791">
        <f>(H13+I13)-J13</f>
        <v>2284516</v>
      </c>
      <c r="L13" s="1791">
        <f>F13-K13</f>
        <v>307737</v>
      </c>
    </row>
    <row r="14" spans="1:14" ht="14.25" thickTop="1" thickBot="1" x14ac:dyDescent="0.25">
      <c r="A14" s="849" t="s">
        <v>1185</v>
      </c>
      <c r="B14" s="841">
        <v>253</v>
      </c>
      <c r="C14" s="766">
        <v>10845</v>
      </c>
      <c r="D14" s="766">
        <v>4798</v>
      </c>
      <c r="E14" s="766"/>
      <c r="F14" s="1782">
        <f>(C14+D14)-E14</f>
        <v>15643</v>
      </c>
      <c r="G14" s="844">
        <v>3</v>
      </c>
      <c r="H14" s="766">
        <v>3615</v>
      </c>
      <c r="I14" s="766">
        <v>5214</v>
      </c>
      <c r="J14" s="766"/>
      <c r="K14" s="1791">
        <f>(H14+I14)-J14</f>
        <v>8829</v>
      </c>
      <c r="L14" s="1791">
        <f>F14-K14</f>
        <v>6814</v>
      </c>
    </row>
    <row r="15" spans="1:14" ht="15" customHeight="1" thickTop="1" thickBot="1" x14ac:dyDescent="0.25">
      <c r="A15" s="1653" t="s">
        <v>549</v>
      </c>
      <c r="B15" s="1652">
        <v>260</v>
      </c>
      <c r="C15" s="845">
        <v>449711</v>
      </c>
      <c r="D15" s="845">
        <v>544772</v>
      </c>
      <c r="E15" s="845">
        <v>449711</v>
      </c>
      <c r="F15" s="1782">
        <f>(C15+D15)-E15</f>
        <v>544772</v>
      </c>
      <c r="G15" s="850" t="s">
        <v>917</v>
      </c>
      <c r="H15" s="782"/>
      <c r="I15" s="782"/>
      <c r="J15" s="782"/>
      <c r="K15" s="782"/>
      <c r="L15" s="1791">
        <f>F15-K15</f>
        <v>544772</v>
      </c>
    </row>
    <row r="16" spans="1:14" ht="15" customHeight="1" thickTop="1" thickBot="1" x14ac:dyDescent="0.25">
      <c r="A16" s="1787" t="s">
        <v>664</v>
      </c>
      <c r="B16" s="1788">
        <v>200</v>
      </c>
      <c r="C16" s="1782">
        <f>SUM(C3,C5:C6,C8:C10,C12:C15)</f>
        <v>35697213</v>
      </c>
      <c r="D16" s="1782">
        <f>SUM(D3,D5:D6,D8:D10,D12:D15)</f>
        <v>2351261</v>
      </c>
      <c r="E16" s="1782">
        <f>SUM(E3,E5:E6,E8:E10,E12:E15)</f>
        <v>454711</v>
      </c>
      <c r="F16" s="1782">
        <f>SUM(F3,F5:F6,F8:F10,F12:F15)</f>
        <v>37593763</v>
      </c>
      <c r="G16" s="844"/>
      <c r="H16" s="1782">
        <f>SUM(H3,H6,H8:H10,H12:H14,)</f>
        <v>20091581</v>
      </c>
      <c r="I16" s="1782">
        <f>SUM(I3,I6,I8:I10,I12:I14,)</f>
        <v>1020065</v>
      </c>
      <c r="J16" s="1782">
        <f>SUM(J3,J6,J8:J10,J12:J14,)</f>
        <v>0</v>
      </c>
      <c r="K16" s="1782">
        <f>(H16+I16)-J16</f>
        <v>21111646</v>
      </c>
      <c r="L16" s="1782">
        <f>F16-K16</f>
        <v>16482117</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1020065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17861622</v>
      </c>
      <c r="G8" s="866"/>
    </row>
    <row r="9" spans="1:7" x14ac:dyDescent="0.2">
      <c r="A9" s="870" t="s">
        <v>480</v>
      </c>
      <c r="B9" s="871" t="s">
        <v>1986</v>
      </c>
      <c r="C9" s="872"/>
      <c r="D9" s="870" t="s">
        <v>522</v>
      </c>
      <c r="E9" s="869"/>
      <c r="F9" s="1934">
        <f>'Expenditures 15-22'!K151</f>
        <v>1774224</v>
      </c>
      <c r="G9" s="873"/>
    </row>
    <row r="10" spans="1:7" x14ac:dyDescent="0.2">
      <c r="A10" s="870" t="s">
        <v>520</v>
      </c>
      <c r="B10" s="871" t="s">
        <v>1987</v>
      </c>
      <c r="C10" s="872"/>
      <c r="D10" s="870" t="s">
        <v>522</v>
      </c>
      <c r="E10" s="869"/>
      <c r="F10" s="1934">
        <f>'Expenditures 15-22'!K174</f>
        <v>1107565</v>
      </c>
      <c r="G10" s="873"/>
    </row>
    <row r="11" spans="1:7" x14ac:dyDescent="0.2">
      <c r="A11" s="870" t="s">
        <v>481</v>
      </c>
      <c r="B11" s="871" t="s">
        <v>1988</v>
      </c>
      <c r="C11" s="872"/>
      <c r="D11" s="870" t="s">
        <v>522</v>
      </c>
      <c r="E11" s="869"/>
      <c r="F11" s="1934">
        <f>'Expenditures 15-22'!K210</f>
        <v>1076607</v>
      </c>
      <c r="G11" s="873"/>
    </row>
    <row r="12" spans="1:7" x14ac:dyDescent="0.2">
      <c r="A12" s="870" t="s">
        <v>482</v>
      </c>
      <c r="B12" s="871" t="s">
        <v>1989</v>
      </c>
      <c r="C12" s="872"/>
      <c r="D12" s="870" t="s">
        <v>522</v>
      </c>
      <c r="E12" s="869"/>
      <c r="F12" s="1934">
        <f>'Expenditures 15-22'!K295</f>
        <v>883088</v>
      </c>
      <c r="G12" s="873"/>
    </row>
    <row r="13" spans="1:7" x14ac:dyDescent="0.2">
      <c r="A13" s="870" t="s">
        <v>108</v>
      </c>
      <c r="B13" s="871" t="s">
        <v>1990</v>
      </c>
      <c r="C13" s="872"/>
      <c r="D13" s="870" t="s">
        <v>522</v>
      </c>
      <c r="E13" s="869"/>
      <c r="F13" s="1934">
        <f>'Expenditures 15-22'!K342</f>
        <v>1028289</v>
      </c>
      <c r="G13" s="874"/>
    </row>
    <row r="14" spans="1:7" ht="12" customHeight="1" thickBot="1" x14ac:dyDescent="0.25">
      <c r="A14" s="1792"/>
      <c r="B14" s="1793"/>
      <c r="C14" s="1794"/>
      <c r="D14" s="1795" t="s">
        <v>522</v>
      </c>
      <c r="E14" s="1796" t="s">
        <v>1015</v>
      </c>
      <c r="F14" s="1797">
        <f>SUM(F8:F13)</f>
        <v>23731395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158169</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3630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46017</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17763</v>
      </c>
      <c r="G52" s="866"/>
    </row>
    <row r="53" spans="1:7" x14ac:dyDescent="0.2">
      <c r="A53" s="870" t="s">
        <v>479</v>
      </c>
      <c r="B53" s="870" t="s">
        <v>1551</v>
      </c>
      <c r="C53" s="890">
        <f>'Expenditures 15-22'!B102</f>
        <v>4000</v>
      </c>
      <c r="D53" s="889" t="str">
        <f>'Expenditures 15-22'!A102</f>
        <v>Total Payments to Other Govt Units</v>
      </c>
      <c r="E53" s="869"/>
      <c r="F53" s="1938">
        <f>'Expenditures 15-22'!K102</f>
        <v>895846</v>
      </c>
      <c r="G53" s="866"/>
    </row>
    <row r="54" spans="1:7" x14ac:dyDescent="0.2">
      <c r="A54" s="870" t="s">
        <v>479</v>
      </c>
      <c r="B54" s="870" t="s">
        <v>1552</v>
      </c>
      <c r="C54" s="890" t="s">
        <v>1039</v>
      </c>
      <c r="D54" s="886" t="s">
        <v>1157</v>
      </c>
      <c r="E54" s="869"/>
      <c r="F54" s="1938">
        <f>'Expenditures 15-22'!G114</f>
        <v>215217</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8">
        <f>'Expenditures 15-22'!K139</f>
        <v>0</v>
      </c>
      <c r="G57" s="866"/>
    </row>
    <row r="58" spans="1:7" x14ac:dyDescent="0.2">
      <c r="A58" s="870" t="s">
        <v>480</v>
      </c>
      <c r="B58" s="870" t="s">
        <v>1992</v>
      </c>
      <c r="C58" s="887" t="s">
        <v>1039</v>
      </c>
      <c r="D58" s="886" t="s">
        <v>1157</v>
      </c>
      <c r="E58" s="869"/>
      <c r="F58" s="1940">
        <f>'Expenditures 15-22'!G151</f>
        <v>26502</v>
      </c>
      <c r="G58" s="866"/>
    </row>
    <row r="59" spans="1:7" x14ac:dyDescent="0.2">
      <c r="A59" s="894" t="s">
        <v>480</v>
      </c>
      <c r="B59" s="857" t="s">
        <v>1993</v>
      </c>
      <c r="C59" s="895" t="s">
        <v>1039</v>
      </c>
      <c r="D59" s="857" t="s">
        <v>309</v>
      </c>
      <c r="F59" s="1941">
        <f>'Expenditures 15-22'!I151</f>
        <v>0</v>
      </c>
      <c r="G59" s="866"/>
    </row>
    <row r="60" spans="1:7" x14ac:dyDescent="0.2">
      <c r="A60" s="894" t="s">
        <v>520</v>
      </c>
      <c r="B60" s="857" t="s">
        <v>1994</v>
      </c>
      <c r="C60" s="895">
        <v>4000</v>
      </c>
      <c r="D60" s="857" t="s">
        <v>330</v>
      </c>
      <c r="F60" s="1939">
        <f>'Expenditures 15-22'!K160</f>
        <v>0</v>
      </c>
      <c r="G60" s="866"/>
    </row>
    <row r="61" spans="1:7" x14ac:dyDescent="0.2">
      <c r="A61" s="896" t="s">
        <v>520</v>
      </c>
      <c r="B61" s="896" t="s">
        <v>1995</v>
      </c>
      <c r="C61" s="897" t="str">
        <f>'Expenditures 15-22'!B170</f>
        <v>5300</v>
      </c>
      <c r="D61" s="898" t="s">
        <v>329</v>
      </c>
      <c r="E61" s="880"/>
      <c r="F61" s="1938">
        <f>'Expenditures 15-22'!K170</f>
        <v>822358</v>
      </c>
      <c r="G61" s="866"/>
    </row>
    <row r="62" spans="1:7" x14ac:dyDescent="0.2">
      <c r="A62" s="870" t="s">
        <v>481</v>
      </c>
      <c r="B62" s="870" t="s">
        <v>1996</v>
      </c>
      <c r="C62" s="887">
        <f>'Expenditures 15-22'!B185</f>
        <v>3000</v>
      </c>
      <c r="D62" s="877" t="s">
        <v>469</v>
      </c>
      <c r="E62" s="869"/>
      <c r="F62" s="1938">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8">
        <f>'Expenditures 15-22'!K196</f>
        <v>0</v>
      </c>
      <c r="G63" s="866"/>
    </row>
    <row r="64" spans="1:7" x14ac:dyDescent="0.2">
      <c r="A64" s="896" t="s">
        <v>481</v>
      </c>
      <c r="B64" s="896" t="s">
        <v>1998</v>
      </c>
      <c r="C64" s="897" t="str">
        <f>'Expenditures 15-22'!B206</f>
        <v>5300</v>
      </c>
      <c r="D64" s="893" t="s">
        <v>329</v>
      </c>
      <c r="E64" s="869"/>
      <c r="F64" s="1938">
        <f>'Expenditures 15-22'!K206</f>
        <v>0</v>
      </c>
      <c r="G64" s="866"/>
    </row>
    <row r="65" spans="1:8" x14ac:dyDescent="0.2">
      <c r="A65" s="870" t="s">
        <v>481</v>
      </c>
      <c r="B65" s="870" t="s">
        <v>1999</v>
      </c>
      <c r="C65" s="887" t="s">
        <v>1039</v>
      </c>
      <c r="D65" s="886" t="s">
        <v>1157</v>
      </c>
      <c r="E65" s="869"/>
      <c r="F65" s="1938">
        <f>'Expenditures 15-22'!G210</f>
        <v>84537</v>
      </c>
      <c r="G65" s="866"/>
    </row>
    <row r="66" spans="1:8" x14ac:dyDescent="0.2">
      <c r="A66" s="870" t="s">
        <v>481</v>
      </c>
      <c r="B66" s="870" t="s">
        <v>2000</v>
      </c>
      <c r="C66" s="887" t="s">
        <v>1039</v>
      </c>
      <c r="D66" s="886" t="s">
        <v>309</v>
      </c>
      <c r="E66" s="869"/>
      <c r="F66" s="1938">
        <f>'Expenditures 15-22'!I210</f>
        <v>0</v>
      </c>
      <c r="G66" s="866"/>
    </row>
    <row r="67" spans="1:8" x14ac:dyDescent="0.2">
      <c r="A67" s="870" t="s">
        <v>482</v>
      </c>
      <c r="B67" s="870" t="s">
        <v>2001</v>
      </c>
      <c r="C67" s="887" t="str">
        <f>'Expenditures 15-22'!B216</f>
        <v>1125</v>
      </c>
      <c r="D67" s="893" t="str">
        <f>'Expenditures 15-22'!A216</f>
        <v>Pre-K Programs</v>
      </c>
      <c r="E67" s="869"/>
      <c r="F67" s="1938">
        <f>'Expenditures 15-22'!K216</f>
        <v>9957</v>
      </c>
      <c r="G67" s="866"/>
    </row>
    <row r="68" spans="1:8" x14ac:dyDescent="0.2">
      <c r="A68" s="870" t="s">
        <v>482</v>
      </c>
      <c r="B68" s="870" t="s">
        <v>1555</v>
      </c>
      <c r="C68" s="887" t="str">
        <f>'Expenditures 15-22'!B218</f>
        <v>1225</v>
      </c>
      <c r="D68" s="893" t="str">
        <f>'Expenditures 15-22'!A218</f>
        <v>Special Education Programs - Pre-K</v>
      </c>
      <c r="E68" s="869"/>
      <c r="F68" s="1938">
        <f>'Expenditures 15-22'!K218</f>
        <v>36708</v>
      </c>
      <c r="G68" s="866"/>
    </row>
    <row r="69" spans="1:8" x14ac:dyDescent="0.2">
      <c r="A69" s="870" t="s">
        <v>482</v>
      </c>
      <c r="B69" s="870" t="s">
        <v>2002</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2003</v>
      </c>
      <c r="C70" s="887">
        <f>'Expenditures 15-22'!B221</f>
        <v>1300</v>
      </c>
      <c r="D70" s="888" t="str">
        <f>'Expenditures 15-22'!A221</f>
        <v>Adult/Continuing Education Programs</v>
      </c>
      <c r="E70" s="869"/>
      <c r="F70" s="1938">
        <f>'Expenditures 15-22'!K221</f>
        <v>0</v>
      </c>
      <c r="G70" s="866"/>
    </row>
    <row r="71" spans="1:8" x14ac:dyDescent="0.2">
      <c r="A71" s="870" t="s">
        <v>482</v>
      </c>
      <c r="B71" s="870" t="s">
        <v>2004</v>
      </c>
      <c r="C71" s="887">
        <f>'Expenditures 15-22'!B224</f>
        <v>1600</v>
      </c>
      <c r="D71" s="888" t="str">
        <f>'Expenditures 15-22'!A224</f>
        <v>Summer School Programs</v>
      </c>
      <c r="E71" s="869"/>
      <c r="F71" s="1938">
        <f>'Expenditures 15-22'!K224</f>
        <v>0</v>
      </c>
      <c r="G71" s="866"/>
    </row>
    <row r="72" spans="1:8" x14ac:dyDescent="0.2">
      <c r="A72" s="870" t="s">
        <v>482</v>
      </c>
      <c r="B72" s="870" t="s">
        <v>2005</v>
      </c>
      <c r="C72" s="887">
        <f>'Expenditures 15-22'!B280</f>
        <v>3000</v>
      </c>
      <c r="D72" s="877" t="s">
        <v>469</v>
      </c>
      <c r="E72" s="869"/>
      <c r="F72" s="1938">
        <f>'Expenditures 15-22'!K280</f>
        <v>198</v>
      </c>
      <c r="G72" s="866"/>
    </row>
    <row r="73" spans="1:8" x14ac:dyDescent="0.2">
      <c r="A73" s="870" t="s">
        <v>482</v>
      </c>
      <c r="B73" s="870" t="s">
        <v>2006</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2007</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2316902</v>
      </c>
      <c r="G76" s="866"/>
    </row>
    <row r="77" spans="1:8" s="894" customFormat="1" ht="12" customHeight="1" thickTop="1" thickBot="1" x14ac:dyDescent="0.25">
      <c r="A77" s="1801"/>
      <c r="B77" s="1798"/>
      <c r="C77" s="1794"/>
      <c r="D77" s="1799" t="s">
        <v>2009</v>
      </c>
      <c r="E77" s="1796"/>
      <c r="F77" s="1802">
        <f>(F14-F76)</f>
        <v>21414493</v>
      </c>
      <c r="G77" s="870"/>
    </row>
    <row r="78" spans="1:8" s="894" customFormat="1" ht="12" customHeight="1" thickTop="1" x14ac:dyDescent="0.2">
      <c r="A78" s="1803"/>
      <c r="B78" s="1798"/>
      <c r="C78" s="1794"/>
      <c r="D78" s="1799" t="s">
        <v>2055</v>
      </c>
      <c r="E78" s="1796"/>
      <c r="F78" s="899">
        <v>2221.5700000000002</v>
      </c>
      <c r="G78" s="900"/>
      <c r="H78" s="870"/>
    </row>
    <row r="79" spans="1:8" s="894" customFormat="1" ht="12" customHeight="1" thickBot="1" x14ac:dyDescent="0.25">
      <c r="A79" s="1804"/>
      <c r="B79" s="1798"/>
      <c r="C79" s="1794"/>
      <c r="D79" s="1799" t="s">
        <v>2010</v>
      </c>
      <c r="E79" s="1796" t="s">
        <v>1015</v>
      </c>
      <c r="F79" s="1805">
        <f>IF(F78&gt;0,F77/F78," Complete Line 78")</f>
        <v>9639.3509995183576</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214060</v>
      </c>
      <c r="G94" s="913"/>
    </row>
    <row r="95" spans="1:7" x14ac:dyDescent="0.2">
      <c r="A95" s="909" t="s">
        <v>142</v>
      </c>
      <c r="B95" s="909" t="s">
        <v>177</v>
      </c>
      <c r="C95" s="911">
        <v>1700</v>
      </c>
      <c r="D95" s="919" t="str">
        <f>'Revenues 9-14'!A82</f>
        <v>Total District/School Activity Income</v>
      </c>
      <c r="E95" s="907"/>
      <c r="F95" s="1811">
        <f>SUM('Revenues 9-14'!C82,'Revenues 9-14'!D82)</f>
        <v>155529</v>
      </c>
      <c r="G95" s="913"/>
    </row>
    <row r="96" spans="1:7" x14ac:dyDescent="0.2">
      <c r="A96" s="909" t="s">
        <v>479</v>
      </c>
      <c r="B96" s="909" t="s">
        <v>178</v>
      </c>
      <c r="C96" s="911">
        <f>'Revenues 9-14'!B84</f>
        <v>1811</v>
      </c>
      <c r="D96" s="912" t="str">
        <f>'Revenues 9-14'!A84</f>
        <v>Rentals - Regular Textbooks</v>
      </c>
      <c r="E96" s="907"/>
      <c r="F96" s="1811">
        <f>'Revenues 9-14'!C84</f>
        <v>134018</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4392</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55490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783528</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27895</v>
      </c>
      <c r="G106" s="913"/>
    </row>
    <row r="107" spans="1:7" x14ac:dyDescent="0.2">
      <c r="A107" s="922" t="s">
        <v>685</v>
      </c>
      <c r="B107" s="909" t="s">
        <v>843</v>
      </c>
      <c r="C107" s="921">
        <v>3300</v>
      </c>
      <c r="D107" s="912" t="str">
        <f>'Revenues 9-14'!A144</f>
        <v>Total Bilingual Ed</v>
      </c>
      <c r="E107" s="907"/>
      <c r="F107" s="1811">
        <f>SUM('Revenues 9-14'!C144,'Revenues 9-14'!G144)</f>
        <v>3552</v>
      </c>
      <c r="G107" s="913"/>
    </row>
    <row r="108" spans="1:7" x14ac:dyDescent="0.2">
      <c r="A108" s="909" t="s">
        <v>479</v>
      </c>
      <c r="B108" s="909" t="s">
        <v>844</v>
      </c>
      <c r="C108" s="921">
        <f>'Revenues 9-14'!B145</f>
        <v>3360</v>
      </c>
      <c r="D108" s="912" t="str">
        <f>'Revenues 9-14'!A145</f>
        <v>State Free Lunch &amp; Breakfast</v>
      </c>
      <c r="E108" s="907"/>
      <c r="F108" s="1811">
        <f>'Revenues 9-14'!C145</f>
        <v>9846</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34863</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772399</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3409</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34544</v>
      </c>
      <c r="G128" s="931"/>
    </row>
    <row r="129" spans="1:7" x14ac:dyDescent="0.2">
      <c r="A129" s="928" t="s">
        <v>685</v>
      </c>
      <c r="B129" s="928" t="s">
        <v>803</v>
      </c>
      <c r="C129" s="933">
        <v>4200</v>
      </c>
      <c r="D129" s="930" t="str">
        <f>'Revenues 9-14'!A201</f>
        <v>Total Food Service</v>
      </c>
      <c r="E129" s="907"/>
      <c r="F129" s="1811">
        <f>SUM('Revenues 9-14'!C201,'Revenues 9-14'!G201)</f>
        <v>654399</v>
      </c>
      <c r="G129" s="931"/>
    </row>
    <row r="130" spans="1:7" x14ac:dyDescent="0.2">
      <c r="A130" s="928" t="s">
        <v>689</v>
      </c>
      <c r="B130" s="928" t="s">
        <v>804</v>
      </c>
      <c r="C130" s="933">
        <v>4300</v>
      </c>
      <c r="D130" s="934" t="str">
        <f>'Revenues 9-14'!A211</f>
        <v>Total Title I</v>
      </c>
      <c r="E130" s="907"/>
      <c r="F130" s="1811">
        <f>SUM('Revenues 9-14'!C211,'Revenues 9-14'!D211,'Revenues 9-14'!F211,'Revenues 9-14'!G211)</f>
        <v>604121</v>
      </c>
      <c r="G130" s="931"/>
    </row>
    <row r="131" spans="1:7" x14ac:dyDescent="0.2">
      <c r="A131" s="928" t="s">
        <v>689</v>
      </c>
      <c r="B131" s="928" t="s">
        <v>805</v>
      </c>
      <c r="C131" s="933">
        <v>4400</v>
      </c>
      <c r="D131" s="934" t="str">
        <f>'Revenues 9-14'!A216</f>
        <v>Total Title IV</v>
      </c>
      <c r="E131" s="907"/>
      <c r="F131" s="1811">
        <f>SUM('Revenues 9-14'!C216,'Revenues 9-14'!D216,'Revenues 9-14'!F216,'Revenues 9-14'!G216)</f>
        <v>4019</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146868</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47960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132415</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28504</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175477</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4999</v>
      </c>
      <c r="G174" s="928"/>
    </row>
    <row r="175" spans="1:7" x14ac:dyDescent="0.2">
      <c r="A175" s="1943" t="s">
        <v>5</v>
      </c>
      <c r="B175" s="1944" t="s">
        <v>2054</v>
      </c>
      <c r="C175" s="1945">
        <v>3100</v>
      </c>
      <c r="D175" s="1946" t="s">
        <v>2057</v>
      </c>
      <c r="E175" s="907"/>
      <c r="F175" s="1930"/>
      <c r="G175" s="928"/>
    </row>
    <row r="176" spans="1:7" x14ac:dyDescent="0.2">
      <c r="A176" s="1943" t="s">
        <v>685</v>
      </c>
      <c r="B176" s="1944" t="s">
        <v>2054</v>
      </c>
      <c r="C176" s="1945">
        <v>3300</v>
      </c>
      <c r="D176" s="1946" t="s">
        <v>2058</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4032287</v>
      </c>
    </row>
    <row r="179" spans="1:7" ht="12" customHeight="1" x14ac:dyDescent="0.2">
      <c r="A179" s="1792"/>
      <c r="B179" s="1806"/>
      <c r="C179" s="1807"/>
      <c r="D179" s="1808" t="s">
        <v>2012</v>
      </c>
      <c r="E179" s="1809"/>
      <c r="F179" s="1811">
        <f>'PCTC-OEPP 27-28'!F77-F178</f>
        <v>17382206</v>
      </c>
    </row>
    <row r="180" spans="1:7" ht="12" customHeight="1" x14ac:dyDescent="0.2">
      <c r="A180" s="1792"/>
      <c r="B180" s="1806"/>
      <c r="C180" s="1807"/>
      <c r="D180" s="1808" t="s">
        <v>1922</v>
      </c>
      <c r="E180" s="1809"/>
      <c r="F180" s="1811">
        <f>'Cap Outlay Deprec 26'!I18</f>
        <v>1020065</v>
      </c>
    </row>
    <row r="181" spans="1:7" ht="12" customHeight="1" x14ac:dyDescent="0.2">
      <c r="A181" s="1792"/>
      <c r="B181" s="1806"/>
      <c r="C181" s="1807"/>
      <c r="D181" s="1808" t="s">
        <v>2013</v>
      </c>
      <c r="E181" s="1809"/>
      <c r="F181" s="1811">
        <f>F179+F180</f>
        <v>18402271</v>
      </c>
    </row>
    <row r="182" spans="1:7" ht="12" customHeight="1" x14ac:dyDescent="0.2">
      <c r="A182" s="1792"/>
      <c r="B182" s="1812"/>
      <c r="C182" s="1807"/>
      <c r="D182" s="1808" t="str">
        <f>D78</f>
        <v>9 Month ADA from District Average Daily Attendance/Prior General State Aid Inquiry 2017-2018</v>
      </c>
      <c r="E182" s="1809"/>
      <c r="F182" s="1813">
        <f>'PCTC-OEPP 27-28'!F78</f>
        <v>2221.5700000000002</v>
      </c>
      <c r="G182" s="931"/>
    </row>
    <row r="183" spans="1:7" ht="12" customHeight="1" thickBot="1" x14ac:dyDescent="0.25">
      <c r="A183" s="1792"/>
      <c r="B183" s="1812"/>
      <c r="C183" s="1807"/>
      <c r="D183" s="1808" t="s">
        <v>2014</v>
      </c>
      <c r="E183" s="1809" t="s">
        <v>1626</v>
      </c>
      <c r="F183" s="1814">
        <f>F181/F182</f>
        <v>8283.4531434976161</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7" customFormat="1" ht="12.2" customHeight="1" x14ac:dyDescent="0.2">
      <c r="A186" s="1947" t="s">
        <v>2061</v>
      </c>
      <c r="B186" s="1948"/>
      <c r="C186" s="1949"/>
      <c r="D186" s="1948"/>
      <c r="E186" s="1949"/>
      <c r="F186" s="1948"/>
      <c r="G186" s="1948"/>
    </row>
    <row r="187" spans="1:7" s="1947" customFormat="1" ht="12.2" customHeight="1" x14ac:dyDescent="0.2">
      <c r="A187" s="1950" t="s">
        <v>2062</v>
      </c>
      <c r="C187" s="1949"/>
      <c r="D187" s="1948"/>
      <c r="E187" s="1949"/>
      <c r="F187" s="1948"/>
      <c r="G187" s="1948"/>
    </row>
    <row r="188" spans="1:7" ht="12" customHeight="1" x14ac:dyDescent="0.2">
      <c r="C188" s="950"/>
      <c r="D188" s="931"/>
      <c r="E188" s="950"/>
      <c r="F188" s="931"/>
      <c r="G188" s="931"/>
    </row>
    <row r="189" spans="1:7" x14ac:dyDescent="0.2">
      <c r="A189" s="1951" t="s">
        <v>2060</v>
      </c>
      <c r="B189" s="1952"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23" activePane="bottomLeft" state="frozen"/>
      <selection pane="bottomLeft" activeCell="D27" sqref="D2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1938</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7" t="s">
        <v>1923</v>
      </c>
      <c r="B4" s="2288"/>
      <c r="C4" s="2288"/>
      <c r="D4" s="2288"/>
      <c r="E4" s="2288"/>
      <c r="F4" s="2288"/>
      <c r="G4" s="2289"/>
    </row>
    <row r="5" spans="1:7" x14ac:dyDescent="0.25">
      <c r="A5" s="2290"/>
      <c r="B5" s="2291"/>
      <c r="C5" s="2291"/>
      <c r="D5" s="2291"/>
      <c r="E5" s="2291"/>
      <c r="F5" s="2291"/>
      <c r="G5" s="2292"/>
    </row>
    <row r="6" spans="1:7" ht="18.75" x14ac:dyDescent="0.25">
      <c r="A6" s="1556" t="s">
        <v>1924</v>
      </c>
      <c r="B6" s="1557"/>
      <c r="C6" s="1557"/>
      <c r="D6" s="1557"/>
      <c r="E6" s="1557"/>
      <c r="F6" s="1557"/>
      <c r="G6" s="1558"/>
    </row>
    <row r="7" spans="1:7" ht="30.75" customHeight="1" x14ac:dyDescent="0.25">
      <c r="A7" s="2293" t="s">
        <v>2071</v>
      </c>
      <c r="B7" s="2294"/>
      <c r="C7" s="2294"/>
      <c r="D7" s="2294"/>
      <c r="E7" s="2294"/>
      <c r="F7" s="2294"/>
      <c r="G7" s="2295"/>
    </row>
    <row r="8" spans="1:7" ht="15.75" customHeight="1" x14ac:dyDescent="0.25">
      <c r="A8" s="2296" t="s">
        <v>2020</v>
      </c>
      <c r="B8" s="2297"/>
      <c r="C8" s="2297"/>
      <c r="D8" s="2297"/>
      <c r="E8" s="2297"/>
      <c r="F8" s="2297"/>
      <c r="G8" s="2298"/>
    </row>
    <row r="9" spans="1:7" ht="35.25" customHeight="1" x14ac:dyDescent="0.25">
      <c r="A9" s="2293" t="s">
        <v>2074</v>
      </c>
      <c r="B9" s="2294"/>
      <c r="C9" s="2294"/>
      <c r="D9" s="2294"/>
      <c r="E9" s="2294"/>
      <c r="F9" s="2294"/>
      <c r="G9" s="2295"/>
    </row>
    <row r="10" spans="1:7" ht="15" customHeight="1" x14ac:dyDescent="0.25">
      <c r="A10" s="1559" t="s">
        <v>1925</v>
      </c>
      <c r="B10" s="1560"/>
      <c r="C10" s="1560"/>
      <c r="D10" s="1560"/>
      <c r="E10" s="1560"/>
      <c r="F10" s="1560"/>
      <c r="G10" s="1561"/>
    </row>
    <row r="11" spans="1:7" ht="17.25" customHeight="1" x14ac:dyDescent="0.25">
      <c r="A11" s="2293" t="s">
        <v>2073</v>
      </c>
      <c r="B11" s="2294"/>
      <c r="C11" s="2294"/>
      <c r="D11" s="2294"/>
      <c r="E11" s="2294"/>
      <c r="F11" s="2294"/>
      <c r="G11" s="2295"/>
    </row>
    <row r="12" spans="1:7" ht="15" customHeight="1" x14ac:dyDescent="0.25">
      <c r="A12" s="1559" t="s">
        <v>1930</v>
      </c>
      <c r="B12" s="1560"/>
      <c r="C12" s="1560"/>
      <c r="D12" s="1560"/>
      <c r="E12" s="1560"/>
      <c r="F12" s="1560"/>
      <c r="G12" s="1561"/>
    </row>
    <row r="13" spans="1:7" ht="32.25" customHeight="1" x14ac:dyDescent="0.25">
      <c r="A13" s="2284" t="s">
        <v>1931</v>
      </c>
      <c r="B13" s="2285"/>
      <c r="C13" s="2285"/>
      <c r="D13" s="2285"/>
      <c r="E13" s="2285"/>
      <c r="F13" s="2285"/>
      <c r="G13" s="2286"/>
    </row>
    <row r="14" spans="1:7" x14ac:dyDescent="0.25">
      <c r="A14" s="1683" t="s">
        <v>1939</v>
      </c>
      <c r="B14" s="1684"/>
      <c r="C14" s="1684"/>
      <c r="D14" s="1684"/>
      <c r="E14" s="1684"/>
      <c r="F14" s="1684"/>
      <c r="G14" s="1685"/>
    </row>
    <row r="15" spans="1:7" ht="61.5" customHeight="1" x14ac:dyDescent="0.25">
      <c r="A15" s="1568" t="s">
        <v>1932</v>
      </c>
      <c r="B15" s="1568" t="s">
        <v>1933</v>
      </c>
      <c r="C15" s="1568" t="s">
        <v>1934</v>
      </c>
      <c r="D15" s="1569" t="s">
        <v>1935</v>
      </c>
      <c r="E15" s="1569" t="s">
        <v>1926</v>
      </c>
      <c r="F15" s="1569" t="s">
        <v>1936</v>
      </c>
      <c r="G15" s="1569" t="s">
        <v>1937</v>
      </c>
    </row>
    <row r="16" spans="1:7" x14ac:dyDescent="0.25">
      <c r="A16" s="1670" t="s">
        <v>1940</v>
      </c>
      <c r="B16" s="1671" t="s">
        <v>1929</v>
      </c>
      <c r="C16" s="1672" t="s">
        <v>1927</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t="s">
        <v>2102</v>
      </c>
      <c r="B17" s="1956" t="s">
        <v>2103</v>
      </c>
      <c r="C17" s="1957" t="s">
        <v>2104</v>
      </c>
      <c r="D17" s="1867">
        <f>1200+550</f>
        <v>1750</v>
      </c>
      <c r="E17" s="1562">
        <f t="shared" ref="E17:E141" si="1">IF(D17&lt;=25000,D17,IF(D17&gt;25000,25000,0))</f>
        <v>1750</v>
      </c>
      <c r="F17" s="1815">
        <f t="shared" si="0"/>
        <v>1750</v>
      </c>
      <c r="G17" s="1816">
        <f>IF(F17=0,0,D17-F17)</f>
        <v>0</v>
      </c>
      <c r="H17" s="1669"/>
    </row>
    <row r="18" spans="1:8" x14ac:dyDescent="0.25">
      <c r="A18" s="1955" t="s">
        <v>2102</v>
      </c>
      <c r="B18" s="1956" t="s">
        <v>2103</v>
      </c>
      <c r="C18" s="1957" t="s">
        <v>2105</v>
      </c>
      <c r="D18" s="1867">
        <f>1870+1196+1704+1271+1136+704+363</f>
        <v>8244</v>
      </c>
      <c r="E18" s="1562">
        <f t="shared" ref="E18:E140" si="2">IF(D18&lt;=25000,D18,IF(D18&gt;25000,25000,0))</f>
        <v>8244</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8244</v>
      </c>
      <c r="G18" s="1816">
        <f t="shared" ref="G18:G140" si="4">IF(F18=0,0,D18-F18)</f>
        <v>0</v>
      </c>
    </row>
    <row r="19" spans="1:8" x14ac:dyDescent="0.25">
      <c r="A19" s="1955" t="s">
        <v>2102</v>
      </c>
      <c r="B19" s="1956" t="s">
        <v>2103</v>
      </c>
      <c r="C19" s="1957" t="s">
        <v>2106</v>
      </c>
      <c r="D19" s="1867">
        <v>9463</v>
      </c>
      <c r="E19" s="1562">
        <f t="shared" si="2"/>
        <v>9463</v>
      </c>
      <c r="F19" s="1815">
        <f t="shared" si="3"/>
        <v>9463</v>
      </c>
      <c r="G19" s="1816">
        <f t="shared" si="4"/>
        <v>0</v>
      </c>
    </row>
    <row r="20" spans="1:8" x14ac:dyDescent="0.25">
      <c r="A20" s="1955" t="s">
        <v>2102</v>
      </c>
      <c r="B20" s="1956" t="s">
        <v>2103</v>
      </c>
      <c r="C20" s="1957" t="s">
        <v>2107</v>
      </c>
      <c r="D20" s="1867">
        <v>12000</v>
      </c>
      <c r="E20" s="1562">
        <f t="shared" si="2"/>
        <v>12000</v>
      </c>
      <c r="F20" s="1815">
        <f t="shared" si="3"/>
        <v>12000</v>
      </c>
      <c r="G20" s="1816">
        <f t="shared" si="4"/>
        <v>0</v>
      </c>
    </row>
    <row r="21" spans="1:8" x14ac:dyDescent="0.25">
      <c r="A21" s="1955" t="s">
        <v>2102</v>
      </c>
      <c r="B21" s="1956" t="s">
        <v>2103</v>
      </c>
      <c r="C21" s="1957" t="s">
        <v>2108</v>
      </c>
      <c r="D21" s="1867">
        <f>53599-6328-2224-5109</f>
        <v>39938</v>
      </c>
      <c r="E21" s="1562">
        <f t="shared" si="2"/>
        <v>25000</v>
      </c>
      <c r="F21" s="1815">
        <f t="shared" si="3"/>
        <v>25000</v>
      </c>
      <c r="G21" s="1816">
        <f t="shared" si="4"/>
        <v>14938</v>
      </c>
    </row>
    <row r="22" spans="1:8" x14ac:dyDescent="0.25">
      <c r="A22" s="1955" t="s">
        <v>2109</v>
      </c>
      <c r="B22" s="1956" t="s">
        <v>2110</v>
      </c>
      <c r="C22" s="1957" t="s">
        <v>2108</v>
      </c>
      <c r="D22" s="1867">
        <v>5109</v>
      </c>
      <c r="E22" s="1562">
        <f t="shared" si="2"/>
        <v>5109</v>
      </c>
      <c r="F22" s="1815">
        <f t="shared" si="3"/>
        <v>5109</v>
      </c>
      <c r="G22" s="1816">
        <f t="shared" si="4"/>
        <v>0</v>
      </c>
    </row>
    <row r="23" spans="1:8" x14ac:dyDescent="0.25">
      <c r="A23" s="1955" t="s">
        <v>2111</v>
      </c>
      <c r="B23" s="1956" t="s">
        <v>2112</v>
      </c>
      <c r="C23" s="1957" t="s">
        <v>2113</v>
      </c>
      <c r="D23" s="1867">
        <v>6175</v>
      </c>
      <c r="E23" s="1562">
        <f t="shared" si="2"/>
        <v>6175</v>
      </c>
      <c r="F23" s="1815">
        <f t="shared" si="3"/>
        <v>6175</v>
      </c>
      <c r="G23" s="1816">
        <f t="shared" si="4"/>
        <v>0</v>
      </c>
    </row>
    <row r="24" spans="1:8" x14ac:dyDescent="0.25">
      <c r="A24" s="1955" t="s">
        <v>2111</v>
      </c>
      <c r="B24" s="1956" t="s">
        <v>2112</v>
      </c>
      <c r="C24" s="1957" t="s">
        <v>2114</v>
      </c>
      <c r="D24" s="1867">
        <f>1443.25*12</f>
        <v>17319</v>
      </c>
      <c r="E24" s="1562">
        <f t="shared" si="2"/>
        <v>17319</v>
      </c>
      <c r="F24" s="1815">
        <f t="shared" si="3"/>
        <v>17319</v>
      </c>
      <c r="G24" s="1816">
        <f t="shared" si="4"/>
        <v>0</v>
      </c>
    </row>
    <row r="25" spans="1:8" x14ac:dyDescent="0.25">
      <c r="A25" s="1955" t="s">
        <v>2111</v>
      </c>
      <c r="B25" s="1956" t="s">
        <v>2112</v>
      </c>
      <c r="C25" s="1957" t="s">
        <v>2115</v>
      </c>
      <c r="D25" s="1867">
        <f>1640+1830</f>
        <v>3470</v>
      </c>
      <c r="E25" s="1562">
        <f t="shared" si="2"/>
        <v>3470</v>
      </c>
      <c r="F25" s="1815">
        <f t="shared" si="3"/>
        <v>3470</v>
      </c>
      <c r="G25" s="1816">
        <f t="shared" si="4"/>
        <v>0</v>
      </c>
    </row>
    <row r="26" spans="1:8" x14ac:dyDescent="0.25">
      <c r="A26" s="1955" t="s">
        <v>2116</v>
      </c>
      <c r="B26" s="1956" t="s">
        <v>2117</v>
      </c>
      <c r="C26" s="1957" t="s">
        <v>2118</v>
      </c>
      <c r="D26" s="1867">
        <f>59650+72613+74604+56583+71997+57215+65114+73240+56970+41999</f>
        <v>629985</v>
      </c>
      <c r="E26" s="1562">
        <f t="shared" si="2"/>
        <v>25000</v>
      </c>
      <c r="F26" s="1815">
        <f t="shared" si="3"/>
        <v>25000</v>
      </c>
      <c r="G26" s="1816">
        <f t="shared" si="4"/>
        <v>604985</v>
      </c>
    </row>
    <row r="27" spans="1:8" x14ac:dyDescent="0.25">
      <c r="A27" s="1675"/>
      <c r="B27" s="1868"/>
      <c r="C27" s="1676"/>
      <c r="D27" s="1867"/>
      <c r="E27" s="1562">
        <f t="shared" si="2"/>
        <v>0</v>
      </c>
      <c r="F27" s="1815">
        <f t="shared" si="3"/>
        <v>0</v>
      </c>
      <c r="G27" s="1816">
        <f t="shared" si="4"/>
        <v>0</v>
      </c>
    </row>
    <row r="28" spans="1:8" x14ac:dyDescent="0.25">
      <c r="A28" s="1675"/>
      <c r="B28" s="1868"/>
      <c r="C28" s="1676"/>
      <c r="D28" s="1867"/>
      <c r="E28" s="1562">
        <f t="shared" si="2"/>
        <v>0</v>
      </c>
      <c r="F28" s="1815">
        <f t="shared" si="3"/>
        <v>0</v>
      </c>
      <c r="G28" s="1816">
        <f t="shared" si="4"/>
        <v>0</v>
      </c>
    </row>
    <row r="29" spans="1:8" x14ac:dyDescent="0.25">
      <c r="A29" s="1675"/>
      <c r="B29" s="1868"/>
      <c r="C29" s="1676"/>
      <c r="D29" s="1867"/>
      <c r="E29" s="1562">
        <f t="shared" si="2"/>
        <v>0</v>
      </c>
      <c r="F29" s="1815">
        <f t="shared" si="3"/>
        <v>0</v>
      </c>
      <c r="G29" s="1816">
        <f t="shared" si="4"/>
        <v>0</v>
      </c>
    </row>
    <row r="30" spans="1:8" x14ac:dyDescent="0.25">
      <c r="A30" s="1675"/>
      <c r="B30" s="1868"/>
      <c r="C30" s="1676"/>
      <c r="D30" s="1867"/>
      <c r="E30" s="1562">
        <f t="shared" si="2"/>
        <v>0</v>
      </c>
      <c r="F30" s="1815">
        <f t="shared" si="3"/>
        <v>0</v>
      </c>
      <c r="G30" s="1816">
        <f t="shared" si="4"/>
        <v>0</v>
      </c>
    </row>
    <row r="31" spans="1:8" x14ac:dyDescent="0.25">
      <c r="A31" s="1675"/>
      <c r="B31" s="1868"/>
      <c r="C31" s="1676"/>
      <c r="D31" s="1867"/>
      <c r="E31" s="1562">
        <f t="shared" si="2"/>
        <v>0</v>
      </c>
      <c r="F31" s="1815">
        <f t="shared" si="3"/>
        <v>0</v>
      </c>
      <c r="G31" s="1816">
        <f t="shared" si="4"/>
        <v>0</v>
      </c>
    </row>
    <row r="32" spans="1:8" x14ac:dyDescent="0.25">
      <c r="A32" s="1675"/>
      <c r="B32" s="1868"/>
      <c r="C32" s="1676"/>
      <c r="D32" s="1867"/>
      <c r="E32" s="1562">
        <f t="shared" si="2"/>
        <v>0</v>
      </c>
      <c r="F32" s="1815">
        <f t="shared" si="3"/>
        <v>0</v>
      </c>
      <c r="G32" s="1816">
        <f t="shared" si="4"/>
        <v>0</v>
      </c>
    </row>
    <row r="33" spans="1:7" x14ac:dyDescent="0.25">
      <c r="A33" s="1675"/>
      <c r="B33" s="1868"/>
      <c r="C33" s="1676"/>
      <c r="D33" s="1867"/>
      <c r="E33" s="1562">
        <f t="shared" si="2"/>
        <v>0</v>
      </c>
      <c r="F33" s="1815">
        <f t="shared" si="3"/>
        <v>0</v>
      </c>
      <c r="G33" s="1816">
        <f t="shared" si="4"/>
        <v>0</v>
      </c>
    </row>
    <row r="34" spans="1:7" x14ac:dyDescent="0.25">
      <c r="A34" s="1675"/>
      <c r="B34" s="1868"/>
      <c r="C34" s="1676"/>
      <c r="D34" s="1867"/>
      <c r="E34" s="1562">
        <f t="shared" si="2"/>
        <v>0</v>
      </c>
      <c r="F34" s="1815">
        <f t="shared" si="3"/>
        <v>0</v>
      </c>
      <c r="G34" s="1816">
        <f t="shared" si="4"/>
        <v>0</v>
      </c>
    </row>
    <row r="35" spans="1:7" x14ac:dyDescent="0.25">
      <c r="A35" s="1675"/>
      <c r="B35" s="1868"/>
      <c r="C35" s="1676"/>
      <c r="D35" s="1867"/>
      <c r="E35" s="1562">
        <f t="shared" si="2"/>
        <v>0</v>
      </c>
      <c r="F35" s="1815">
        <f t="shared" si="3"/>
        <v>0</v>
      </c>
      <c r="G35" s="1816">
        <f t="shared" si="4"/>
        <v>0</v>
      </c>
    </row>
    <row r="36" spans="1:7" x14ac:dyDescent="0.25">
      <c r="A36" s="1675"/>
      <c r="B36" s="1868"/>
      <c r="C36" s="1676"/>
      <c r="D36" s="1867"/>
      <c r="E36" s="1562">
        <f t="shared" si="2"/>
        <v>0</v>
      </c>
      <c r="F36" s="1815">
        <f t="shared" si="3"/>
        <v>0</v>
      </c>
      <c r="G36" s="1816">
        <f t="shared" si="4"/>
        <v>0</v>
      </c>
    </row>
    <row r="37" spans="1:7" x14ac:dyDescent="0.25">
      <c r="A37" s="1675"/>
      <c r="B37" s="1868"/>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733453</v>
      </c>
      <c r="E141" s="1563">
        <f t="shared" si="1"/>
        <v>25000</v>
      </c>
      <c r="F141" s="1817">
        <f>SUM(F17:F140)</f>
        <v>113530</v>
      </c>
      <c r="G141" s="1818">
        <f>SUM(G17:G140)</f>
        <v>619923</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2072</v>
      </c>
      <c r="B10" s="972"/>
      <c r="C10" s="977"/>
      <c r="D10" s="973"/>
      <c r="E10" s="974">
        <f>+'Revenues 9-14'!C201</f>
        <v>654399</v>
      </c>
      <c r="F10" s="975"/>
      <c r="G10" s="976"/>
      <c r="H10" s="162"/>
      <c r="I10" s="162"/>
    </row>
    <row r="11" spans="1:9" s="669" customFormat="1" ht="22.5" customHeight="1" x14ac:dyDescent="0.2">
      <c r="A11" s="2304" t="s">
        <v>1942</v>
      </c>
      <c r="B11" s="2305"/>
      <c r="C11" s="2305"/>
      <c r="D11" s="2306"/>
      <c r="E11" s="978">
        <v>74561</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12933111</v>
      </c>
      <c r="F19" s="1822"/>
      <c r="G19" s="1824">
        <f>'Expenditures 15-22'!K33-SUM('Expenditures 15-22'!G33,'Expenditures 15-22'!I33)+'Expenditures 15-22'!D229</f>
        <v>12933111</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905170</v>
      </c>
      <c r="F21" s="1825"/>
      <c r="G21" s="1828">
        <f>'Expenditures 15-22'!K42-SUM('Expenditures 15-22'!G42,'Expenditures 15-22'!I42)+'Expenditures 15-22'!K120-SUM('Expenditures 15-22'!G120,'Expenditures 15-22'!I120)+'Expenditures 15-22'!K180-SUM('Expenditures 15-22'!G180,'Expenditures 15-22'!I180)+'Expenditures 15-22'!D238</f>
        <v>905170</v>
      </c>
      <c r="H21" s="988"/>
      <c r="I21" s="162"/>
    </row>
    <row r="22" spans="1:9" s="669" customFormat="1" ht="12" customHeight="1" x14ac:dyDescent="0.2">
      <c r="A22" s="995" t="s">
        <v>585</v>
      </c>
      <c r="B22" s="996"/>
      <c r="C22" s="994">
        <v>2200</v>
      </c>
      <c r="D22" s="1825"/>
      <c r="E22" s="1827">
        <f>'Expenditures 15-22'!K47-SUM('Expenditures 15-22'!G47,'Expenditures 15-22'!I47)+'Expenditures 15-22'!D243</f>
        <v>1057695</v>
      </c>
      <c r="F22" s="1825"/>
      <c r="G22" s="1828">
        <f>'Expenditures 15-22'!K47-SUM('Expenditures 15-22'!G47,'Expenditures 15-22'!I47)+'Expenditures 15-22'!D243</f>
        <v>1057695</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1368637</v>
      </c>
      <c r="F23" s="1825"/>
      <c r="G23" s="1827">
        <f>'Expenditures 15-22'!K53-SUM('Expenditures 15-22'!G53,'Expenditures 15-22'!I53)+'Expenditures 15-22'!D257+'Expenditures 15-22'!K330-SUM('Expenditures 15-22'!G330,'Expenditures 15-22'!I330)</f>
        <v>1368637</v>
      </c>
      <c r="H23" s="988"/>
      <c r="I23" s="162"/>
    </row>
    <row r="24" spans="1:9" s="669" customFormat="1" ht="12" customHeight="1" x14ac:dyDescent="0.2">
      <c r="A24" s="995" t="s">
        <v>587</v>
      </c>
      <c r="B24" s="996"/>
      <c r="C24" s="994">
        <v>2400</v>
      </c>
      <c r="D24" s="1825"/>
      <c r="E24" s="1827">
        <f>'Expenditures 15-22'!K57-SUM('Expenditures 15-22'!G57,'Expenditures 15-22'!I57)+'Expenditures 15-22'!D261</f>
        <v>900239</v>
      </c>
      <c r="F24" s="1825"/>
      <c r="G24" s="1828">
        <f>'Expenditures 15-22'!K57-SUM('Expenditures 15-22'!G57,'Expenditures 15-22'!I57)+'Expenditures 15-22'!D261</f>
        <v>900239</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82644</v>
      </c>
      <c r="E26" s="1827">
        <f>'Expenditures 15-22'!K122-SUM('Expenditures 15-22'!G122,'Expenditures 15-22'!I122)+E7</f>
        <v>0</v>
      </c>
      <c r="F26" s="1827">
        <f>'Expenditures 15-22'!K59-SUM('Expenditures 15-22'!G59,'Expenditures 15-22'!I59)+'Expenditures 15-22'!D263-E7</f>
        <v>82644</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204803</v>
      </c>
      <c r="E27" s="1827">
        <f>E8</f>
        <v>0</v>
      </c>
      <c r="F27" s="1827">
        <f>'Expenditures 15-22'!K60-SUM('Expenditures 15-22'!G60,'Expenditures 15-22'!I60)+'Expenditures 15-22'!D264-E8</f>
        <v>204803</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1910216</v>
      </c>
      <c r="F28" s="1829">
        <f>'Expenditures 15-22'!K61-SUM('Expenditures 15-22'!G61,'Expenditures 15-22'!I61)+'Expenditures 15-22'!K124-SUM('Expenditures 15-22'!G124,'Expenditures 15-22'!I124)+'Expenditures 15-22'!D266-E9</f>
        <v>1910216</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1240896</v>
      </c>
      <c r="F29" s="1825"/>
      <c r="G29" s="1828">
        <f>'Expenditures 15-22'!K62-SUM('Expenditures 15-22'!G62,'Expenditures 15-22'!I62)+'Expenditures 15-22'!K125-SUM('Expenditures 15-22'!G125,'Expenditures 15-22'!I125)+'Expenditures 15-22'!K182-SUM('Expenditures 15-22'!G182,'Expenditures 15-22'!I182)+'Expenditures 15-22'!D267</f>
        <v>1240896</v>
      </c>
      <c r="H29" s="986"/>
    </row>
    <row r="30" spans="1:9" ht="12" customHeight="1" x14ac:dyDescent="0.2">
      <c r="A30" s="995" t="s">
        <v>102</v>
      </c>
      <c r="B30" s="998"/>
      <c r="C30" s="994">
        <v>2560</v>
      </c>
      <c r="D30" s="1825"/>
      <c r="E30" s="1827">
        <f>'Expenditures 15-22'!K63-SUM('Expenditures 15-22'!G63,'Expenditures 15-22'!I63)+'Expenditures 15-22'!D268-E10</f>
        <v>84280</v>
      </c>
      <c r="F30" s="1825"/>
      <c r="G30" s="1827">
        <f>'Expenditures 15-22'!K63-SUM('Expenditures 15-22'!G63,'Expenditures 15-22'!I63)+'Expenditures 15-22'!D268-E10</f>
        <v>84280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41677</v>
      </c>
      <c r="E36" s="1827">
        <f>E13</f>
        <v>0</v>
      </c>
      <c r="F36" s="1827">
        <f>'Expenditures 15-22'!K70-SUM('Expenditures 15-22'!G70,'Expenditures 15-22'!I70)+'Expenditures 15-22'!D275-E13</f>
        <v>41677</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17961</v>
      </c>
      <c r="F39" s="1825"/>
      <c r="G39" s="1827">
        <f>'Expenditures 15-22'!K75-SUM('Expenditures 15-22'!G75,'Expenditures 15-22'!I75)+'Expenditures 15-22'!K130-SUM('Expenditures 15-22'!G130,'Expenditures 15-22'!I130)+'Expenditures 15-22'!K185-SUM('Expenditures 15-22'!G185,'Expenditures 15-22'!I185)+'Expenditures 15-22'!D280</f>
        <v>17961</v>
      </c>
    </row>
    <row r="40" spans="1:7" ht="12" customHeight="1" x14ac:dyDescent="0.2">
      <c r="A40" s="991" t="s">
        <v>1928</v>
      </c>
      <c r="B40" s="992"/>
      <c r="C40" s="994"/>
      <c r="D40" s="1825"/>
      <c r="E40" s="1829">
        <f>-'Contracts Paid in CY 29'!G141</f>
        <v>-619923</v>
      </c>
      <c r="F40" s="1825"/>
      <c r="G40" s="1829">
        <f>-'Contracts Paid in CY 29'!G141</f>
        <v>-619923</v>
      </c>
    </row>
    <row r="41" spans="1:7" ht="12" customHeight="1" x14ac:dyDescent="0.2">
      <c r="A41" s="999" t="s">
        <v>158</v>
      </c>
      <c r="B41" s="1000"/>
      <c r="C41" s="1001"/>
      <c r="D41" s="1829">
        <f>SUM(D19:D39)</f>
        <v>329124</v>
      </c>
      <c r="E41" s="1829">
        <f>SUM(E19:E40)</f>
        <v>19798282</v>
      </c>
      <c r="F41" s="1829">
        <f>SUM(F19:F39)</f>
        <v>2239340</v>
      </c>
      <c r="G41" s="1829">
        <f>SUM(G19:G40)</f>
        <v>17888066</v>
      </c>
    </row>
    <row r="42" spans="1:7" x14ac:dyDescent="0.2">
      <c r="A42" s="988"/>
      <c r="B42" s="162"/>
      <c r="C42" s="1002"/>
      <c r="D42" s="2302" t="s">
        <v>543</v>
      </c>
      <c r="E42" s="2303"/>
      <c r="F42" s="1003" t="s">
        <v>544</v>
      </c>
      <c r="G42" s="1004"/>
    </row>
    <row r="43" spans="1:7" ht="12" customHeight="1" x14ac:dyDescent="0.2">
      <c r="A43" s="988"/>
      <c r="B43" s="162"/>
      <c r="C43" s="1002"/>
      <c r="D43" s="1830" t="s">
        <v>493</v>
      </c>
      <c r="E43" s="1831">
        <f>D41</f>
        <v>329124</v>
      </c>
      <c r="F43" s="1830" t="s">
        <v>495</v>
      </c>
      <c r="G43" s="1831">
        <f>F41</f>
        <v>2239340</v>
      </c>
    </row>
    <row r="44" spans="1:7" ht="12" customHeight="1" x14ac:dyDescent="0.2">
      <c r="A44" s="988"/>
      <c r="B44" s="162"/>
      <c r="C44" s="1002"/>
      <c r="D44" s="1830" t="s">
        <v>494</v>
      </c>
      <c r="E44" s="1831">
        <f>E41</f>
        <v>19798282</v>
      </c>
      <c r="F44" s="1830" t="s">
        <v>494</v>
      </c>
      <c r="G44" s="1831">
        <f>G41</f>
        <v>17888066</v>
      </c>
    </row>
    <row r="45" spans="1:7" ht="12" customHeight="1" x14ac:dyDescent="0.2">
      <c r="A45" s="988"/>
      <c r="B45" s="162"/>
      <c r="C45" s="162"/>
      <c r="D45" s="1832" t="s">
        <v>1063</v>
      </c>
      <c r="E45" s="1833">
        <f>(E43/E44)</f>
        <v>1.6623866656712942E-2</v>
      </c>
      <c r="F45" s="1832" t="s">
        <v>1063</v>
      </c>
      <c r="G45" s="1833">
        <f>(G43/G44)</f>
        <v>0.12518625546216119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32" sqref="F32"/>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10" t="s">
        <v>1446</v>
      </c>
      <c r="B1" s="2310"/>
      <c r="C1" s="2310"/>
      <c r="D1" s="2310"/>
      <c r="E1" s="2310"/>
      <c r="F1" s="2310"/>
    </row>
    <row r="2" spans="1:10" x14ac:dyDescent="0.2">
      <c r="A2" s="1911" t="s">
        <v>2044</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11" t="s">
        <v>1627</v>
      </c>
      <c r="B5" s="2312"/>
      <c r="C5" s="2313"/>
      <c r="D5" s="2313"/>
      <c r="E5" s="2313"/>
      <c r="F5" s="2313"/>
    </row>
    <row r="6" spans="1:10" ht="12" customHeight="1" x14ac:dyDescent="0.25">
      <c r="A6" s="1874"/>
      <c r="B6" s="1875"/>
      <c r="C6" s="2314" t="str">
        <f>COVER!A17</f>
        <v>Canton Union School District  66</v>
      </c>
      <c r="D6" s="2314"/>
      <c r="E6" s="2314"/>
      <c r="F6" s="1876"/>
    </row>
    <row r="7" spans="1:10" ht="11.25" customHeight="1" thickBot="1" x14ac:dyDescent="0.3">
      <c r="A7" s="1874"/>
      <c r="B7" s="1875"/>
      <c r="C7" s="2315">
        <f>COVER!A13</f>
        <v>26029066025</v>
      </c>
      <c r="D7" s="2315"/>
      <c r="E7" s="2315"/>
      <c r="F7" s="1876"/>
    </row>
    <row r="8" spans="1:10" ht="25.5" customHeight="1" thickBot="1" x14ac:dyDescent="0.25">
      <c r="A8" s="1917" t="s">
        <v>2021</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t="s">
        <v>2098</v>
      </c>
      <c r="D16" s="1889" t="s">
        <v>2098</v>
      </c>
      <c r="E16" s="1892"/>
      <c r="F16" s="1891" t="s">
        <v>2099</v>
      </c>
      <c r="H16" s="1902">
        <f t="shared" si="0"/>
        <v>5</v>
      </c>
      <c r="I16" s="1902">
        <f t="shared" si="1"/>
        <v>5</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2098</v>
      </c>
      <c r="D26" s="1889" t="s">
        <v>2098</v>
      </c>
      <c r="E26" s="1892"/>
      <c r="F26" s="1891" t="s">
        <v>2100</v>
      </c>
      <c r="H26" s="1902">
        <f t="shared" si="0"/>
        <v>5</v>
      </c>
      <c r="I26" s="1902">
        <f t="shared" si="1"/>
        <v>5</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t="s">
        <v>2098</v>
      </c>
      <c r="D31" s="1889" t="s">
        <v>2098</v>
      </c>
      <c r="E31" s="1892"/>
      <c r="F31" s="1891" t="s">
        <v>2101</v>
      </c>
      <c r="H31" s="1902">
        <f t="shared" si="0"/>
        <v>5</v>
      </c>
      <c r="I31" s="1902">
        <f t="shared" si="1"/>
        <v>5</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15</v>
      </c>
      <c r="I34" s="1902">
        <f>SUM(I11:I32)</f>
        <v>15</v>
      </c>
      <c r="J34" s="1902">
        <f>SUM(J11:J32)</f>
        <v>0</v>
      </c>
      <c r="K34" s="1902">
        <f>SUM(H34:J34)</f>
        <v>30</v>
      </c>
    </row>
    <row r="35" spans="1:11" ht="12" customHeight="1" x14ac:dyDescent="0.2">
      <c r="A35" s="1895" t="s">
        <v>1459</v>
      </c>
      <c r="B35" s="1896"/>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7"/>
      <c r="B39" s="1897"/>
      <c r="C39" s="1897"/>
      <c r="D39" s="1897"/>
      <c r="E39" s="1897"/>
      <c r="F39" s="1897"/>
    </row>
    <row r="40" spans="1:11" s="1894" customFormat="1" ht="12" customHeight="1" x14ac:dyDescent="0.25">
      <c r="A40" s="1898" t="s">
        <v>1458</v>
      </c>
      <c r="B40" s="1899"/>
      <c r="C40" s="2324"/>
      <c r="D40" s="2324"/>
      <c r="E40" s="2324"/>
      <c r="F40" s="2325"/>
      <c r="H40" s="1903"/>
      <c r="I40" s="1903"/>
      <c r="J40" s="1903"/>
      <c r="K40" s="1903"/>
    </row>
    <row r="41" spans="1:11" s="1894" customFormat="1" ht="12" customHeight="1" x14ac:dyDescent="0.25">
      <c r="A41" s="2326"/>
      <c r="B41" s="2327"/>
      <c r="C41" s="2327"/>
      <c r="D41" s="2327"/>
      <c r="E41" s="2327"/>
      <c r="F41" s="2328"/>
      <c r="H41" s="1903"/>
      <c r="I41" s="1903"/>
      <c r="J41" s="1903"/>
      <c r="K41" s="1903"/>
    </row>
    <row r="42" spans="1:11" s="1894" customFormat="1" ht="12" customHeight="1" x14ac:dyDescent="0.25">
      <c r="A42" s="2326"/>
      <c r="B42" s="2327"/>
      <c r="C42" s="2327"/>
      <c r="D42" s="2327"/>
      <c r="E42" s="2327"/>
      <c r="F42" s="2328"/>
      <c r="H42" s="1903"/>
      <c r="I42" s="1903"/>
      <c r="J42" s="1903"/>
      <c r="K42" s="1903"/>
    </row>
    <row r="43" spans="1:11" s="1894" customFormat="1" ht="15" x14ac:dyDescent="0.25">
      <c r="A43" s="2318"/>
      <c r="B43" s="2319"/>
      <c r="C43" s="2319"/>
      <c r="D43" s="2319"/>
      <c r="E43" s="2319"/>
      <c r="F43" s="2320"/>
      <c r="H43" s="1903"/>
      <c r="I43" s="1903"/>
      <c r="J43" s="1903"/>
      <c r="K43" s="1903"/>
    </row>
    <row r="44" spans="1:11" s="1894" customFormat="1" ht="12" hidden="1" customHeight="1" x14ac:dyDescent="0.25">
      <c r="A44" s="2318"/>
      <c r="B44" s="2319"/>
      <c r="C44" s="2319"/>
      <c r="D44" s="2319"/>
      <c r="E44" s="2319"/>
      <c r="F44" s="2320"/>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P28" sqref="P2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4" t="str">
        <f>COVER!A17</f>
        <v>Canton Union School District  66</v>
      </c>
      <c r="J6" s="2335"/>
      <c r="Q6" s="1686"/>
    </row>
    <row r="7" spans="1:17" x14ac:dyDescent="0.2">
      <c r="A7" s="2336" t="s">
        <v>924</v>
      </c>
      <c r="B7" s="2337"/>
      <c r="C7" s="2337"/>
      <c r="D7" s="2337"/>
      <c r="E7" s="2338"/>
      <c r="F7" s="1018"/>
      <c r="G7" s="1010"/>
      <c r="H7" s="1017" t="s">
        <v>390</v>
      </c>
      <c r="I7" s="2339">
        <f>COVER!A13</f>
        <v>26029066025</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201087</v>
      </c>
      <c r="F12" s="1040"/>
      <c r="G12" s="1834">
        <f t="shared" ref="G12:G18" si="0">SUM(E12:F12)</f>
        <v>201087</v>
      </c>
      <c r="H12" s="1041">
        <v>212900</v>
      </c>
      <c r="I12" s="1040"/>
      <c r="J12" s="1834">
        <f t="shared" ref="J12:J18" si="1">SUM(H12:I12)</f>
        <v>212900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74348</v>
      </c>
      <c r="F15" s="1834">
        <f>'Expenditures 15-22'!K122</f>
        <v>0</v>
      </c>
      <c r="G15" s="1834">
        <f t="shared" si="0"/>
        <v>74348</v>
      </c>
      <c r="H15" s="1041">
        <v>74600</v>
      </c>
      <c r="I15" s="1041"/>
      <c r="J15" s="1834">
        <f t="shared" si="1"/>
        <v>74600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3" t="s">
        <v>7</v>
      </c>
      <c r="C18" s="2344"/>
      <c r="D18" s="2345"/>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275435</v>
      </c>
      <c r="F19" s="1836">
        <f t="shared" si="2"/>
        <v>0</v>
      </c>
      <c r="G19" s="1836">
        <f t="shared" si="2"/>
        <v>275435</v>
      </c>
      <c r="H19" s="1836">
        <f t="shared" si="2"/>
        <v>287500</v>
      </c>
      <c r="I19" s="1836">
        <f t="shared" si="2"/>
        <v>0</v>
      </c>
      <c r="J19" s="1836">
        <f t="shared" si="2"/>
        <v>287500</v>
      </c>
    </row>
    <row r="20" spans="1:10" ht="13.5" thickTop="1" x14ac:dyDescent="0.2">
      <c r="A20" s="1036">
        <v>9</v>
      </c>
      <c r="B20" s="2346" t="s">
        <v>1703</v>
      </c>
      <c r="C20" s="2346"/>
      <c r="D20" s="2347"/>
      <c r="E20" s="1047"/>
      <c r="F20" s="1047"/>
      <c r="G20" s="1047"/>
      <c r="H20" s="1047"/>
      <c r="I20" s="1047"/>
      <c r="J20" s="1837">
        <f>IF(AND(G19&gt;0,J19&gt;0),(((J19-G19)/G19)),"Enter Budget Data")</f>
        <v>4.3803438197759906E-2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1941</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6"/>
  <sheetViews>
    <sheetView showGridLines="0" zoomScale="110" zoomScaleNormal="110" workbookViewId="0">
      <selection activeCell="B16" sqref="B1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2119</v>
      </c>
    </row>
    <row r="6" spans="1:2" x14ac:dyDescent="0.2">
      <c r="A6" s="1069">
        <v>2</v>
      </c>
      <c r="B6" s="329" t="s">
        <v>2211</v>
      </c>
    </row>
    <row r="7" spans="1:2" x14ac:dyDescent="0.2">
      <c r="A7" s="1069">
        <v>3</v>
      </c>
      <c r="B7" s="329" t="s">
        <v>2120</v>
      </c>
    </row>
    <row r="8" spans="1:2" x14ac:dyDescent="0.2">
      <c r="A8" s="1069"/>
      <c r="B8" s="329" t="s">
        <v>2121</v>
      </c>
    </row>
    <row r="9" spans="1:2" x14ac:dyDescent="0.2">
      <c r="A9" s="1069"/>
      <c r="B9" s="329" t="s">
        <v>2122</v>
      </c>
    </row>
    <row r="10" spans="1:2" x14ac:dyDescent="0.2">
      <c r="A10" s="1069"/>
      <c r="B10" s="329" t="s">
        <v>2212</v>
      </c>
    </row>
    <row r="11" spans="1:2" x14ac:dyDescent="0.2">
      <c r="A11" s="1069"/>
      <c r="B11" s="329" t="s">
        <v>2123</v>
      </c>
    </row>
    <row r="12" spans="1:2" x14ac:dyDescent="0.2">
      <c r="A12" s="1069"/>
      <c r="B12" s="329" t="s">
        <v>2213</v>
      </c>
    </row>
    <row r="13" spans="1:2" x14ac:dyDescent="0.2">
      <c r="A13" s="1069">
        <v>4</v>
      </c>
      <c r="B13" s="329" t="s">
        <v>2124</v>
      </c>
    </row>
    <row r="14" spans="1:2" x14ac:dyDescent="0.2">
      <c r="A14" s="1069">
        <v>5</v>
      </c>
      <c r="B14" s="329" t="s">
        <v>2214</v>
      </c>
    </row>
    <row r="15" spans="1:2" x14ac:dyDescent="0.2">
      <c r="A15" s="1069">
        <v>6</v>
      </c>
      <c r="B15" s="329" t="s">
        <v>2125</v>
      </c>
    </row>
    <row r="16" spans="1:2" x14ac:dyDescent="0.2">
      <c r="A16" s="1069">
        <v>7</v>
      </c>
      <c r="B16" s="329" t="s">
        <v>2126</v>
      </c>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c r="B65" s="258" t="str">
        <f>COVER!A17</f>
        <v>Canton Union School District  66</v>
      </c>
    </row>
    <row r="66" spans="1:2" x14ac:dyDescent="0.2">
      <c r="B66" s="1071">
        <f>COVER!A13</f>
        <v>26029066025</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7" t="s">
        <v>1877</v>
      </c>
    </row>
    <row r="60" spans="1:3" x14ac:dyDescent="0.2">
      <c r="A60" s="196"/>
      <c r="B60" s="1507" t="s">
        <v>1878</v>
      </c>
    </row>
    <row r="61" spans="1:3" ht="6" customHeight="1" x14ac:dyDescent="0.2">
      <c r="A61" s="197"/>
      <c r="B61" s="189"/>
    </row>
    <row r="62" spans="1:3" x14ac:dyDescent="0.2">
      <c r="A62" s="169" t="s">
        <v>1714</v>
      </c>
      <c r="B62" s="198" t="s">
        <v>1874</v>
      </c>
    </row>
    <row r="63" spans="1:3" x14ac:dyDescent="0.2">
      <c r="A63" s="188"/>
      <c r="B63" s="169" t="s">
        <v>1889</v>
      </c>
    </row>
    <row r="64" spans="1:3" x14ac:dyDescent="0.2">
      <c r="A64" s="195"/>
      <c r="B64" s="1509"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8" t="s">
        <v>1717</v>
      </c>
    </row>
    <row r="72" spans="1:9" ht="9" customHeight="1" x14ac:dyDescent="0.2">
      <c r="A72" s="192"/>
      <c r="B72" s="199"/>
    </row>
    <row r="73" spans="1:9" x14ac:dyDescent="0.2">
      <c r="A73" s="189" t="s">
        <v>1718</v>
      </c>
      <c r="B73" s="169" t="s">
        <v>1885</v>
      </c>
    </row>
    <row r="74" spans="1:9" x14ac:dyDescent="0.2">
      <c r="A74" s="189"/>
      <c r="B74" s="169" t="s">
        <v>1884</v>
      </c>
    </row>
    <row r="75" spans="1:9" ht="8.25" customHeight="1" x14ac:dyDescent="0.2">
      <c r="A75" s="189"/>
      <c r="B75" s="189"/>
    </row>
    <row r="76" spans="1:9" ht="12.2" customHeight="1" x14ac:dyDescent="0.2">
      <c r="A76" s="189" t="s">
        <v>1719</v>
      </c>
      <c r="B76" s="198" t="s">
        <v>1886</v>
      </c>
    </row>
    <row r="77" spans="1:9" ht="12.2" customHeight="1" x14ac:dyDescent="0.2">
      <c r="A77" s="190"/>
      <c r="B77" s="169" t="s">
        <v>1720</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0" sqref="B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11" dvAspect="DVASPECT_ICON" shapeId="50177" r:id="rId4">
          <objectPr defaultSize="0" r:id="rId5">
            <anchor moveWithCells="1">
              <from>
                <xdr:col>0</xdr:col>
                <xdr:colOff>0</xdr:colOff>
                <xdr:row>0</xdr:row>
                <xdr:rowOff>0</xdr:rowOff>
              </from>
              <to>
                <xdr:col>1</xdr:col>
                <xdr:colOff>742950</xdr:colOff>
                <xdr:row>4</xdr:row>
                <xdr:rowOff>57150</xdr:rowOff>
              </to>
            </anchor>
          </objectPr>
        </oleObject>
      </mc:Choice>
      <mc:Fallback>
        <oleObject progId="AcroExch.Document.11" dvAspect="DVASPECT_ICON" shapeId="50177" r:id="rId4"/>
      </mc:Fallback>
    </mc:AlternateContent>
    <mc:AlternateContent xmlns:mc="http://schemas.openxmlformats.org/markup-compatibility/2006">
      <mc:Choice Requires="x14">
        <oleObject progId="AcroExch.Document.11" dvAspect="DVASPECT_ICON" shapeId="50178" r:id="rId6">
          <objectPr defaultSize="0" r:id="rId5">
            <anchor moveWithCells="1">
              <from>
                <xdr:col>0</xdr:col>
                <xdr:colOff>0</xdr:colOff>
                <xdr:row>4</xdr:row>
                <xdr:rowOff>0</xdr:rowOff>
              </from>
              <to>
                <xdr:col>1</xdr:col>
                <xdr:colOff>742950</xdr:colOff>
                <xdr:row>8</xdr:row>
                <xdr:rowOff>57150</xdr:rowOff>
              </to>
            </anchor>
          </objectPr>
        </oleObject>
      </mc:Choice>
      <mc:Fallback>
        <oleObject progId="AcroExch.Document.11" dvAspect="DVASPECT_ICON" shapeId="50178" r:id="rId6"/>
      </mc:Fallback>
    </mc:AlternateContent>
    <mc:AlternateContent xmlns:mc="http://schemas.openxmlformats.org/markup-compatibility/2006">
      <mc:Choice Requires="x14">
        <oleObject progId="AcroExch.Document.11" dvAspect="DVASPECT_ICON" shapeId="50179" r:id="rId7">
          <objectPr defaultSize="0" r:id="rId5">
            <anchor moveWithCells="1">
              <from>
                <xdr:col>0</xdr:col>
                <xdr:colOff>0</xdr:colOff>
                <xdr:row>8</xdr:row>
                <xdr:rowOff>0</xdr:rowOff>
              </from>
              <to>
                <xdr:col>1</xdr:col>
                <xdr:colOff>742950</xdr:colOff>
                <xdr:row>12</xdr:row>
                <xdr:rowOff>57150</xdr:rowOff>
              </to>
            </anchor>
          </objectPr>
        </oleObject>
      </mc:Choice>
      <mc:Fallback>
        <oleObject progId="AcroExch.Document.11" dvAspect="DVASPECT_ICON" shapeId="50179" r:id="rId7"/>
      </mc:Fallback>
    </mc:AlternateContent>
    <mc:AlternateContent xmlns:mc="http://schemas.openxmlformats.org/markup-compatibility/2006">
      <mc:Choice Requires="x14">
        <oleObject progId="AcroExch.Document.11" dvAspect="DVASPECT_ICON" shapeId="50180" r:id="rId8">
          <objectPr defaultSize="0" r:id="rId9">
            <anchor moveWithCells="1">
              <from>
                <xdr:col>0</xdr:col>
                <xdr:colOff>0</xdr:colOff>
                <xdr:row>12</xdr:row>
                <xdr:rowOff>0</xdr:rowOff>
              </from>
              <to>
                <xdr:col>1</xdr:col>
                <xdr:colOff>790575</xdr:colOff>
                <xdr:row>15</xdr:row>
                <xdr:rowOff>200025</xdr:rowOff>
              </to>
            </anchor>
          </objectPr>
        </oleObject>
      </mc:Choice>
      <mc:Fallback>
        <oleObject progId="AcroExch.Document.11" dvAspect="DVASPECT_ICON" shapeId="50180"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2052</v>
      </c>
      <c r="B4" s="2374"/>
      <c r="C4" s="2374"/>
      <c r="D4" s="2374"/>
      <c r="E4" s="2374"/>
      <c r="F4" s="2375"/>
      <c r="G4" s="1075"/>
      <c r="H4" s="1075"/>
    </row>
    <row r="5" spans="1:8" ht="14.25" customHeight="1" x14ac:dyDescent="0.2">
      <c r="A5" s="2376" t="s">
        <v>2053</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18948644</v>
      </c>
      <c r="C8" s="1838">
        <f>'Acct Summary 7-8'!D8</f>
        <v>1879474</v>
      </c>
      <c r="D8" s="1838">
        <f>'Acct Summary 7-8'!F8</f>
        <v>1344387</v>
      </c>
      <c r="E8" s="1838">
        <f>'Acct Summary 7-8'!I8</f>
        <v>113562</v>
      </c>
      <c r="F8" s="1838">
        <f>SUM(B8:E8)</f>
        <v>22286067</v>
      </c>
    </row>
    <row r="9" spans="1:8" s="1080" customFormat="1" ht="14.25" customHeight="1" thickBot="1" x14ac:dyDescent="0.25">
      <c r="A9" s="1079" t="s">
        <v>1436</v>
      </c>
      <c r="B9" s="1839">
        <f>'Acct Summary 7-8'!C17</f>
        <v>17861622</v>
      </c>
      <c r="C9" s="1839">
        <f>'Acct Summary 7-8'!D17</f>
        <v>1774224</v>
      </c>
      <c r="D9" s="1839">
        <f>'Acct Summary 7-8'!F17</f>
        <v>1076607</v>
      </c>
      <c r="E9" s="1838"/>
      <c r="F9" s="1838">
        <f>SUM(B9:E9)</f>
        <v>20712453</v>
      </c>
    </row>
    <row r="10" spans="1:8" s="1080" customFormat="1" ht="14.25" thickTop="1" thickBot="1" x14ac:dyDescent="0.25">
      <c r="A10" s="1081" t="s">
        <v>1437</v>
      </c>
      <c r="B10" s="1840">
        <f>(B8-B9)</f>
        <v>1087022</v>
      </c>
      <c r="C10" s="1840">
        <f>(C8-C9)</f>
        <v>105250</v>
      </c>
      <c r="D10" s="1840">
        <f>(D8-D9)</f>
        <v>267780</v>
      </c>
      <c r="E10" s="1839">
        <f>(E8-E9)</f>
        <v>113562</v>
      </c>
      <c r="F10" s="1841">
        <f>SUM(F8-F9)</f>
        <v>1573614</v>
      </c>
    </row>
    <row r="11" spans="1:8" s="1080" customFormat="1" ht="14.25" thickTop="1" thickBot="1" x14ac:dyDescent="0.25">
      <c r="A11" s="1082" t="s">
        <v>1785</v>
      </c>
      <c r="B11" s="1842">
        <f>'Acct Summary 7-8'!C81</f>
        <v>10033900</v>
      </c>
      <c r="C11" s="1842">
        <f>'Acct Summary 7-8'!D81</f>
        <v>623408</v>
      </c>
      <c r="D11" s="1842">
        <f>'Acct Summary 7-8'!F81</f>
        <v>820863</v>
      </c>
      <c r="E11" s="1842">
        <f>'Acct Summary 7-8'!I81</f>
        <v>1273150</v>
      </c>
      <c r="F11" s="1843">
        <f>SUM(B11:E11)</f>
        <v>12751321</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election activeCell="C60" sqref="C60"/>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2045</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2046</v>
      </c>
      <c r="D66" s="1126"/>
    </row>
    <row r="67" spans="1:4" x14ac:dyDescent="0.2">
      <c r="A67" s="1120"/>
      <c r="B67" s="1141"/>
      <c r="C67" s="1148" t="s">
        <v>1079</v>
      </c>
      <c r="D67" s="1126"/>
    </row>
    <row r="68" spans="1:4" x14ac:dyDescent="0.2">
      <c r="A68" s="1101"/>
      <c r="B68" s="1111"/>
      <c r="C68" s="1103" t="s">
        <v>2047</v>
      </c>
      <c r="D68" s="1125" t="str">
        <f>IF('Short-Term Long-Term Debt 24'!F49=SUM(,'Acct Summary 7-8'!C33:K33),"OK","ERROR!")</f>
        <v>OK</v>
      </c>
    </row>
    <row r="69" spans="1:4" x14ac:dyDescent="0.2">
      <c r="A69" s="1101"/>
      <c r="B69" s="1111"/>
      <c r="C69" s="1103" t="s">
        <v>2048</v>
      </c>
      <c r="D69" s="1125" t="str">
        <f>IF('Expenditures 15-22'!H170&lt;&gt;'Short-Term Long-Term Debt 24'!H49,"ERROR!","OK")</f>
        <v>OK</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2049</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2050</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2051</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26029066025</v>
      </c>
    </row>
    <row r="3" spans="1:2" x14ac:dyDescent="0.2">
      <c r="A3" t="s">
        <v>1013</v>
      </c>
      <c r="B3" s="138" t="str">
        <f>COVER!A15</f>
        <v>Fulton</v>
      </c>
    </row>
    <row r="4" spans="1:2" x14ac:dyDescent="0.2">
      <c r="A4" t="s">
        <v>1064</v>
      </c>
      <c r="B4" s="138" t="str">
        <f>COVER!A17</f>
        <v>Canton Union School District  66</v>
      </c>
    </row>
    <row r="5" spans="1:2" x14ac:dyDescent="0.2">
      <c r="A5" t="s">
        <v>728</v>
      </c>
      <c r="B5" s="138" t="str">
        <f>COVER!A38</f>
        <v>Rolf Sivertsen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066-005100</v>
      </c>
    </row>
    <row r="16" spans="1:2" x14ac:dyDescent="0.2">
      <c r="A16" t="s">
        <v>442</v>
      </c>
      <c r="B16" s="138" t="str">
        <f>COVER!T13</f>
        <v>Mack &amp; Associates, P.C.</v>
      </c>
    </row>
    <row r="17" spans="1:2" x14ac:dyDescent="0.2">
      <c r="A17" t="s">
        <v>939</v>
      </c>
      <c r="B17" s="138" t="str">
        <f>COVER!T15</f>
        <v>Tawnya Mack, CPA</v>
      </c>
    </row>
    <row r="18" spans="1:2" x14ac:dyDescent="0.2">
      <c r="A18" t="s">
        <v>1212</v>
      </c>
      <c r="B18" s="138" t="str">
        <f>COVER!T17</f>
        <v>116 E. Washington Street, Suite One</v>
      </c>
    </row>
    <row r="19" spans="1:2" x14ac:dyDescent="0.2">
      <c r="A19" t="s">
        <v>941</v>
      </c>
      <c r="B19" s="138" t="str">
        <f>COVER!T25</f>
        <v>tmack@mackcpas.com</v>
      </c>
    </row>
    <row r="20" spans="1:2" x14ac:dyDescent="0.2">
      <c r="A20" t="s">
        <v>942</v>
      </c>
      <c r="B20" s="138" t="str">
        <f>COVER!T19</f>
        <v>Morris</v>
      </c>
    </row>
    <row r="21" spans="1:2" x14ac:dyDescent="0.2">
      <c r="A21" t="s">
        <v>500</v>
      </c>
      <c r="B21" s="138" t="str">
        <f>COVER!X19</f>
        <v>IL</v>
      </c>
    </row>
    <row r="22" spans="1:2" x14ac:dyDescent="0.2">
      <c r="A22" t="s">
        <v>943</v>
      </c>
      <c r="B22" s="138">
        <f>COVER!Z19</f>
        <v>60450</v>
      </c>
    </row>
    <row r="23" spans="1:2" x14ac:dyDescent="0.2">
      <c r="A23" t="s">
        <v>1214</v>
      </c>
      <c r="B23" s="138" t="str">
        <f>COVER!T21</f>
        <v>(815) 942-3306</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4795055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10033900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8285305</v>
      </c>
      <c r="D92" s="2" t="str">
        <f t="shared" si="0"/>
        <v>Error?</v>
      </c>
    </row>
    <row r="93" spans="1:4" x14ac:dyDescent="0.2">
      <c r="A93" s="5">
        <v>32</v>
      </c>
      <c r="B93" s="138">
        <f>'Assets-Liab 5-6'!C41</f>
        <v>10033900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623408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623408</v>
      </c>
      <c r="D123" s="2" t="str">
        <f t="shared" si="0"/>
        <v>Error?</v>
      </c>
    </row>
    <row r="124" spans="1:4" x14ac:dyDescent="0.2">
      <c r="A124" s="5">
        <v>63</v>
      </c>
      <c r="B124" s="138">
        <f>'Assets-Liab 5-6'!D41</f>
        <v>623408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526433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526433</v>
      </c>
      <c r="D140" s="2" t="str">
        <f t="shared" si="1"/>
        <v>Error?</v>
      </c>
    </row>
    <row r="141" spans="1:4" x14ac:dyDescent="0.2">
      <c r="A141" s="5">
        <v>80</v>
      </c>
      <c r="B141" s="138">
        <f>'Assets-Liab 5-6'!E41</f>
        <v>526433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820863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820863</v>
      </c>
      <c r="D170" s="2" t="str">
        <f t="shared" si="1"/>
        <v>Error?</v>
      </c>
    </row>
    <row r="171" spans="1:4" x14ac:dyDescent="0.2">
      <c r="A171" s="5">
        <v>110</v>
      </c>
      <c r="B171" s="138">
        <f>'Assets-Liab 5-6'!F41</f>
        <v>820863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663347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211924</v>
      </c>
      <c r="D189" s="2" t="str">
        <f t="shared" si="1"/>
        <v>Error?</v>
      </c>
    </row>
    <row r="190" spans="1:4" x14ac:dyDescent="0.2">
      <c r="A190" s="5">
        <v>129</v>
      </c>
      <c r="B190" s="138">
        <f>'Assets-Liab 5-6'!G41</f>
        <v>663347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889202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402758</v>
      </c>
      <c r="D212" s="2" t="str">
        <f t="shared" si="2"/>
        <v>Error?</v>
      </c>
    </row>
    <row r="213" spans="1:4" x14ac:dyDescent="0.2">
      <c r="A213" s="12">
        <v>152</v>
      </c>
      <c r="B213" s="138">
        <f>'Assets-Liab 5-6'!H41</f>
        <v>889202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253690</v>
      </c>
      <c r="D273" s="2" t="str">
        <f t="shared" si="3"/>
        <v>Error?</v>
      </c>
    </row>
    <row r="274" spans="1:4" x14ac:dyDescent="0.2">
      <c r="A274" s="5">
        <v>213</v>
      </c>
      <c r="B274" s="138">
        <f>'Assets-Liab 5-6'!M17</f>
        <v>24097103</v>
      </c>
      <c r="D274" s="2" t="str">
        <f t="shared" si="3"/>
        <v>Error?</v>
      </c>
    </row>
    <row r="275" spans="1:4" x14ac:dyDescent="0.2">
      <c r="A275" s="5">
        <v>214</v>
      </c>
      <c r="B275" s="138">
        <f>'Assets-Liab 5-6'!M18</f>
        <v>7267229</v>
      </c>
      <c r="D275" s="2" t="str">
        <f t="shared" si="3"/>
        <v>Error?</v>
      </c>
    </row>
    <row r="276" spans="1:4" x14ac:dyDescent="0.2">
      <c r="A276" s="5">
        <v>215</v>
      </c>
      <c r="B276" s="138">
        <f>'Assets-Liab 5-6'!M19</f>
        <v>5430969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37593763</v>
      </c>
      <c r="C279" s="2" t="s">
        <v>594</v>
      </c>
      <c r="D279" s="2" t="str">
        <f t="shared" si="3"/>
        <v>Error?</v>
      </c>
    </row>
    <row r="280" spans="1:4" x14ac:dyDescent="0.2">
      <c r="A280" s="5">
        <v>219</v>
      </c>
      <c r="B280" s="138">
        <f>'Assets-Liab 5-6'!M40</f>
        <v>37593763</v>
      </c>
      <c r="D280" s="2" t="str">
        <f t="shared" si="3"/>
        <v>Error?</v>
      </c>
    </row>
    <row r="281" spans="1:4" x14ac:dyDescent="0.2">
      <c r="A281" s="5">
        <v>220</v>
      </c>
      <c r="B281" s="138">
        <f>'Assets-Liab 5-6'!M41</f>
        <v>37593763</v>
      </c>
      <c r="C281" s="2" t="s">
        <v>594</v>
      </c>
      <c r="D281" s="2" t="str">
        <f t="shared" si="3"/>
        <v>Error?</v>
      </c>
    </row>
    <row r="282" spans="1:4" x14ac:dyDescent="0.2">
      <c r="A282" s="5">
        <v>221</v>
      </c>
      <c r="B282" s="138">
        <f>'Assets-Liab 5-6'!N21</f>
        <v>526433</v>
      </c>
      <c r="D282" s="2" t="str">
        <f t="shared" si="3"/>
        <v>Error?</v>
      </c>
    </row>
    <row r="283" spans="1:4" x14ac:dyDescent="0.2">
      <c r="A283" s="5">
        <v>222</v>
      </c>
      <c r="B283" s="138">
        <f>'Assets-Liab 5-6'!N22</f>
        <v>8012286</v>
      </c>
      <c r="D283" s="2" t="str">
        <f t="shared" si="3"/>
        <v>Error?</v>
      </c>
    </row>
    <row r="284" spans="1:4" x14ac:dyDescent="0.2">
      <c r="A284" s="5">
        <v>223</v>
      </c>
      <c r="B284" s="138">
        <f>'Assets-Liab 5-6'!N23</f>
        <v>8538719</v>
      </c>
      <c r="C284" s="2" t="s">
        <v>594</v>
      </c>
      <c r="D284" s="2" t="str">
        <f t="shared" si="3"/>
        <v>Error?</v>
      </c>
    </row>
    <row r="285" spans="1:4" x14ac:dyDescent="0.2">
      <c r="A285" s="5">
        <v>224</v>
      </c>
      <c r="B285" s="138">
        <f>'Assets-Liab 5-6'!N36</f>
        <v>8538719</v>
      </c>
      <c r="D285" s="2" t="str">
        <f t="shared" si="3"/>
        <v>Error?</v>
      </c>
    </row>
    <row r="286" spans="1:4" x14ac:dyDescent="0.2">
      <c r="A286" s="10">
        <v>225</v>
      </c>
      <c r="D286" s="2" t="str">
        <f t="shared" si="3"/>
        <v>OK</v>
      </c>
    </row>
    <row r="287" spans="1:4" x14ac:dyDescent="0.2">
      <c r="A287" s="5">
        <v>226</v>
      </c>
      <c r="B287" s="138">
        <f>'Assets-Liab 5-6'!N37</f>
        <v>8538719</v>
      </c>
      <c r="C287" s="2" t="s">
        <v>594</v>
      </c>
      <c r="D287" s="2" t="str">
        <f t="shared" si="3"/>
        <v>Error?</v>
      </c>
    </row>
    <row r="288" spans="1:4" x14ac:dyDescent="0.2">
      <c r="A288" s="5">
        <v>227</v>
      </c>
      <c r="B288" s="138">
        <f>'Assets-Liab 5-6'!N41</f>
        <v>8538719</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6142095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373606</v>
      </c>
      <c r="D717" s="2" t="str">
        <f t="shared" si="10"/>
        <v>Error?</v>
      </c>
    </row>
    <row r="718" spans="1:4" x14ac:dyDescent="0.2">
      <c r="A718" s="5">
        <v>657</v>
      </c>
      <c r="B718" s="138">
        <f>'Expenditures 15-22'!C14</f>
        <v>304576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10157298</v>
      </c>
      <c r="C720" s="2" t="s">
        <v>594</v>
      </c>
      <c r="D720" s="2" t="str">
        <f t="shared" si="10"/>
        <v>Error?</v>
      </c>
    </row>
    <row r="721" spans="1:4" x14ac:dyDescent="0.2">
      <c r="A721" s="5">
        <v>660</v>
      </c>
      <c r="B721" s="138">
        <f>'Expenditures 15-22'!C36</f>
        <v>92857</v>
      </c>
      <c r="D721" s="2" t="str">
        <f t="shared" si="10"/>
        <v>Error?</v>
      </c>
    </row>
    <row r="722" spans="1:4" x14ac:dyDescent="0.2">
      <c r="A722" s="5">
        <v>661</v>
      </c>
      <c r="B722" s="138">
        <f>'Expenditures 15-22'!C37</f>
        <v>311260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159935</v>
      </c>
      <c r="D724" s="2" t="str">
        <f t="shared" si="10"/>
        <v>Error?</v>
      </c>
    </row>
    <row r="725" spans="1:4" x14ac:dyDescent="0.2">
      <c r="A725" s="5">
        <v>664</v>
      </c>
      <c r="B725" s="138">
        <f>'Expenditures 15-22'!C40</f>
        <v>228042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792094</v>
      </c>
      <c r="C727" s="2" t="s">
        <v>594</v>
      </c>
      <c r="D727" s="2" t="str">
        <f t="shared" si="10"/>
        <v>Error?</v>
      </c>
    </row>
    <row r="728" spans="1:4" x14ac:dyDescent="0.2">
      <c r="A728" s="5">
        <v>667</v>
      </c>
      <c r="B728" s="138">
        <f>'Expenditures 15-22'!C44</f>
        <v>115518</v>
      </c>
      <c r="D728" s="2" t="str">
        <f t="shared" si="10"/>
        <v>Error?</v>
      </c>
    </row>
    <row r="729" spans="1:4" x14ac:dyDescent="0.2">
      <c r="A729" s="5">
        <v>668</v>
      </c>
      <c r="B729" s="138">
        <f>'Expenditures 15-22'!C45</f>
        <v>441611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557129</v>
      </c>
      <c r="C731" s="2" t="s">
        <v>594</v>
      </c>
      <c r="D731" s="2" t="str">
        <f t="shared" si="10"/>
        <v>Error?</v>
      </c>
    </row>
    <row r="732" spans="1:4" x14ac:dyDescent="0.2">
      <c r="A732" s="5">
        <v>671</v>
      </c>
      <c r="B732" s="138">
        <f>'Expenditures 15-22'!C49</f>
        <v>11640</v>
      </c>
      <c r="D732" s="2" t="str">
        <f t="shared" si="10"/>
        <v>Error?</v>
      </c>
    </row>
    <row r="733" spans="1:4" x14ac:dyDescent="0.2">
      <c r="A733" s="5">
        <v>672</v>
      </c>
      <c r="B733" s="138">
        <f>'Expenditures 15-22'!C50</f>
        <v>156979</v>
      </c>
      <c r="D733" s="2" t="str">
        <f t="shared" si="10"/>
        <v>Error?</v>
      </c>
    </row>
    <row r="734" spans="1:4" x14ac:dyDescent="0.2">
      <c r="A734" s="5">
        <v>673</v>
      </c>
      <c r="B734" s="138">
        <f>'Expenditures 15-22'!C53</f>
        <v>168619</v>
      </c>
      <c r="C734" s="2" t="s">
        <v>594</v>
      </c>
      <c r="D734" s="2" t="str">
        <f t="shared" si="10"/>
        <v>Error?</v>
      </c>
    </row>
    <row r="735" spans="1:4" x14ac:dyDescent="0.2">
      <c r="A735" s="5">
        <v>674</v>
      </c>
      <c r="B735" s="138">
        <f>'Expenditures 15-22'!C55</f>
        <v>699306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699306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154545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99746</v>
      </c>
      <c r="D741" s="2" t="str">
        <f t="shared" si="10"/>
        <v>Error?</v>
      </c>
    </row>
    <row r="742" spans="1:4" x14ac:dyDescent="0.2">
      <c r="A742" s="5">
        <v>681</v>
      </c>
      <c r="B742" s="138">
        <f>'Expenditures 15-22'!C63</f>
        <v>70029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324320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36000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36000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2577468</v>
      </c>
      <c r="C755" s="2" t="s">
        <v>594</v>
      </c>
      <c r="D755" s="2" t="str">
        <f t="shared" si="10"/>
        <v>Error?</v>
      </c>
    </row>
    <row r="756" spans="1:4" x14ac:dyDescent="0.2">
      <c r="A756" s="5">
        <v>695</v>
      </c>
      <c r="B756" s="138">
        <f>'Expenditures 15-22'!C75</f>
        <v>2725</v>
      </c>
      <c r="D756" s="2" t="str">
        <f t="shared" si="10"/>
        <v>Error?</v>
      </c>
    </row>
    <row r="757" spans="1:4" x14ac:dyDescent="0.2">
      <c r="A757" s="5">
        <v>696</v>
      </c>
      <c r="B757" s="138">
        <f>'Expenditures 15-22'!C114</f>
        <v>12737491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899041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49979</v>
      </c>
      <c r="D775" s="2" t="str">
        <f t="shared" si="11"/>
        <v>Error?</v>
      </c>
    </row>
    <row r="776" spans="1:4" x14ac:dyDescent="0.2">
      <c r="A776" s="5">
        <v>715</v>
      </c>
      <c r="B776" s="138">
        <f>'Expenditures 15-22'!D14</f>
        <v>15395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1556004</v>
      </c>
      <c r="C778" s="2" t="s">
        <v>594</v>
      </c>
      <c r="D778" s="2" t="str">
        <f t="shared" si="11"/>
        <v>Error?</v>
      </c>
    </row>
    <row r="779" spans="1:4" x14ac:dyDescent="0.2">
      <c r="A779" s="5">
        <v>718</v>
      </c>
      <c r="B779" s="138">
        <f>'Expenditures 15-22'!D36</f>
        <v>9306</v>
      </c>
      <c r="D779" s="2" t="str">
        <f t="shared" si="11"/>
        <v>Error?</v>
      </c>
    </row>
    <row r="780" spans="1:4" x14ac:dyDescent="0.2">
      <c r="A780" s="5">
        <v>719</v>
      </c>
      <c r="B780" s="138">
        <f>'Expenditures 15-22'!D37</f>
        <v>25608</v>
      </c>
      <c r="D780" s="2" t="str">
        <f t="shared" si="11"/>
        <v>Error?</v>
      </c>
    </row>
    <row r="781" spans="1:4" x14ac:dyDescent="0.2">
      <c r="A781" s="5">
        <v>720</v>
      </c>
      <c r="B781" s="138">
        <f>'Expenditures 15-22'!D38</f>
        <v>0</v>
      </c>
      <c r="D781" s="2" t="str">
        <f t="shared" si="11"/>
        <v>Error?</v>
      </c>
    </row>
    <row r="782" spans="1:4" x14ac:dyDescent="0.2">
      <c r="A782" s="5">
        <v>721</v>
      </c>
      <c r="B782" s="138">
        <f>'Expenditures 15-22'!D39</f>
        <v>9848</v>
      </c>
      <c r="D782" s="2" t="str">
        <f t="shared" si="11"/>
        <v>Error?</v>
      </c>
    </row>
    <row r="783" spans="1:4" x14ac:dyDescent="0.2">
      <c r="A783" s="5">
        <v>722</v>
      </c>
      <c r="B783" s="138">
        <f>'Expenditures 15-22'!D40</f>
        <v>26805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71567</v>
      </c>
      <c r="C785" s="2" t="s">
        <v>594</v>
      </c>
      <c r="D785" s="2" t="str">
        <f t="shared" si="11"/>
        <v>Error?</v>
      </c>
    </row>
    <row r="786" spans="1:4" x14ac:dyDescent="0.2">
      <c r="A786" s="5">
        <v>725</v>
      </c>
      <c r="B786" s="138">
        <f>'Expenditures 15-22'!D44</f>
        <v>38192</v>
      </c>
      <c r="D786" s="2" t="str">
        <f t="shared" si="11"/>
        <v>Error?</v>
      </c>
    </row>
    <row r="787" spans="1:4" x14ac:dyDescent="0.2">
      <c r="A787" s="5">
        <v>726</v>
      </c>
      <c r="B787" s="138">
        <f>'Expenditures 15-22'!D45</f>
        <v>45303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83495</v>
      </c>
      <c r="C789" s="2" t="s">
        <v>594</v>
      </c>
      <c r="D789" s="2" t="str">
        <f t="shared" si="11"/>
        <v>Error?</v>
      </c>
    </row>
    <row r="790" spans="1:4" x14ac:dyDescent="0.2">
      <c r="A790" s="5">
        <v>729</v>
      </c>
      <c r="B790" s="138">
        <f>'Expenditures 15-22'!D49</f>
        <v>23887</v>
      </c>
      <c r="D790" s="2" t="str">
        <f t="shared" si="11"/>
        <v>Error?</v>
      </c>
    </row>
    <row r="791" spans="1:4" x14ac:dyDescent="0.2">
      <c r="A791" s="5">
        <v>730</v>
      </c>
      <c r="B791" s="138">
        <f>'Expenditures 15-22'!D50</f>
        <v>32761</v>
      </c>
      <c r="D791" s="2" t="str">
        <f t="shared" si="11"/>
        <v>Error?</v>
      </c>
    </row>
    <row r="792" spans="1:4" x14ac:dyDescent="0.2">
      <c r="A792" s="5">
        <v>731</v>
      </c>
      <c r="B792" s="138">
        <f>'Expenditures 15-22'!D53</f>
        <v>56648</v>
      </c>
      <c r="C792" s="2" t="s">
        <v>594</v>
      </c>
      <c r="D792" s="2" t="str">
        <f t="shared" si="11"/>
        <v>Error?</v>
      </c>
    </row>
    <row r="793" spans="1:4" x14ac:dyDescent="0.2">
      <c r="A793" s="5">
        <v>732</v>
      </c>
      <c r="B793" s="138">
        <f>'Expenditures 15-22'!D55</f>
        <v>141076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141076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24713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20989</v>
      </c>
      <c r="D799" s="2" t="str">
        <f t="shared" si="11"/>
        <v>Error?</v>
      </c>
    </row>
    <row r="800" spans="1:4" x14ac:dyDescent="0.2">
      <c r="A800" s="5">
        <v>739</v>
      </c>
      <c r="B800" s="138">
        <f>'Expenditures 15-22'!D63</f>
        <v>18468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64170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5172</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5172</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422128</v>
      </c>
      <c r="C813" s="2" t="s">
        <v>594</v>
      </c>
      <c r="D813" s="2" t="str">
        <f t="shared" si="11"/>
        <v>Error?</v>
      </c>
    </row>
    <row r="814" spans="1:4" x14ac:dyDescent="0.2">
      <c r="A814" s="5">
        <v>753</v>
      </c>
      <c r="B814" s="138">
        <f>'Expenditures 15-22'!D75</f>
        <v>34</v>
      </c>
      <c r="D814" s="2" t="str">
        <f t="shared" si="11"/>
        <v>Error?</v>
      </c>
    </row>
    <row r="815" spans="1:4" x14ac:dyDescent="0.2">
      <c r="A815" s="5">
        <v>754</v>
      </c>
      <c r="B815" s="138">
        <f>'Expenditures 15-22'!D114</f>
        <v>1978166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175022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79551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443443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422</v>
      </c>
      <c r="D838" s="2" t="str">
        <f t="shared" si="12"/>
        <v>Error?</v>
      </c>
    </row>
    <row r="839" spans="1:4" x14ac:dyDescent="0.2">
      <c r="A839" s="5">
        <v>778</v>
      </c>
      <c r="B839" s="138">
        <f>'Expenditures 15-22'!E38</f>
        <v>9380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9802</v>
      </c>
      <c r="C843" s="2" t="s">
        <v>594</v>
      </c>
      <c r="D843" s="2" t="str">
        <f t="shared" si="12"/>
        <v>Error?</v>
      </c>
    </row>
    <row r="844" spans="1:4" x14ac:dyDescent="0.2">
      <c r="A844" s="5">
        <v>783</v>
      </c>
      <c r="B844" s="138">
        <f>'Expenditures 15-22'!E44</f>
        <v>60872</v>
      </c>
      <c r="D844" s="2" t="str">
        <f t="shared" si="12"/>
        <v>Error?</v>
      </c>
    </row>
    <row r="845" spans="1:4" x14ac:dyDescent="0.2">
      <c r="A845" s="5">
        <v>784</v>
      </c>
      <c r="B845" s="138">
        <f>'Expenditures 15-22'!E45</f>
        <v>218219</v>
      </c>
      <c r="D845" s="2" t="str">
        <f t="shared" si="12"/>
        <v>Error?</v>
      </c>
    </row>
    <row r="846" spans="1:4" x14ac:dyDescent="0.2">
      <c r="A846" s="5">
        <v>785</v>
      </c>
      <c r="B846" s="138">
        <f>'Expenditures 15-22'!E46</f>
        <v>10143</v>
      </c>
      <c r="D846" s="2" t="str">
        <f t="shared" si="12"/>
        <v>Error?</v>
      </c>
    </row>
    <row r="847" spans="1:4" x14ac:dyDescent="0.2">
      <c r="A847" s="5">
        <v>786</v>
      </c>
      <c r="B847" s="138">
        <f>'Expenditures 15-22'!E47</f>
        <v>289234</v>
      </c>
      <c r="C847" s="2" t="s">
        <v>594</v>
      </c>
      <c r="D847" s="2" t="str">
        <f t="shared" si="12"/>
        <v>Error?</v>
      </c>
    </row>
    <row r="848" spans="1:4" x14ac:dyDescent="0.2">
      <c r="A848" s="5">
        <v>787</v>
      </c>
      <c r="B848" s="138">
        <f>'Expenditures 15-22'!E49</f>
        <v>60713</v>
      </c>
      <c r="D848" s="2" t="str">
        <f t="shared" si="12"/>
        <v>Error?</v>
      </c>
    </row>
    <row r="849" spans="1:4" x14ac:dyDescent="0.2">
      <c r="A849" s="5">
        <v>788</v>
      </c>
      <c r="B849" s="138">
        <f>'Expenditures 15-22'!E50</f>
        <v>6273</v>
      </c>
      <c r="D849" s="2" t="str">
        <f t="shared" si="12"/>
        <v>Error?</v>
      </c>
    </row>
    <row r="850" spans="1:4" x14ac:dyDescent="0.2">
      <c r="A850" s="5">
        <v>789</v>
      </c>
      <c r="B850" s="138">
        <f>'Expenditures 15-22'!E53</f>
        <v>66986</v>
      </c>
      <c r="C850" s="2" t="s">
        <v>594</v>
      </c>
      <c r="D850" s="2" t="str">
        <f t="shared" si="12"/>
        <v>Error?</v>
      </c>
    </row>
    <row r="851" spans="1:4" x14ac:dyDescent="0.2">
      <c r="A851" s="5">
        <v>790</v>
      </c>
      <c r="B851" s="138">
        <f>'Expenditures 15-22'!E55</f>
        <v>1424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1424</v>
      </c>
      <c r="C853" s="2" t="s">
        <v>594</v>
      </c>
      <c r="D853" s="2" t="str">
        <f t="shared" si="12"/>
        <v>Error?</v>
      </c>
    </row>
    <row r="854" spans="1:4" x14ac:dyDescent="0.2">
      <c r="A854" s="5">
        <v>793</v>
      </c>
      <c r="B854" s="138">
        <f>'Expenditures 15-22'!E59</f>
        <v>72122</v>
      </c>
      <c r="D854" s="2" t="str">
        <f t="shared" si="12"/>
        <v>Error?</v>
      </c>
    </row>
    <row r="855" spans="1:4" x14ac:dyDescent="0.2">
      <c r="A855" s="5">
        <v>794</v>
      </c>
      <c r="B855" s="138">
        <f>'Expenditures 15-22'!E60</f>
        <v>9025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630000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711147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1078593</v>
      </c>
      <c r="C871" s="2" t="s">
        <v>594</v>
      </c>
      <c r="D871" s="2" t="str">
        <f t="shared" si="12"/>
        <v>Error?</v>
      </c>
    </row>
    <row r="872" spans="1:4" x14ac:dyDescent="0.2">
      <c r="A872" s="5">
        <v>811</v>
      </c>
      <c r="B872" s="138">
        <f>'Expenditures 15-22'!E75</f>
        <v>9758</v>
      </c>
      <c r="D872" s="2" t="str">
        <f t="shared" si="12"/>
        <v>Error?</v>
      </c>
    </row>
    <row r="873" spans="1:4" x14ac:dyDescent="0.2">
      <c r="A873" s="5">
        <v>812</v>
      </c>
      <c r="B873" s="138">
        <f>'Expenditures 15-22'!E114</f>
        <v>1649214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204551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37460</v>
      </c>
      <c r="D891" s="2" t="str">
        <f t="shared" si="12"/>
        <v>Error?</v>
      </c>
    </row>
    <row r="892" spans="1:4" x14ac:dyDescent="0.2">
      <c r="A892" s="5">
        <v>831</v>
      </c>
      <c r="B892" s="138">
        <f>'Expenditures 15-22'!F14</f>
        <v>47380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329959</v>
      </c>
      <c r="C894" s="2" t="s">
        <v>594</v>
      </c>
      <c r="D894" s="2" t="str">
        <f t="shared" si="12"/>
        <v>Error?</v>
      </c>
    </row>
    <row r="895" spans="1:4" x14ac:dyDescent="0.2">
      <c r="A895" s="5">
        <v>834</v>
      </c>
      <c r="B895" s="138">
        <f>'Expenditures 15-22'!F36</f>
        <v>982</v>
      </c>
      <c r="D895" s="2" t="str">
        <f t="shared" ref="D895:D958" si="13">IF(ISBLANK(B895),"OK",IF(A895-B895=0,"OK","Error?"))</f>
        <v>Error?</v>
      </c>
    </row>
    <row r="896" spans="1:4" x14ac:dyDescent="0.2">
      <c r="A896" s="5">
        <v>835</v>
      </c>
      <c r="B896" s="138">
        <f>'Expenditures 15-22'!F37</f>
        <v>203</v>
      </c>
      <c r="D896" s="2" t="str">
        <f t="shared" si="13"/>
        <v>Error?</v>
      </c>
    </row>
    <row r="897" spans="1:4" x14ac:dyDescent="0.2">
      <c r="A897" s="5">
        <v>836</v>
      </c>
      <c r="B897" s="138">
        <f>'Expenditures 15-22'!F38</f>
        <v>0</v>
      </c>
      <c r="D897" s="2" t="str">
        <f t="shared" si="13"/>
        <v>Error?</v>
      </c>
    </row>
    <row r="898" spans="1:4" x14ac:dyDescent="0.2">
      <c r="A898" s="5">
        <v>837</v>
      </c>
      <c r="B898" s="138">
        <f>'Expenditures 15-22'!F39</f>
        <v>1231</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2416</v>
      </c>
      <c r="C901" s="2" t="s">
        <v>594</v>
      </c>
      <c r="D901" s="2" t="str">
        <f t="shared" si="13"/>
        <v>Error?</v>
      </c>
    </row>
    <row r="902" spans="1:4" x14ac:dyDescent="0.2">
      <c r="A902" s="5">
        <v>841</v>
      </c>
      <c r="B902" s="138">
        <f>'Expenditures 15-22'!F44</f>
        <v>4596</v>
      </c>
      <c r="D902" s="2" t="str">
        <f t="shared" si="13"/>
        <v>Error?</v>
      </c>
    </row>
    <row r="903" spans="1:4" x14ac:dyDescent="0.2">
      <c r="A903" s="5">
        <v>842</v>
      </c>
      <c r="B903" s="138">
        <f>'Expenditures 15-22'!F45</f>
        <v>53321</v>
      </c>
      <c r="D903" s="2" t="str">
        <f t="shared" si="13"/>
        <v>Error?</v>
      </c>
    </row>
    <row r="904" spans="1:4" x14ac:dyDescent="0.2">
      <c r="A904" s="5">
        <v>843</v>
      </c>
      <c r="B904" s="138">
        <f>'Expenditures 15-22'!F46</f>
        <v>2040</v>
      </c>
      <c r="D904" s="2" t="str">
        <f t="shared" si="13"/>
        <v>Error?</v>
      </c>
    </row>
    <row r="905" spans="1:4" x14ac:dyDescent="0.2">
      <c r="A905" s="5">
        <v>844</v>
      </c>
      <c r="B905" s="138">
        <f>'Expenditures 15-22'!F47</f>
        <v>59957</v>
      </c>
      <c r="C905" s="2" t="s">
        <v>594</v>
      </c>
      <c r="D905" s="2" t="str">
        <f t="shared" si="13"/>
        <v>Error?</v>
      </c>
    </row>
    <row r="906" spans="1:4" x14ac:dyDescent="0.2">
      <c r="A906" s="5">
        <v>845</v>
      </c>
      <c r="B906" s="138">
        <f>'Expenditures 15-22'!F49</f>
        <v>10027</v>
      </c>
      <c r="D906" s="2" t="str">
        <f t="shared" si="13"/>
        <v>Error?</v>
      </c>
    </row>
    <row r="907" spans="1:4" x14ac:dyDescent="0.2">
      <c r="A907" s="5">
        <v>846</v>
      </c>
      <c r="B907" s="138">
        <f>'Expenditures 15-22'!F50</f>
        <v>4470</v>
      </c>
      <c r="D907" s="2" t="str">
        <f t="shared" si="13"/>
        <v>Error?</v>
      </c>
    </row>
    <row r="908" spans="1:4" x14ac:dyDescent="0.2">
      <c r="A908" s="5">
        <v>847</v>
      </c>
      <c r="B908" s="138">
        <f>'Expenditures 15-22'!F53</f>
        <v>14497</v>
      </c>
      <c r="C908" s="2" t="s">
        <v>594</v>
      </c>
      <c r="D908" s="2" t="str">
        <f t="shared" si="13"/>
        <v>Error?</v>
      </c>
    </row>
    <row r="909" spans="1:4" x14ac:dyDescent="0.2">
      <c r="A909" s="5">
        <v>848</v>
      </c>
      <c r="B909" s="138">
        <f>'Expenditures 15-22'!F55</f>
        <v>794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794</v>
      </c>
      <c r="C911" s="2" t="s">
        <v>594</v>
      </c>
      <c r="D911" s="2" t="str">
        <f t="shared" si="13"/>
        <v>Error?</v>
      </c>
    </row>
    <row r="912" spans="1:4" x14ac:dyDescent="0.2">
      <c r="A912" s="5">
        <v>851</v>
      </c>
      <c r="B912" s="138">
        <f>'Expenditures 15-22'!F59</f>
        <v>1856</v>
      </c>
      <c r="D912" s="2" t="str">
        <f t="shared" si="13"/>
        <v>Error?</v>
      </c>
    </row>
    <row r="913" spans="1:4" x14ac:dyDescent="0.2">
      <c r="A913" s="5">
        <v>852</v>
      </c>
      <c r="B913" s="138">
        <f>'Expenditures 15-22'!F60</f>
        <v>429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8349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10634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88298</v>
      </c>
      <c r="C929" s="2" t="s">
        <v>594</v>
      </c>
      <c r="D929" s="2" t="str">
        <f t="shared" si="13"/>
        <v>Error?</v>
      </c>
    </row>
    <row r="930" spans="1:4" x14ac:dyDescent="0.2">
      <c r="A930" s="5">
        <v>869</v>
      </c>
      <c r="B930" s="138">
        <f>'Expenditures 15-22'!F75</f>
        <v>5246</v>
      </c>
      <c r="D930" s="2" t="str">
        <f t="shared" si="13"/>
        <v>Error?</v>
      </c>
    </row>
    <row r="931" spans="1:4" x14ac:dyDescent="0.2">
      <c r="A931" s="5">
        <v>870</v>
      </c>
      <c r="B931" s="138">
        <f>'Expenditures 15-22'!F114</f>
        <v>423503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100523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55716</v>
      </c>
      <c r="D949" s="2" t="str">
        <f t="shared" si="13"/>
        <v>Error?</v>
      </c>
    </row>
    <row r="950" spans="1:4" x14ac:dyDescent="0.2">
      <c r="A950" s="5">
        <v>889</v>
      </c>
      <c r="B950" s="138">
        <f>'Expenditures 15-22'!G14</f>
        <v>28712</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195851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18424</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18424</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200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200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742</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742</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19366</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215217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3016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72</v>
      </c>
      <c r="D1007" s="2" t="str">
        <f t="shared" si="14"/>
        <v>Error?</v>
      </c>
    </row>
    <row r="1008" spans="1:4" x14ac:dyDescent="0.2">
      <c r="A1008" s="5">
        <v>947</v>
      </c>
      <c r="B1008" s="138">
        <f>'Expenditures 15-22'!H14</f>
        <v>4420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57585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20</v>
      </c>
      <c r="D1018" s="2" t="str">
        <f t="shared" si="14"/>
        <v>Error?</v>
      </c>
    </row>
    <row r="1019" spans="1:4" x14ac:dyDescent="0.2">
      <c r="A1019" s="5">
        <v>958</v>
      </c>
      <c r="B1019" s="138">
        <f>'Expenditures 15-22'!H45</f>
        <v>2664</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2684</v>
      </c>
      <c r="C1021" s="2" t="s">
        <v>594</v>
      </c>
      <c r="D1021" s="2" t="str">
        <f t="shared" si="14"/>
        <v>Error?</v>
      </c>
    </row>
    <row r="1022" spans="1:4" x14ac:dyDescent="0.2">
      <c r="A1022" s="5">
        <v>961</v>
      </c>
      <c r="B1022" s="138">
        <f>'Expenditures 15-22'!H49</f>
        <v>11342</v>
      </c>
      <c r="D1022" s="2" t="str">
        <f t="shared" si="14"/>
        <v>Error?</v>
      </c>
    </row>
    <row r="1023" spans="1:4" x14ac:dyDescent="0.2">
      <c r="A1023" s="5">
        <v>962</v>
      </c>
      <c r="B1023" s="138">
        <f>'Expenditures 15-22'!H50</f>
        <v>604</v>
      </c>
      <c r="D1023" s="2" t="str">
        <f t="shared" ref="D1023:D1086" si="15">IF(ISBLANK(B1023),"OK",IF(A1023-B1023=0,"OK","Error?"))</f>
        <v>Error?</v>
      </c>
    </row>
    <row r="1024" spans="1:4" x14ac:dyDescent="0.2">
      <c r="A1024" s="5">
        <v>963</v>
      </c>
      <c r="B1024" s="138">
        <f>'Expenditures 15-22'!H53</f>
        <v>11946</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370</v>
      </c>
      <c r="D1028" s="2" t="str">
        <f t="shared" si="15"/>
        <v>Error?</v>
      </c>
    </row>
    <row r="1029" spans="1:4" x14ac:dyDescent="0.2">
      <c r="A1029" s="5">
        <v>968</v>
      </c>
      <c r="B1029" s="138">
        <f>'Expenditures 15-22'!H60</f>
        <v>20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390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15020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778426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851031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7525248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517833</v>
      </c>
      <c r="C1105" s="2" t="s">
        <v>594</v>
      </c>
      <c r="D1105" s="2" t="str">
        <f t="shared" si="16"/>
        <v>Error?</v>
      </c>
    </row>
    <row r="1106" spans="1:4" x14ac:dyDescent="0.2">
      <c r="A1106" s="5">
        <v>1045</v>
      </c>
      <c r="B1106" s="138">
        <f>'Expenditures 15-22'!K14</f>
        <v>480034</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12742140</v>
      </c>
      <c r="C1108" s="2" t="s">
        <v>594</v>
      </c>
      <c r="D1108" s="2" t="str">
        <f t="shared" si="16"/>
        <v>Error?</v>
      </c>
    </row>
    <row r="1109" spans="1:4" x14ac:dyDescent="0.2">
      <c r="A1109" s="5">
        <v>1048</v>
      </c>
      <c r="B1109" s="138">
        <f>'Expenditures 15-22'!K36</f>
        <v>103145</v>
      </c>
      <c r="C1109" s="2" t="s">
        <v>594</v>
      </c>
      <c r="D1109" s="2" t="str">
        <f t="shared" si="16"/>
        <v>Error?</v>
      </c>
    </row>
    <row r="1110" spans="1:4" x14ac:dyDescent="0.2">
      <c r="A1110" s="5">
        <v>1049</v>
      </c>
      <c r="B1110" s="138">
        <f>'Expenditures 15-22'!K37</f>
        <v>337493</v>
      </c>
      <c r="C1110" s="2" t="s">
        <v>594</v>
      </c>
      <c r="D1110" s="2" t="str">
        <f t="shared" si="16"/>
        <v>Error?</v>
      </c>
    </row>
    <row r="1111" spans="1:4" x14ac:dyDescent="0.2">
      <c r="A1111" s="5">
        <v>1050</v>
      </c>
      <c r="B1111" s="138">
        <f>'Expenditures 15-22'!K38</f>
        <v>9380</v>
      </c>
      <c r="C1111" s="2" t="s">
        <v>594</v>
      </c>
      <c r="D1111" s="2" t="str">
        <f t="shared" si="16"/>
        <v>Error?</v>
      </c>
    </row>
    <row r="1112" spans="1:4" x14ac:dyDescent="0.2">
      <c r="A1112" s="5">
        <v>1051</v>
      </c>
      <c r="B1112" s="138">
        <f>'Expenditures 15-22'!K39</f>
        <v>171014</v>
      </c>
      <c r="C1112" s="2" t="s">
        <v>594</v>
      </c>
      <c r="D1112" s="2" t="str">
        <f t="shared" si="16"/>
        <v>Error?</v>
      </c>
    </row>
    <row r="1113" spans="1:4" x14ac:dyDescent="0.2">
      <c r="A1113" s="5">
        <v>1052</v>
      </c>
      <c r="B1113" s="138">
        <f>'Expenditures 15-22'!K40</f>
        <v>254847</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875879</v>
      </c>
      <c r="C1115" s="2" t="s">
        <v>594</v>
      </c>
      <c r="D1115" s="2" t="str">
        <f t="shared" si="16"/>
        <v>Error?</v>
      </c>
    </row>
    <row r="1116" spans="1:4" x14ac:dyDescent="0.2">
      <c r="A1116" s="5">
        <v>1055</v>
      </c>
      <c r="B1116" s="138">
        <f>'Expenditures 15-22'!K44</f>
        <v>219198</v>
      </c>
      <c r="C1116" s="2" t="s">
        <v>594</v>
      </c>
      <c r="D1116" s="2" t="str">
        <f t="shared" si="16"/>
        <v>Error?</v>
      </c>
    </row>
    <row r="1117" spans="1:4" x14ac:dyDescent="0.2">
      <c r="A1117" s="5">
        <v>1056</v>
      </c>
      <c r="B1117" s="138">
        <f>'Expenditures 15-22'!K45</f>
        <v>779542</v>
      </c>
      <c r="C1117" s="2" t="s">
        <v>594</v>
      </c>
      <c r="D1117" s="2" t="str">
        <f t="shared" si="16"/>
        <v>Error?</v>
      </c>
    </row>
    <row r="1118" spans="1:4" x14ac:dyDescent="0.2">
      <c r="A1118" s="5">
        <v>1057</v>
      </c>
      <c r="B1118" s="138">
        <f>'Expenditures 15-22'!K46</f>
        <v>12183</v>
      </c>
      <c r="C1118" s="2" t="s">
        <v>594</v>
      </c>
      <c r="D1118" s="2" t="str">
        <f t="shared" si="16"/>
        <v>Error?</v>
      </c>
    </row>
    <row r="1119" spans="1:4" x14ac:dyDescent="0.2">
      <c r="A1119" s="5">
        <v>1058</v>
      </c>
      <c r="B1119" s="138">
        <f>'Expenditures 15-22'!K47</f>
        <v>1010923</v>
      </c>
      <c r="C1119" s="2" t="s">
        <v>594</v>
      </c>
      <c r="D1119" s="2" t="str">
        <f t="shared" si="16"/>
        <v>Error?</v>
      </c>
    </row>
    <row r="1120" spans="1:4" x14ac:dyDescent="0.2">
      <c r="A1120" s="5">
        <v>1059</v>
      </c>
      <c r="B1120" s="138">
        <f>'Expenditures 15-22'!K49</f>
        <v>117609</v>
      </c>
      <c r="C1120" s="2" t="s">
        <v>594</v>
      </c>
      <c r="D1120" s="2" t="str">
        <f t="shared" si="16"/>
        <v>Error?</v>
      </c>
    </row>
    <row r="1121" spans="1:4" x14ac:dyDescent="0.2">
      <c r="A1121" s="5">
        <v>1060</v>
      </c>
      <c r="B1121" s="138">
        <f>'Expenditures 15-22'!K50</f>
        <v>201087</v>
      </c>
      <c r="C1121" s="2" t="s">
        <v>594</v>
      </c>
      <c r="D1121" s="2" t="str">
        <f t="shared" si="16"/>
        <v>Error?</v>
      </c>
    </row>
    <row r="1122" spans="1:4" x14ac:dyDescent="0.2">
      <c r="A1122" s="5">
        <v>1061</v>
      </c>
      <c r="B1122" s="138">
        <f>'Expenditures 15-22'!K53</f>
        <v>318696</v>
      </c>
      <c r="C1122" s="2" t="s">
        <v>594</v>
      </c>
      <c r="D1122" s="2" t="str">
        <f t="shared" si="16"/>
        <v>Error?</v>
      </c>
    </row>
    <row r="1123" spans="1:4" x14ac:dyDescent="0.2">
      <c r="A1123" s="5">
        <v>1062</v>
      </c>
      <c r="B1123" s="138">
        <f>'Expenditures 15-22'!K55</f>
        <v>847800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847800</v>
      </c>
      <c r="C1125" s="2" t="s">
        <v>594</v>
      </c>
      <c r="D1125" s="2" t="str">
        <f t="shared" si="16"/>
        <v>Error?</v>
      </c>
    </row>
    <row r="1126" spans="1:4" x14ac:dyDescent="0.2">
      <c r="A1126" s="5">
        <v>1065</v>
      </c>
      <c r="B1126" s="138">
        <f>'Expenditures 15-22'!K59</f>
        <v>74348</v>
      </c>
      <c r="C1126" s="2" t="s">
        <v>594</v>
      </c>
      <c r="D1126" s="2" t="str">
        <f t="shared" si="16"/>
        <v>Error?</v>
      </c>
    </row>
    <row r="1127" spans="1:4" x14ac:dyDescent="0.2">
      <c r="A1127" s="5">
        <v>1066</v>
      </c>
      <c r="B1127" s="138">
        <f>'Expenditures 15-22'!K60</f>
        <v>189474</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120735</v>
      </c>
      <c r="C1129" s="2" t="s">
        <v>594</v>
      </c>
      <c r="D1129" s="2" t="str">
        <f t="shared" si="16"/>
        <v>Error?</v>
      </c>
    </row>
    <row r="1130" spans="1:4" x14ac:dyDescent="0.2">
      <c r="A1130" s="5">
        <v>1069</v>
      </c>
      <c r="B1130" s="138">
        <f>'Expenditures 15-22'!K63</f>
        <v>726846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1111403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41172</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41172</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4205873</v>
      </c>
      <c r="C1143" s="2" t="s">
        <v>594</v>
      </c>
      <c r="D1143" s="2" t="str">
        <f t="shared" si="16"/>
        <v>Error?</v>
      </c>
    </row>
    <row r="1144" spans="1:4" x14ac:dyDescent="0.2">
      <c r="A1144" s="5">
        <v>1083</v>
      </c>
      <c r="B1144" s="138">
        <f>'Expenditures 15-22'!K75</f>
        <v>17763</v>
      </c>
      <c r="C1144" s="2" t="s">
        <v>594</v>
      </c>
      <c r="D1144" s="2" t="str">
        <f t="shared" si="16"/>
        <v>Error?</v>
      </c>
    </row>
    <row r="1145" spans="1:4" x14ac:dyDescent="0.2">
      <c r="A1145" s="5">
        <v>1084</v>
      </c>
      <c r="B1145" s="138">
        <f>'Expenditures 15-22'!K102</f>
        <v>895846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17861622</v>
      </c>
      <c r="C1152" s="2" t="s">
        <v>594</v>
      </c>
      <c r="D1152" s="2" t="str">
        <f t="shared" si="17"/>
        <v>Error?</v>
      </c>
    </row>
    <row r="1153" spans="1:4" x14ac:dyDescent="0.2">
      <c r="A1153" s="5">
        <v>1092</v>
      </c>
      <c r="B1153" s="138">
        <f>'Expenditures 15-22'!K115</f>
        <v>1087022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912890</v>
      </c>
      <c r="D1221" s="2" t="str">
        <f t="shared" si="18"/>
        <v>Error?</v>
      </c>
    </row>
    <row r="1222" spans="1:4" x14ac:dyDescent="0.2">
      <c r="A1222" s="10">
        <v>1161</v>
      </c>
      <c r="D1222" s="2" t="str">
        <f t="shared" si="18"/>
        <v>OK</v>
      </c>
    </row>
    <row r="1223" spans="1:4" x14ac:dyDescent="0.2">
      <c r="A1223" s="5">
        <v>1162</v>
      </c>
      <c r="B1223" s="138">
        <f>'Expenditures 15-22'!C127</f>
        <v>912890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912890</v>
      </c>
      <c r="C1225" s="2" t="s">
        <v>594</v>
      </c>
      <c r="D1225" s="2" t="str">
        <f t="shared" si="18"/>
        <v>Error?</v>
      </c>
    </row>
    <row r="1226" spans="1:4" x14ac:dyDescent="0.2">
      <c r="A1226" s="5">
        <v>1165</v>
      </c>
      <c r="B1226" s="138">
        <f>'Expenditures 15-22'!C151</f>
        <v>912890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79552</v>
      </c>
      <c r="D1229" s="2" t="str">
        <f t="shared" si="18"/>
        <v>Error?</v>
      </c>
    </row>
    <row r="1230" spans="1:4" x14ac:dyDescent="0.2">
      <c r="A1230" s="10">
        <v>1169</v>
      </c>
      <c r="D1230" s="2" t="str">
        <f t="shared" si="18"/>
        <v>OK</v>
      </c>
    </row>
    <row r="1231" spans="1:4" x14ac:dyDescent="0.2">
      <c r="A1231" s="5">
        <v>1170</v>
      </c>
      <c r="B1231" s="138">
        <f>'Expenditures 15-22'!D127</f>
        <v>79552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79552</v>
      </c>
      <c r="C1233" s="2" t="s">
        <v>594</v>
      </c>
      <c r="D1233" s="2" t="str">
        <f t="shared" si="18"/>
        <v>Error?</v>
      </c>
    </row>
    <row r="1234" spans="1:4" x14ac:dyDescent="0.2">
      <c r="A1234" s="5">
        <v>1173</v>
      </c>
      <c r="B1234" s="138">
        <f>'Expenditures 15-22'!D151</f>
        <v>79552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228530</v>
      </c>
      <c r="D1237" s="2" t="str">
        <f t="shared" si="18"/>
        <v>Error?</v>
      </c>
    </row>
    <row r="1238" spans="1:4" x14ac:dyDescent="0.2">
      <c r="A1238" s="10">
        <v>1177</v>
      </c>
      <c r="D1238" s="2" t="str">
        <f t="shared" si="18"/>
        <v>OK</v>
      </c>
    </row>
    <row r="1239" spans="1:4" x14ac:dyDescent="0.2">
      <c r="A1239" s="5">
        <v>1178</v>
      </c>
      <c r="B1239" s="138">
        <f>'Expenditures 15-22'!E127</f>
        <v>228530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228530</v>
      </c>
      <c r="C1241" s="2" t="s">
        <v>594</v>
      </c>
      <c r="D1241" s="2" t="str">
        <f t="shared" si="18"/>
        <v>Error?</v>
      </c>
    </row>
    <row r="1242" spans="1:4" x14ac:dyDescent="0.2">
      <c r="A1242" s="5">
        <v>1181</v>
      </c>
      <c r="B1242" s="138">
        <f>'Expenditures 15-22'!E151</f>
        <v>228530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526750</v>
      </c>
      <c r="D1245" s="2" t="str">
        <f t="shared" si="18"/>
        <v>Error?</v>
      </c>
    </row>
    <row r="1246" spans="1:4" x14ac:dyDescent="0.2">
      <c r="A1246" s="10">
        <v>1185</v>
      </c>
      <c r="D1246" s="2" t="str">
        <f t="shared" si="18"/>
        <v>OK</v>
      </c>
    </row>
    <row r="1247" spans="1:4" x14ac:dyDescent="0.2">
      <c r="A1247" s="5">
        <v>1186</v>
      </c>
      <c r="B1247" s="138">
        <f>'Expenditures 15-22'!F127</f>
        <v>526750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526750</v>
      </c>
      <c r="C1249" s="2" t="s">
        <v>594</v>
      </c>
      <c r="D1249" s="2" t="str">
        <f t="shared" si="18"/>
        <v>Error?</v>
      </c>
    </row>
    <row r="1250" spans="1:4" x14ac:dyDescent="0.2">
      <c r="A1250" s="5">
        <v>1189</v>
      </c>
      <c r="B1250" s="138">
        <f>'Expenditures 15-22'!F151</f>
        <v>526750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26502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26502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26502</v>
      </c>
      <c r="C1258" s="2" t="s">
        <v>594</v>
      </c>
      <c r="D1258" s="2" t="str">
        <f t="shared" si="18"/>
        <v>Error?</v>
      </c>
    </row>
    <row r="1259" spans="1:4" x14ac:dyDescent="0.2">
      <c r="A1259" s="5">
        <v>1198</v>
      </c>
      <c r="B1259" s="138">
        <f>'Expenditures 15-22'!G151</f>
        <v>26502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1774224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1774224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1774224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1774224</v>
      </c>
      <c r="C1288" s="2" t="s">
        <v>594</v>
      </c>
      <c r="D1288" s="2" t="str">
        <f t="shared" si="19"/>
        <v>Error?</v>
      </c>
    </row>
    <row r="1289" spans="1:4" x14ac:dyDescent="0.2">
      <c r="A1289" s="5">
        <v>1228</v>
      </c>
      <c r="B1289" s="138">
        <f>'Expenditures 15-22'!K152</f>
        <v>105250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1000</v>
      </c>
      <c r="D1307" s="2" t="str">
        <f t="shared" si="19"/>
        <v>Error?</v>
      </c>
    </row>
    <row r="1308" spans="1:4" x14ac:dyDescent="0.2">
      <c r="A1308" s="5">
        <v>1247</v>
      </c>
      <c r="B1308" s="138">
        <f>'Expenditures 15-22'!E172</f>
        <v>1000</v>
      </c>
      <c r="C1308" s="2" t="s">
        <v>594</v>
      </c>
      <c r="D1308" s="2" t="str">
        <f t="shared" si="19"/>
        <v>Error?</v>
      </c>
    </row>
    <row r="1309" spans="1:4" x14ac:dyDescent="0.2">
      <c r="A1309" s="5">
        <v>1248</v>
      </c>
      <c r="B1309" s="138">
        <f>'Expenditures 15-22'!E174</f>
        <v>1000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284207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822358</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1106565</v>
      </c>
      <c r="C1317" s="2" t="s">
        <v>594</v>
      </c>
      <c r="D1317" s="2" t="str">
        <f t="shared" si="19"/>
        <v>Error?</v>
      </c>
    </row>
    <row r="1318" spans="1:4" x14ac:dyDescent="0.2">
      <c r="A1318" s="5">
        <v>1257</v>
      </c>
      <c r="B1318" s="138">
        <f>'Expenditures 15-22'!H174</f>
        <v>1106565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284207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822358</v>
      </c>
      <c r="C1329" s="2" t="s">
        <v>594</v>
      </c>
      <c r="D1329" s="2" t="str">
        <f t="shared" si="19"/>
        <v>Error?</v>
      </c>
    </row>
    <row r="1330" spans="1:4" x14ac:dyDescent="0.2">
      <c r="A1330" s="5">
        <v>1269</v>
      </c>
      <c r="B1330" s="138">
        <f>'Expenditures 15-22'!K171</f>
        <v>1000</v>
      </c>
      <c r="C1330" s="2" t="s">
        <v>594</v>
      </c>
      <c r="D1330" s="2" t="str">
        <f t="shared" si="19"/>
        <v>Error?</v>
      </c>
    </row>
    <row r="1331" spans="1:4" x14ac:dyDescent="0.2">
      <c r="A1331" s="5">
        <v>1270</v>
      </c>
      <c r="B1331" s="138">
        <f>'Expenditures 15-22'!K172</f>
        <v>1107565</v>
      </c>
      <c r="C1331" s="2" t="s">
        <v>594</v>
      </c>
      <c r="D1331" s="2" t="str">
        <f t="shared" si="19"/>
        <v>Error?</v>
      </c>
    </row>
    <row r="1332" spans="1:4" x14ac:dyDescent="0.2">
      <c r="A1332" s="5">
        <v>1271</v>
      </c>
      <c r="B1332" s="138">
        <f>'Expenditures 15-22'!K174</f>
        <v>1107565</v>
      </c>
      <c r="C1332" s="2" t="s">
        <v>594</v>
      </c>
      <c r="D1332" s="2" t="str">
        <f t="shared" si="19"/>
        <v>Error?</v>
      </c>
    </row>
    <row r="1333" spans="1:4" x14ac:dyDescent="0.2">
      <c r="A1333" s="5">
        <v>1272</v>
      </c>
      <c r="B1333" s="138">
        <f>'Expenditures 15-22'!K175</f>
        <v>8190</v>
      </c>
      <c r="C1333" s="2" t="s">
        <v>594</v>
      </c>
      <c r="D1333" s="2" t="str">
        <f t="shared" si="19"/>
        <v>Error?</v>
      </c>
    </row>
    <row r="1334" spans="1:4" x14ac:dyDescent="0.2">
      <c r="A1334" s="10">
        <v>1273</v>
      </c>
      <c r="D1334" s="2" t="str">
        <f t="shared" si="19"/>
        <v>OK</v>
      </c>
    </row>
    <row r="1335" spans="1:4" x14ac:dyDescent="0.2">
      <c r="A1335" s="5">
        <v>1274</v>
      </c>
      <c r="B1335" s="138">
        <f>'Expenditures 15-22'!C182</f>
        <v>738208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738208</v>
      </c>
      <c r="C1339" s="2" t="s">
        <v>594</v>
      </c>
      <c r="D1339" s="2" t="str">
        <f t="shared" si="19"/>
        <v>Error?</v>
      </c>
    </row>
    <row r="1340" spans="1:4" x14ac:dyDescent="0.2">
      <c r="A1340" s="5">
        <v>1279</v>
      </c>
      <c r="B1340" s="138">
        <f>'Expenditures 15-22'!C210</f>
        <v>738208</v>
      </c>
      <c r="C1340" s="2" t="s">
        <v>594</v>
      </c>
      <c r="D1340" s="2" t="str">
        <f t="shared" si="19"/>
        <v>Error?</v>
      </c>
    </row>
    <row r="1341" spans="1:4" x14ac:dyDescent="0.2">
      <c r="A1341" s="5">
        <v>1280</v>
      </c>
      <c r="B1341" s="138">
        <f>'Expenditures 15-22'!D182</f>
        <v>50894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50894</v>
      </c>
      <c r="C1345" s="2" t="s">
        <v>594</v>
      </c>
      <c r="D1345" s="2" t="str">
        <f t="shared" si="20"/>
        <v>Error?</v>
      </c>
    </row>
    <row r="1346" spans="1:4" x14ac:dyDescent="0.2">
      <c r="A1346" s="5">
        <v>1285</v>
      </c>
      <c r="B1346" s="138">
        <f>'Expenditures 15-22'!D210</f>
        <v>50894</v>
      </c>
      <c r="C1346" s="2" t="s">
        <v>594</v>
      </c>
      <c r="D1346" s="2" t="str">
        <f t="shared" si="20"/>
        <v>Error?</v>
      </c>
    </row>
    <row r="1347" spans="1:4" x14ac:dyDescent="0.2">
      <c r="A1347" s="5">
        <v>1286</v>
      </c>
      <c r="B1347" s="138">
        <f>'Expenditures 15-22'!E182</f>
        <v>75813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75813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75813</v>
      </c>
      <c r="C1353" s="2" t="s">
        <v>594</v>
      </c>
      <c r="D1353" s="2" t="str">
        <f t="shared" si="20"/>
        <v>Error?</v>
      </c>
    </row>
    <row r="1354" spans="1:4" x14ac:dyDescent="0.2">
      <c r="A1354" s="5">
        <v>1293</v>
      </c>
      <c r="B1354" s="138">
        <f>'Expenditures 15-22'!F182</f>
        <v>127155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127155</v>
      </c>
      <c r="C1358" s="2" t="s">
        <v>594</v>
      </c>
      <c r="D1358" s="2" t="str">
        <f t="shared" si="20"/>
        <v>Error?</v>
      </c>
    </row>
    <row r="1359" spans="1:4" x14ac:dyDescent="0.2">
      <c r="A1359" s="5">
        <v>1298</v>
      </c>
      <c r="B1359" s="138">
        <f>'Expenditures 15-22'!F210</f>
        <v>127155</v>
      </c>
      <c r="C1359" s="2" t="s">
        <v>594</v>
      </c>
      <c r="D1359" s="2" t="str">
        <f t="shared" si="20"/>
        <v>Error?</v>
      </c>
    </row>
    <row r="1360" spans="1:4" x14ac:dyDescent="0.2">
      <c r="A1360" s="5">
        <v>1299</v>
      </c>
      <c r="B1360" s="138">
        <f>'Expenditures 15-22'!G182</f>
        <v>84537</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84537</v>
      </c>
      <c r="C1364" s="2" t="s">
        <v>594</v>
      </c>
      <c r="D1364" s="2" t="str">
        <f t="shared" si="20"/>
        <v>Error?</v>
      </c>
    </row>
    <row r="1365" spans="1:4" x14ac:dyDescent="0.2">
      <c r="A1365" s="5">
        <v>1304</v>
      </c>
      <c r="B1365" s="138">
        <f>'Expenditures 15-22'!G210</f>
        <v>84537</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1076607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1076607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1076607</v>
      </c>
      <c r="C1388" s="2" t="s">
        <v>594</v>
      </c>
      <c r="D1388" s="2" t="str">
        <f t="shared" si="20"/>
        <v>Error?</v>
      </c>
    </row>
    <row r="1389" spans="1:4" x14ac:dyDescent="0.2">
      <c r="A1389" s="5">
        <v>1328</v>
      </c>
      <c r="B1389" s="138">
        <f>'Expenditures 15-22'!K211</f>
        <v>267780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5213</v>
      </c>
      <c r="D1407" s="2" t="str">
        <f t="shared" ref="D1407:D1470" si="21">IF(ISBLANK(B1407),"OK",IF(A1407-B1407=0,"OK","Error?"))</f>
        <v>Error?</v>
      </c>
    </row>
    <row r="1408" spans="1:4" x14ac:dyDescent="0.2">
      <c r="A1408" s="5">
        <v>1347</v>
      </c>
      <c r="B1408" s="138">
        <f>'Expenditures 15-22'!D223</f>
        <v>13280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386822</v>
      </c>
      <c r="C1410" s="2" t="s">
        <v>594</v>
      </c>
      <c r="D1410" s="2" t="str">
        <f t="shared" si="21"/>
        <v>Error?</v>
      </c>
    </row>
    <row r="1411" spans="1:4" x14ac:dyDescent="0.2">
      <c r="A1411" s="5">
        <v>1350</v>
      </c>
      <c r="B1411" s="138">
        <f>'Expenditures 15-22'!D232</f>
        <v>1321</v>
      </c>
      <c r="D1411" s="2" t="str">
        <f t="shared" si="21"/>
        <v>Error?</v>
      </c>
    </row>
    <row r="1412" spans="1:4" x14ac:dyDescent="0.2">
      <c r="A1412" s="5">
        <v>1351</v>
      </c>
      <c r="B1412" s="138">
        <f>'Expenditures 15-22'!D233</f>
        <v>16288</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8494</v>
      </c>
      <c r="D1414" s="2" t="str">
        <f t="shared" si="21"/>
        <v>Error?</v>
      </c>
    </row>
    <row r="1415" spans="1:4" x14ac:dyDescent="0.2">
      <c r="A1415" s="5">
        <v>1354</v>
      </c>
      <c r="B1415" s="138">
        <f>'Expenditures 15-22'!D236</f>
        <v>3188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29291</v>
      </c>
      <c r="C1417" s="2" t="s">
        <v>594</v>
      </c>
      <c r="D1417" s="2" t="str">
        <f t="shared" si="21"/>
        <v>Error?</v>
      </c>
    </row>
    <row r="1418" spans="1:4" x14ac:dyDescent="0.2">
      <c r="A1418" s="5">
        <v>1357</v>
      </c>
      <c r="B1418" s="138">
        <f>'Expenditures 15-22'!D240</f>
        <v>2960</v>
      </c>
      <c r="D1418" s="2" t="str">
        <f t="shared" si="21"/>
        <v>Error?</v>
      </c>
    </row>
    <row r="1419" spans="1:4" x14ac:dyDescent="0.2">
      <c r="A1419" s="5">
        <v>1358</v>
      </c>
      <c r="B1419" s="138">
        <f>'Expenditures 15-22'!D241</f>
        <v>62236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65196</v>
      </c>
      <c r="C1421" s="2" t="s">
        <v>594</v>
      </c>
      <c r="D1421" s="2" t="str">
        <f t="shared" si="21"/>
        <v>Error?</v>
      </c>
    </row>
    <row r="1422" spans="1:4" x14ac:dyDescent="0.2">
      <c r="A1422" s="5">
        <v>1361</v>
      </c>
      <c r="B1422" s="138">
        <f>'Expenditures 15-22'!D245</f>
        <v>976</v>
      </c>
      <c r="D1422" s="2" t="str">
        <f t="shared" si="21"/>
        <v>Error?</v>
      </c>
    </row>
    <row r="1423" spans="1:4" x14ac:dyDescent="0.2">
      <c r="A1423" s="5">
        <v>1362</v>
      </c>
      <c r="B1423" s="138">
        <f>'Expenditures 15-22'!D246</f>
        <v>8901</v>
      </c>
      <c r="D1423" s="2" t="str">
        <f t="shared" si="21"/>
        <v>Error?</v>
      </c>
    </row>
    <row r="1424" spans="1:4" x14ac:dyDescent="0.2">
      <c r="A1424" s="5">
        <v>1363</v>
      </c>
      <c r="B1424" s="138">
        <f>'Expenditures 15-22'!D257</f>
        <v>21652</v>
      </c>
      <c r="C1424" s="2" t="s">
        <v>594</v>
      </c>
      <c r="D1424" s="2" t="str">
        <f t="shared" si="21"/>
        <v>Error?</v>
      </c>
    </row>
    <row r="1425" spans="1:4" x14ac:dyDescent="0.2">
      <c r="A1425" s="5">
        <v>1364</v>
      </c>
      <c r="B1425" s="138">
        <f>'Expenditures 15-22'!D259</f>
        <v>52639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52639</v>
      </c>
      <c r="C1427" s="2" t="s">
        <v>594</v>
      </c>
      <c r="D1427" s="2" t="str">
        <f t="shared" si="21"/>
        <v>Error?</v>
      </c>
    </row>
    <row r="1428" spans="1:4" x14ac:dyDescent="0.2">
      <c r="A1428" s="5">
        <v>1367</v>
      </c>
      <c r="B1428" s="138">
        <f>'Expenditures 15-22'!D263</f>
        <v>8296</v>
      </c>
      <c r="D1428" s="2" t="str">
        <f t="shared" si="21"/>
        <v>Error?</v>
      </c>
    </row>
    <row r="1429" spans="1:4" x14ac:dyDescent="0.2">
      <c r="A1429" s="5">
        <v>1368</v>
      </c>
      <c r="B1429" s="138">
        <f>'Expenditures 15-22'!D264</f>
        <v>16071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162494</v>
      </c>
      <c r="D1431" s="2" t="str">
        <f t="shared" si="21"/>
        <v>Error?</v>
      </c>
    </row>
    <row r="1432" spans="1:4" x14ac:dyDescent="0.2">
      <c r="A1432" s="5">
        <v>1371</v>
      </c>
      <c r="B1432" s="138">
        <f>'Expenditures 15-22'!D267</f>
        <v>128091</v>
      </c>
      <c r="D1432" s="2" t="str">
        <f t="shared" si="21"/>
        <v>Error?</v>
      </c>
    </row>
    <row r="1433" spans="1:4" x14ac:dyDescent="0.2">
      <c r="A1433" s="5">
        <v>1372</v>
      </c>
      <c r="B1433" s="138">
        <f>'Expenditures 15-22'!D268</f>
        <v>11833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326785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505</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505</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496068</v>
      </c>
      <c r="C1446" s="2" t="s">
        <v>594</v>
      </c>
      <c r="D1446" s="2" t="str">
        <f t="shared" si="21"/>
        <v>Error?</v>
      </c>
    </row>
    <row r="1447" spans="1:4" x14ac:dyDescent="0.2">
      <c r="A1447" s="5">
        <v>1386</v>
      </c>
      <c r="B1447" s="138">
        <f>'Expenditures 15-22'!D280</f>
        <v>198</v>
      </c>
      <c r="D1447" s="2" t="str">
        <f t="shared" si="21"/>
        <v>Error?</v>
      </c>
    </row>
    <row r="1448" spans="1:4" x14ac:dyDescent="0.2">
      <c r="A1448" s="5">
        <v>1387</v>
      </c>
      <c r="B1448" s="138">
        <f>'Expenditures 15-22'!D295</f>
        <v>883088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5213</v>
      </c>
      <c r="C1471" s="2" t="s">
        <v>594</v>
      </c>
      <c r="D1471" s="2" t="str">
        <f t="shared" ref="D1471:D1534" si="22">IF(ISBLANK(B1471),"OK",IF(A1471-B1471=0,"OK","Error?"))</f>
        <v>Error?</v>
      </c>
    </row>
    <row r="1472" spans="1:4" x14ac:dyDescent="0.2">
      <c r="A1472" s="5">
        <v>1411</v>
      </c>
      <c r="B1472" s="138">
        <f>'Expenditures 15-22'!K223</f>
        <v>13280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386822</v>
      </c>
      <c r="C1474" s="2" t="s">
        <v>594</v>
      </c>
      <c r="D1474" s="2" t="str">
        <f t="shared" si="22"/>
        <v>Error?</v>
      </c>
    </row>
    <row r="1475" spans="1:4" x14ac:dyDescent="0.2">
      <c r="A1475" s="5">
        <v>1414</v>
      </c>
      <c r="B1475" s="138">
        <f>'Expenditures 15-22'!K232</f>
        <v>1321</v>
      </c>
      <c r="C1475" s="2" t="s">
        <v>594</v>
      </c>
      <c r="D1475" s="2" t="str">
        <f t="shared" si="22"/>
        <v>Error?</v>
      </c>
    </row>
    <row r="1476" spans="1:4" x14ac:dyDescent="0.2">
      <c r="A1476" s="5">
        <v>1415</v>
      </c>
      <c r="B1476" s="138">
        <f>'Expenditures 15-22'!K233</f>
        <v>16288</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8494</v>
      </c>
      <c r="C1478" s="2" t="s">
        <v>594</v>
      </c>
      <c r="D1478" s="2" t="str">
        <f t="shared" si="22"/>
        <v>Error?</v>
      </c>
    </row>
    <row r="1479" spans="1:4" x14ac:dyDescent="0.2">
      <c r="A1479" s="5">
        <v>1418</v>
      </c>
      <c r="B1479" s="138">
        <f>'Expenditures 15-22'!K236</f>
        <v>3188</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29291</v>
      </c>
      <c r="C1481" s="2" t="s">
        <v>594</v>
      </c>
      <c r="D1481" s="2" t="str">
        <f t="shared" si="22"/>
        <v>Error?</v>
      </c>
    </row>
    <row r="1482" spans="1:4" x14ac:dyDescent="0.2">
      <c r="A1482" s="5">
        <v>1421</v>
      </c>
      <c r="B1482" s="138">
        <f>'Expenditures 15-22'!K240</f>
        <v>2960</v>
      </c>
      <c r="C1482" s="2" t="s">
        <v>594</v>
      </c>
      <c r="D1482" s="2" t="str">
        <f t="shared" si="22"/>
        <v>Error?</v>
      </c>
    </row>
    <row r="1483" spans="1:4" x14ac:dyDescent="0.2">
      <c r="A1483" s="5">
        <v>1422</v>
      </c>
      <c r="B1483" s="138">
        <f>'Expenditures 15-22'!K241</f>
        <v>62236</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65196</v>
      </c>
      <c r="C1485" s="2" t="s">
        <v>594</v>
      </c>
      <c r="D1485" s="2" t="str">
        <f t="shared" si="22"/>
        <v>Error?</v>
      </c>
    </row>
    <row r="1486" spans="1:4" x14ac:dyDescent="0.2">
      <c r="A1486" s="5">
        <v>1425</v>
      </c>
      <c r="B1486" s="138">
        <f>'Expenditures 15-22'!K245</f>
        <v>976</v>
      </c>
      <c r="C1486" s="2" t="s">
        <v>594</v>
      </c>
      <c r="D1486" s="2" t="str">
        <f t="shared" si="22"/>
        <v>Error?</v>
      </c>
    </row>
    <row r="1487" spans="1:4" x14ac:dyDescent="0.2">
      <c r="A1487" s="5">
        <v>1426</v>
      </c>
      <c r="B1487" s="138">
        <f>'Expenditures 15-22'!K246</f>
        <v>8901</v>
      </c>
      <c r="C1487" s="2" t="s">
        <v>594</v>
      </c>
      <c r="D1487" s="2" t="str">
        <f t="shared" si="22"/>
        <v>Error?</v>
      </c>
    </row>
    <row r="1488" spans="1:4" x14ac:dyDescent="0.2">
      <c r="A1488" s="5">
        <v>1427</v>
      </c>
      <c r="B1488" s="138">
        <f>'Expenditures 15-22'!K257</f>
        <v>21652</v>
      </c>
      <c r="C1488" s="2" t="s">
        <v>594</v>
      </c>
      <c r="D1488" s="2" t="str">
        <f t="shared" si="22"/>
        <v>Error?</v>
      </c>
    </row>
    <row r="1489" spans="1:4" x14ac:dyDescent="0.2">
      <c r="A1489" s="5">
        <v>1428</v>
      </c>
      <c r="B1489" s="138">
        <f>'Expenditures 15-22'!K259</f>
        <v>52639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52639</v>
      </c>
      <c r="C1491" s="2" t="s">
        <v>594</v>
      </c>
      <c r="D1491" s="2" t="str">
        <f t="shared" si="22"/>
        <v>Error?</v>
      </c>
    </row>
    <row r="1492" spans="1:4" x14ac:dyDescent="0.2">
      <c r="A1492" s="5">
        <v>1431</v>
      </c>
      <c r="B1492" s="138">
        <f>'Expenditures 15-22'!K263</f>
        <v>8296</v>
      </c>
      <c r="C1492" s="2" t="s">
        <v>594</v>
      </c>
      <c r="D1492" s="2" t="str">
        <f t="shared" si="22"/>
        <v>Error?</v>
      </c>
    </row>
    <row r="1493" spans="1:4" x14ac:dyDescent="0.2">
      <c r="A1493" s="5">
        <v>1432</v>
      </c>
      <c r="B1493" s="138">
        <f>'Expenditures 15-22'!K264</f>
        <v>16071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162494</v>
      </c>
      <c r="C1495" s="2" t="s">
        <v>594</v>
      </c>
      <c r="D1495" s="2" t="str">
        <f t="shared" si="22"/>
        <v>Error?</v>
      </c>
    </row>
    <row r="1496" spans="1:4" x14ac:dyDescent="0.2">
      <c r="A1496" s="5">
        <v>1435</v>
      </c>
      <c r="B1496" s="138">
        <f>'Expenditures 15-22'!K267</f>
        <v>128091</v>
      </c>
      <c r="C1496" s="2" t="s">
        <v>594</v>
      </c>
      <c r="D1496" s="2" t="str">
        <f t="shared" si="22"/>
        <v>Error?</v>
      </c>
    </row>
    <row r="1497" spans="1:4" x14ac:dyDescent="0.2">
      <c r="A1497" s="5">
        <v>1436</v>
      </c>
      <c r="B1497" s="138">
        <f>'Expenditures 15-22'!K268</f>
        <v>11833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326785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505</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505</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496068</v>
      </c>
      <c r="C1510" s="2" t="s">
        <v>594</v>
      </c>
      <c r="D1510" s="2" t="str">
        <f t="shared" si="22"/>
        <v>Error?</v>
      </c>
    </row>
    <row r="1511" spans="1:4" x14ac:dyDescent="0.2">
      <c r="A1511" s="5">
        <v>1450</v>
      </c>
      <c r="B1511" s="138">
        <f>'Expenditures 15-22'!K280</f>
        <v>198</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883088</v>
      </c>
      <c r="C1517" s="2" t="s">
        <v>594</v>
      </c>
      <c r="D1517" s="2" t="str">
        <f t="shared" si="22"/>
        <v>Error?</v>
      </c>
    </row>
    <row r="1518" spans="1:4" x14ac:dyDescent="0.2">
      <c r="A1518" s="5">
        <v>1457</v>
      </c>
      <c r="B1518" s="138">
        <f>'Expenditures 15-22'!K296</f>
        <v>25393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802600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802600</v>
      </c>
      <c r="C1535" s="2" t="s">
        <v>594</v>
      </c>
      <c r="D1535" s="2" t="str">
        <f t="shared" ref="D1535:D1598" si="23">IF(ISBLANK(B1535),"OK",IF(A1535-B1535=0,"OK","Error?"))</f>
        <v>Error?</v>
      </c>
    </row>
    <row r="1536" spans="1:4" x14ac:dyDescent="0.2">
      <c r="A1536" s="5">
        <v>1475</v>
      </c>
      <c r="B1536" s="138">
        <f>'Expenditures 15-22'!E312</f>
        <v>802600</v>
      </c>
      <c r="C1536" s="2" t="s">
        <v>594</v>
      </c>
      <c r="D1536" s="2" t="str">
        <f t="shared" si="23"/>
        <v>Error?</v>
      </c>
    </row>
    <row r="1537" spans="1:4" x14ac:dyDescent="0.2">
      <c r="A1537" s="5">
        <v>1476</v>
      </c>
      <c r="B1537" s="138">
        <f>'Expenditures 15-22'!F301</f>
        <v>19187</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19187</v>
      </c>
      <c r="C1541" s="2" t="s">
        <v>594</v>
      </c>
      <c r="D1541" s="2" t="str">
        <f t="shared" si="23"/>
        <v>Error?</v>
      </c>
    </row>
    <row r="1542" spans="1:4" x14ac:dyDescent="0.2">
      <c r="A1542" s="5">
        <v>1481</v>
      </c>
      <c r="B1542" s="138">
        <f>'Expenditures 15-22'!F312</f>
        <v>19187</v>
      </c>
      <c r="C1542" s="2" t="s">
        <v>594</v>
      </c>
      <c r="D1542" s="2" t="str">
        <f t="shared" si="23"/>
        <v>Error?</v>
      </c>
    </row>
    <row r="1543" spans="1:4" x14ac:dyDescent="0.2">
      <c r="A1543" s="5">
        <v>1482</v>
      </c>
      <c r="B1543" s="138">
        <f>'Expenditures 15-22'!G301</f>
        <v>121804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121804</v>
      </c>
      <c r="C1547" s="2" t="s">
        <v>594</v>
      </c>
      <c r="D1547" s="2" t="str">
        <f t="shared" si="23"/>
        <v>Error?</v>
      </c>
    </row>
    <row r="1548" spans="1:4" x14ac:dyDescent="0.2">
      <c r="A1548" s="5">
        <v>1487</v>
      </c>
      <c r="B1548" s="138">
        <f>'Expenditures 15-22'!G312</f>
        <v>121804</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943591</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943591</v>
      </c>
      <c r="C1559" s="2" t="s">
        <v>594</v>
      </c>
      <c r="D1559" s="2" t="str">
        <f t="shared" si="23"/>
        <v>Error?</v>
      </c>
    </row>
    <row r="1560" spans="1:4" x14ac:dyDescent="0.2">
      <c r="A1560" s="5">
        <v>1499</v>
      </c>
      <c r="B1560" s="138">
        <f>'Expenditures 15-22'!K312</f>
        <v>943591</v>
      </c>
      <c r="C1560" s="2" t="s">
        <v>594</v>
      </c>
      <c r="D1560" s="2" t="str">
        <f t="shared" si="23"/>
        <v>Error?</v>
      </c>
    </row>
    <row r="1561" spans="1:4" x14ac:dyDescent="0.2">
      <c r="A1561" s="5">
        <v>1500</v>
      </c>
      <c r="B1561" s="138">
        <f>'Expenditures 15-22'!K313</f>
        <v>91308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8946878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10033900</v>
      </c>
      <c r="C1630" s="2" t="s">
        <v>594</v>
      </c>
      <c r="D1630" s="2" t="str">
        <f t="shared" si="24"/>
        <v>Error?</v>
      </c>
    </row>
    <row r="1631" spans="1:4" x14ac:dyDescent="0.2">
      <c r="A1631" s="5">
        <v>1570</v>
      </c>
      <c r="B1631" s="138">
        <f>'Acct Summary 7-8'!D79</f>
        <v>518158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623408</v>
      </c>
      <c r="C1644" s="2" t="s">
        <v>594</v>
      </c>
      <c r="D1644" s="2" t="str">
        <f t="shared" si="24"/>
        <v>Error?</v>
      </c>
    </row>
    <row r="1645" spans="1:4" x14ac:dyDescent="0.2">
      <c r="A1645" s="5">
        <v>1584</v>
      </c>
      <c r="B1645" s="138">
        <f>'Acct Summary 7-8'!E79</f>
        <v>518243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526433</v>
      </c>
      <c r="C1658" s="2" t="s">
        <v>594</v>
      </c>
      <c r="D1658" s="2" t="str">
        <f t="shared" si="24"/>
        <v>Error?</v>
      </c>
    </row>
    <row r="1659" spans="1:4" x14ac:dyDescent="0.2">
      <c r="A1659" s="5">
        <v>1598</v>
      </c>
      <c r="B1659" s="138">
        <f>'Acct Summary 7-8'!F79</f>
        <v>553083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820863</v>
      </c>
      <c r="C1672" s="2" t="s">
        <v>594</v>
      </c>
      <c r="D1672" s="2" t="str">
        <f t="shared" si="25"/>
        <v>Error?</v>
      </c>
    </row>
    <row r="1673" spans="1:4" x14ac:dyDescent="0.2">
      <c r="A1673" s="5">
        <v>1612</v>
      </c>
      <c r="B1673" s="138">
        <f>'Acct Summary 7-8'!G79</f>
        <v>637954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663347</v>
      </c>
      <c r="C1686" s="2" t="s">
        <v>594</v>
      </c>
      <c r="D1686" s="2" t="str">
        <f t="shared" si="25"/>
        <v>Error?</v>
      </c>
    </row>
    <row r="1687" spans="1:4" x14ac:dyDescent="0.2">
      <c r="A1687" s="5">
        <v>1626</v>
      </c>
      <c r="B1687" s="138">
        <f>'Acct Summary 7-8'!H79</f>
        <v>797894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889202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3872951</v>
      </c>
      <c r="C1744" s="2" t="s">
        <v>594</v>
      </c>
      <c r="D1744" s="2" t="str">
        <f t="shared" si="26"/>
        <v>Error?</v>
      </c>
    </row>
    <row r="1745" spans="1:5" x14ac:dyDescent="0.2">
      <c r="A1745" s="5">
        <v>1684</v>
      </c>
      <c r="B1745" s="138">
        <f>'Tax Sched 23'!B5</f>
        <v>1054617</v>
      </c>
      <c r="C1745" s="2" t="s">
        <v>594</v>
      </c>
      <c r="D1745" s="2" t="str">
        <f t="shared" si="26"/>
        <v>Error?</v>
      </c>
    </row>
    <row r="1746" spans="1:5" x14ac:dyDescent="0.2">
      <c r="A1746" s="5">
        <v>1685</v>
      </c>
      <c r="B1746" s="138">
        <f>'Tax Sched 23'!B6</f>
        <v>790895</v>
      </c>
      <c r="C1746" s="2" t="s">
        <v>594</v>
      </c>
      <c r="D1746" s="2" t="str">
        <f t="shared" si="26"/>
        <v>Error?</v>
      </c>
    </row>
    <row r="1747" spans="1:5" x14ac:dyDescent="0.2">
      <c r="A1747" s="5">
        <v>1686</v>
      </c>
      <c r="B1747" s="138">
        <f>'Tax Sched 23'!B7</f>
        <v>421367</v>
      </c>
      <c r="C1747" s="2" t="s">
        <v>594</v>
      </c>
      <c r="D1747" s="2" t="str">
        <f t="shared" si="26"/>
        <v>Error?</v>
      </c>
    </row>
    <row r="1748" spans="1:5" x14ac:dyDescent="0.2">
      <c r="A1748" s="5">
        <v>1687</v>
      </c>
      <c r="B1748" s="138">
        <f>'Tax Sched 23'!B8</f>
        <v>268360</v>
      </c>
      <c r="C1748" s="2" t="s">
        <v>594</v>
      </c>
      <c r="D1748" s="2" t="str">
        <f t="shared" si="26"/>
        <v>Error?</v>
      </c>
    </row>
    <row r="1749" spans="1:5" x14ac:dyDescent="0.2">
      <c r="A1749" s="5">
        <v>1688</v>
      </c>
      <c r="B1749" s="138">
        <f>'Tax Sched 23'!B10</f>
        <v>105340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1043565</v>
      </c>
      <c r="C1752" s="2" t="s">
        <v>594</v>
      </c>
      <c r="D1752" s="2" t="str">
        <f t="shared" si="26"/>
        <v>Error?</v>
      </c>
    </row>
    <row r="1753" spans="1:5" x14ac:dyDescent="0.2">
      <c r="A1753" s="5">
        <v>1692</v>
      </c>
      <c r="B1753" s="138">
        <f>'Tax Sched 23'!B12</f>
        <v>105340</v>
      </c>
      <c r="C1753" s="2" t="s">
        <v>594</v>
      </c>
      <c r="D1753" s="2" t="str">
        <f t="shared" si="26"/>
        <v>Error?</v>
      </c>
    </row>
    <row r="1754" spans="1:5" x14ac:dyDescent="0.2">
      <c r="A1754" s="5">
        <v>1693</v>
      </c>
      <c r="B1754" s="138">
        <f>'Tax Sched 23'!B14</f>
        <v>84370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8257857</v>
      </c>
      <c r="C1759" s="2" t="s">
        <v>594</v>
      </c>
      <c r="D1759" s="2" t="str">
        <f t="shared" si="26"/>
        <v>Error?</v>
      </c>
    </row>
    <row r="1760" spans="1:5" x14ac:dyDescent="0.2">
      <c r="A1760" s="5">
        <v>1699</v>
      </c>
      <c r="B1760" s="138">
        <f>'Tax Sched 23'!D4</f>
        <v>1675101</v>
      </c>
      <c r="C1760" s="2" t="s">
        <v>594</v>
      </c>
      <c r="D1760" s="2" t="str">
        <f t="shared" si="26"/>
        <v>Error?</v>
      </c>
    </row>
    <row r="1761" spans="1:5" x14ac:dyDescent="0.2">
      <c r="A1761" s="5">
        <v>1700</v>
      </c>
      <c r="B1761" s="138">
        <f>'Tax Sched 23'!D5</f>
        <v>455192</v>
      </c>
      <c r="C1761" s="2" t="s">
        <v>594</v>
      </c>
      <c r="D1761" s="2" t="str">
        <f t="shared" si="26"/>
        <v>Error?</v>
      </c>
    </row>
    <row r="1762" spans="1:5" s="8" customFormat="1" x14ac:dyDescent="0.2">
      <c r="A1762" s="5">
        <v>1701</v>
      </c>
      <c r="B1762" s="138">
        <f>'Tax Sched 23'!D6</f>
        <v>348038</v>
      </c>
      <c r="C1762" s="2" t="s">
        <v>594</v>
      </c>
      <c r="D1762" s="2" t="str">
        <f t="shared" si="26"/>
        <v>Error?</v>
      </c>
      <c r="E1762" s="9"/>
    </row>
    <row r="1763" spans="1:5" x14ac:dyDescent="0.2">
      <c r="A1763" s="5">
        <v>1702</v>
      </c>
      <c r="B1763" s="138">
        <f>'Tax Sched 23'!D7</f>
        <v>182077</v>
      </c>
      <c r="C1763" s="2" t="s">
        <v>594</v>
      </c>
      <c r="D1763" s="2" t="str">
        <f t="shared" si="26"/>
        <v>Error?</v>
      </c>
    </row>
    <row r="1764" spans="1:5" x14ac:dyDescent="0.2">
      <c r="A1764" s="5">
        <v>1703</v>
      </c>
      <c r="B1764" s="138">
        <f>'Tax Sched 23'!D8</f>
        <v>131094</v>
      </c>
      <c r="C1764" s="2" t="s">
        <v>594</v>
      </c>
      <c r="D1764" s="2" t="str">
        <f t="shared" si="26"/>
        <v>Error?</v>
      </c>
    </row>
    <row r="1765" spans="1:5" x14ac:dyDescent="0.2">
      <c r="A1765" s="5">
        <v>1704</v>
      </c>
      <c r="B1765" s="138">
        <f>'Tax Sched 23'!D10</f>
        <v>45519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375804</v>
      </c>
      <c r="C1768" s="2" t="s">
        <v>594</v>
      </c>
      <c r="D1768" s="2" t="str">
        <f t="shared" si="26"/>
        <v>Error?</v>
      </c>
    </row>
    <row r="1769" spans="1:5" x14ac:dyDescent="0.2">
      <c r="A1769" s="5">
        <v>1708</v>
      </c>
      <c r="B1769" s="138">
        <f>'Tax Sched 23'!D12</f>
        <v>45519</v>
      </c>
      <c r="C1769" s="2" t="s">
        <v>594</v>
      </c>
      <c r="D1769" s="2" t="str">
        <f t="shared" si="26"/>
        <v>Error?</v>
      </c>
    </row>
    <row r="1770" spans="1:5" x14ac:dyDescent="0.2">
      <c r="A1770" s="5">
        <v>1709</v>
      </c>
      <c r="B1770" s="138">
        <f>'Tax Sched 23'!D14</f>
        <v>36414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3545659</v>
      </c>
      <c r="C1775" s="2" t="s">
        <v>594</v>
      </c>
      <c r="D1775" s="2" t="str">
        <f t="shared" si="26"/>
        <v>Error?</v>
      </c>
    </row>
    <row r="1776" spans="1:5" x14ac:dyDescent="0.2">
      <c r="A1776" s="5">
        <v>1715</v>
      </c>
      <c r="B1776" s="138">
        <f>'Tax Sched 23'!C4</f>
        <v>2197850</v>
      </c>
      <c r="D1776" s="2" t="str">
        <f t="shared" si="26"/>
        <v>Error?</v>
      </c>
    </row>
    <row r="1777" spans="1:4" x14ac:dyDescent="0.2">
      <c r="A1777" s="5">
        <v>1716</v>
      </c>
      <c r="B1777" s="138">
        <f>'Tax Sched 23'!C5</f>
        <v>599425</v>
      </c>
      <c r="D1777" s="2" t="str">
        <f t="shared" si="26"/>
        <v>Error?</v>
      </c>
    </row>
    <row r="1778" spans="1:4" x14ac:dyDescent="0.2">
      <c r="A1778" s="5">
        <v>1717</v>
      </c>
      <c r="B1778" s="138">
        <f>'Tax Sched 23'!C6</f>
        <v>442857</v>
      </c>
      <c r="D1778" s="2" t="str">
        <f t="shared" si="26"/>
        <v>Error?</v>
      </c>
    </row>
    <row r="1779" spans="1:4" x14ac:dyDescent="0.2">
      <c r="A1779" s="5">
        <v>1718</v>
      </c>
      <c r="B1779" s="138">
        <f>'Tax Sched 23'!C7</f>
        <v>239290</v>
      </c>
      <c r="D1779" s="2" t="str">
        <f t="shared" si="26"/>
        <v>Error?</v>
      </c>
    </row>
    <row r="1780" spans="1:4" x14ac:dyDescent="0.2">
      <c r="A1780" s="5">
        <v>1719</v>
      </c>
      <c r="B1780" s="138">
        <f>'Tax Sched 23'!C8</f>
        <v>137266</v>
      </c>
      <c r="D1780" s="2" t="str">
        <f t="shared" si="26"/>
        <v>Error?</v>
      </c>
    </row>
    <row r="1781" spans="1:4" x14ac:dyDescent="0.2">
      <c r="A1781" s="5">
        <v>1720</v>
      </c>
      <c r="B1781" s="138">
        <f>'Tax Sched 23'!C10</f>
        <v>59821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667761</v>
      </c>
      <c r="D1784" s="2" t="str">
        <f t="shared" si="26"/>
        <v>Error?</v>
      </c>
    </row>
    <row r="1785" spans="1:4" x14ac:dyDescent="0.2">
      <c r="A1785" s="5">
        <v>1724</v>
      </c>
      <c r="B1785" s="138">
        <f>'Tax Sched 23'!C12</f>
        <v>59821</v>
      </c>
      <c r="D1785" s="2" t="str">
        <f t="shared" si="26"/>
        <v>Error?</v>
      </c>
    </row>
    <row r="1786" spans="1:4" x14ac:dyDescent="0.2">
      <c r="A1786" s="5">
        <v>1725</v>
      </c>
      <c r="B1786" s="138">
        <f>'Tax Sched 23'!C14</f>
        <v>47956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4712198</v>
      </c>
      <c r="C1791" s="2" t="s">
        <v>594</v>
      </c>
      <c r="D1791" s="2" t="str">
        <f t="shared" ref="D1791:D1854" si="27">IF(ISBLANK(B1791),"OK",IF(A1791-B1791=0,"OK","Error?"))</f>
        <v>Error?</v>
      </c>
    </row>
    <row r="1792" spans="1:4" x14ac:dyDescent="0.2">
      <c r="A1792" s="5">
        <v>1731</v>
      </c>
      <c r="B1792" s="138">
        <f>'Tax Sched 23'!F4</f>
        <v>1752190</v>
      </c>
      <c r="C1792" s="2" t="s">
        <v>594</v>
      </c>
      <c r="D1792" s="2" t="str">
        <f t="shared" si="27"/>
        <v>Error?</v>
      </c>
    </row>
    <row r="1793" spans="1:4" x14ac:dyDescent="0.2">
      <c r="A1793" s="5">
        <v>1732</v>
      </c>
      <c r="B1793" s="138">
        <f>'Tax Sched 23'!F5</f>
        <v>477878</v>
      </c>
      <c r="C1793" s="2" t="s">
        <v>594</v>
      </c>
      <c r="D1793" s="2" t="str">
        <f t="shared" si="27"/>
        <v>Error?</v>
      </c>
    </row>
    <row r="1794" spans="1:4" x14ac:dyDescent="0.2">
      <c r="A1794" s="5">
        <v>1733</v>
      </c>
      <c r="B1794" s="138">
        <f>'Tax Sched 23'!F6</f>
        <v>353055</v>
      </c>
      <c r="C1794" s="2" t="s">
        <v>594</v>
      </c>
      <c r="D1794" s="2" t="str">
        <f t="shared" si="27"/>
        <v>Error?</v>
      </c>
    </row>
    <row r="1795" spans="1:4" x14ac:dyDescent="0.2">
      <c r="A1795" s="5">
        <v>1734</v>
      </c>
      <c r="B1795" s="138">
        <f>'Tax Sched 23'!F7</f>
        <v>190769</v>
      </c>
      <c r="C1795" s="2" t="s">
        <v>594</v>
      </c>
      <c r="D1795" s="2" t="str">
        <f t="shared" si="27"/>
        <v>Error?</v>
      </c>
    </row>
    <row r="1796" spans="1:4" x14ac:dyDescent="0.2">
      <c r="A1796" s="5">
        <v>1735</v>
      </c>
      <c r="B1796" s="138">
        <f>'Tax Sched 23'!F8</f>
        <v>109436</v>
      </c>
      <c r="C1796" s="2" t="s">
        <v>594</v>
      </c>
      <c r="D1796" s="2" t="str">
        <f t="shared" si="27"/>
        <v>Error?</v>
      </c>
    </row>
    <row r="1797" spans="1:4" x14ac:dyDescent="0.2">
      <c r="A1797" s="5">
        <v>1736</v>
      </c>
      <c r="B1797" s="138">
        <f>'Tax Sched 23'!F10</f>
        <v>47694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532355</v>
      </c>
      <c r="C1800" s="2" t="s">
        <v>594</v>
      </c>
      <c r="D1800" s="2" t="str">
        <f t="shared" si="27"/>
        <v>Error?</v>
      </c>
    </row>
    <row r="1801" spans="1:4" x14ac:dyDescent="0.2">
      <c r="A1801" s="5">
        <v>1740</v>
      </c>
      <c r="B1801" s="138">
        <f>'Tax Sched 23'!F12</f>
        <v>47694</v>
      </c>
      <c r="C1801" s="2" t="s">
        <v>594</v>
      </c>
      <c r="D1801" s="2" t="str">
        <f t="shared" si="27"/>
        <v>Error?</v>
      </c>
    </row>
    <row r="1802" spans="1:4" x14ac:dyDescent="0.2">
      <c r="A1802" s="5">
        <v>1741</v>
      </c>
      <c r="B1802" s="138">
        <f>'Tax Sched 23'!F14</f>
        <v>38228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3756698</v>
      </c>
      <c r="C1807" s="2" t="s">
        <v>594</v>
      </c>
      <c r="D1807" s="2" t="str">
        <f t="shared" si="27"/>
        <v>Error?</v>
      </c>
    </row>
    <row r="1808" spans="1:4" x14ac:dyDescent="0.2">
      <c r="A1808" s="5">
        <v>1747</v>
      </c>
      <c r="B1808" s="138">
        <f>'Tax Sched 23'!E4</f>
        <v>3950040</v>
      </c>
      <c r="D1808" s="2" t="str">
        <f t="shared" si="27"/>
        <v>Error?</v>
      </c>
    </row>
    <row r="1809" spans="1:4" x14ac:dyDescent="0.2">
      <c r="A1809" s="5">
        <v>1748</v>
      </c>
      <c r="B1809" s="138">
        <f>'Tax Sched 23'!E5</f>
        <v>1077303</v>
      </c>
      <c r="D1809" s="2" t="str">
        <f t="shared" si="27"/>
        <v>Error?</v>
      </c>
    </row>
    <row r="1810" spans="1:4" x14ac:dyDescent="0.2">
      <c r="A1810" s="5">
        <v>1749</v>
      </c>
      <c r="B1810" s="138">
        <f>'Tax Sched 23'!E6</f>
        <v>795912</v>
      </c>
      <c r="D1810" s="2" t="str">
        <f t="shared" si="27"/>
        <v>Error?</v>
      </c>
    </row>
    <row r="1811" spans="1:4" x14ac:dyDescent="0.2">
      <c r="A1811" s="5">
        <v>1750</v>
      </c>
      <c r="B1811" s="138">
        <f>'Tax Sched 23'!E7</f>
        <v>430059</v>
      </c>
      <c r="D1811" s="2" t="str">
        <f t="shared" si="27"/>
        <v>Error?</v>
      </c>
    </row>
    <row r="1812" spans="1:4" x14ac:dyDescent="0.2">
      <c r="A1812" s="5">
        <v>1751</v>
      </c>
      <c r="B1812" s="138">
        <f>'Tax Sched 23'!E8</f>
        <v>246702</v>
      </c>
      <c r="D1812" s="2" t="str">
        <f t="shared" si="27"/>
        <v>Error?</v>
      </c>
    </row>
    <row r="1813" spans="1:4" x14ac:dyDescent="0.2">
      <c r="A1813" s="5">
        <v>1752</v>
      </c>
      <c r="B1813" s="138">
        <f>'Tax Sched 23'!E10</f>
        <v>107515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1200116</v>
      </c>
      <c r="D1816" s="2" t="str">
        <f t="shared" si="27"/>
        <v>Error?</v>
      </c>
    </row>
    <row r="1817" spans="1:4" x14ac:dyDescent="0.2">
      <c r="A1817" s="5">
        <v>1756</v>
      </c>
      <c r="B1817" s="138">
        <f>'Tax Sched 23'!E12</f>
        <v>107515</v>
      </c>
      <c r="D1817" s="2" t="str">
        <f t="shared" si="27"/>
        <v>Error?</v>
      </c>
    </row>
    <row r="1818" spans="1:4" x14ac:dyDescent="0.2">
      <c r="A1818" s="5">
        <v>1757</v>
      </c>
      <c r="B1818" s="138">
        <f>'Tax Sched 23'!E14</f>
        <v>86184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8468896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9361077</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84370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84370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84370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258690</v>
      </c>
      <c r="D2008" s="2" t="str">
        <f t="shared" si="30"/>
        <v>Error?</v>
      </c>
    </row>
    <row r="2009" spans="1:4" x14ac:dyDescent="0.2">
      <c r="A2009" s="5">
        <v>1948</v>
      </c>
      <c r="B2009" s="138">
        <f>'Cap Outlay Deprec 26'!C8</f>
        <v>23230287</v>
      </c>
      <c r="D2009" s="2" t="str">
        <f t="shared" si="30"/>
        <v>Error?</v>
      </c>
    </row>
    <row r="2010" spans="1:4" x14ac:dyDescent="0.2">
      <c r="A2010" s="5">
        <v>1949</v>
      </c>
      <c r="B2010" s="138">
        <f>'Cap Outlay Deprec 26'!C10</f>
        <v>6443698</v>
      </c>
      <c r="D2010" s="2" t="str">
        <f t="shared" si="30"/>
        <v>Error?</v>
      </c>
    </row>
    <row r="2011" spans="1:4" x14ac:dyDescent="0.2">
      <c r="A2011" s="5">
        <v>1950</v>
      </c>
      <c r="B2011" s="138">
        <f>'Cap Outlay Deprec 26'!C12</f>
        <v>2809439</v>
      </c>
      <c r="D2011" s="2" t="str">
        <f t="shared" si="30"/>
        <v>Error?</v>
      </c>
    </row>
    <row r="2012" spans="1:4" x14ac:dyDescent="0.2">
      <c r="A2012" s="5">
        <v>1951</v>
      </c>
      <c r="B2012" s="138">
        <f>'Cap Outlay Deprec 26'!C13</f>
        <v>2494543</v>
      </c>
      <c r="D2012" s="2" t="str">
        <f t="shared" si="30"/>
        <v>Error?</v>
      </c>
    </row>
    <row r="2013" spans="1:4" x14ac:dyDescent="0.2">
      <c r="A2013" s="5">
        <v>1952</v>
      </c>
      <c r="B2013" s="138">
        <f>'Cap Outlay Deprec 26'!C16</f>
        <v>35697213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866816</v>
      </c>
      <c r="D2015" s="2" t="str">
        <f t="shared" si="30"/>
        <v>Error?</v>
      </c>
    </row>
    <row r="2016" spans="1:4" x14ac:dyDescent="0.2">
      <c r="A2016" s="5">
        <v>1955</v>
      </c>
      <c r="B2016" s="138">
        <f>'Cap Outlay Deprec 26'!D10</f>
        <v>823531</v>
      </c>
      <c r="D2016" s="2" t="str">
        <f t="shared" si="30"/>
        <v>Error?</v>
      </c>
    </row>
    <row r="2017" spans="1:4" x14ac:dyDescent="0.2">
      <c r="A2017" s="5">
        <v>1956</v>
      </c>
      <c r="B2017" s="138">
        <f>'Cap Outlay Deprec 26'!D12</f>
        <v>13634</v>
      </c>
      <c r="D2017" s="2" t="str">
        <f t="shared" si="30"/>
        <v>Error?</v>
      </c>
    </row>
    <row r="2018" spans="1:4" x14ac:dyDescent="0.2">
      <c r="A2018" s="5">
        <v>1957</v>
      </c>
      <c r="B2018" s="138">
        <f>'Cap Outlay Deprec 26'!D13</f>
        <v>97710</v>
      </c>
      <c r="D2018" s="2" t="str">
        <f t="shared" si="30"/>
        <v>Error?</v>
      </c>
    </row>
    <row r="2019" spans="1:4" x14ac:dyDescent="0.2">
      <c r="A2019" s="5">
        <v>1958</v>
      </c>
      <c r="B2019" s="138">
        <f>'Cap Outlay Deprec 26'!D16</f>
        <v>2351261</v>
      </c>
      <c r="C2019" s="2" t="s">
        <v>594</v>
      </c>
      <c r="D2019" s="2" t="str">
        <f t="shared" si="30"/>
        <v>Error?</v>
      </c>
    </row>
    <row r="2020" spans="1:4" x14ac:dyDescent="0.2">
      <c r="A2020" s="5">
        <v>1959</v>
      </c>
      <c r="B2020" s="138">
        <f>'Cap Outlay Deprec 26'!E5</f>
        <v>5000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454711</v>
      </c>
      <c r="C2025" s="2" t="s">
        <v>594</v>
      </c>
      <c r="D2025" s="2" t="str">
        <f t="shared" si="30"/>
        <v>Error?</v>
      </c>
    </row>
    <row r="2026" spans="1:4" x14ac:dyDescent="0.2">
      <c r="A2026" s="5">
        <v>1965</v>
      </c>
      <c r="B2026" s="138">
        <f>'Cap Outlay Deprec 26'!F5</f>
        <v>253690</v>
      </c>
      <c r="C2026" s="2" t="s">
        <v>594</v>
      </c>
      <c r="D2026" s="2" t="str">
        <f t="shared" si="30"/>
        <v>Error?</v>
      </c>
    </row>
    <row r="2027" spans="1:4" x14ac:dyDescent="0.2">
      <c r="A2027" s="5">
        <v>1966</v>
      </c>
      <c r="B2027" s="138">
        <f>'Cap Outlay Deprec 26'!F8</f>
        <v>24097103</v>
      </c>
      <c r="C2027" s="2" t="s">
        <v>594</v>
      </c>
      <c r="D2027" s="2" t="str">
        <f t="shared" si="30"/>
        <v>Error?</v>
      </c>
    </row>
    <row r="2028" spans="1:4" x14ac:dyDescent="0.2">
      <c r="A2028" s="5">
        <v>1967</v>
      </c>
      <c r="B2028" s="138">
        <f>'Cap Outlay Deprec 26'!F10</f>
        <v>7267229</v>
      </c>
      <c r="C2028" s="2" t="s">
        <v>594</v>
      </c>
      <c r="D2028" s="2" t="str">
        <f t="shared" si="30"/>
        <v>Error?</v>
      </c>
    </row>
    <row r="2029" spans="1:4" x14ac:dyDescent="0.2">
      <c r="A2029" s="5">
        <v>1968</v>
      </c>
      <c r="B2029" s="138">
        <f>'Cap Outlay Deprec 26'!F12</f>
        <v>2823073</v>
      </c>
      <c r="C2029" s="2" t="s">
        <v>594</v>
      </c>
      <c r="D2029" s="2" t="str">
        <f t="shared" si="30"/>
        <v>Error?</v>
      </c>
    </row>
    <row r="2030" spans="1:4" x14ac:dyDescent="0.2">
      <c r="A2030" s="5">
        <v>1969</v>
      </c>
      <c r="B2030" s="138">
        <f>'Cap Outlay Deprec 26'!F13</f>
        <v>2592253</v>
      </c>
      <c r="C2030" s="2" t="s">
        <v>594</v>
      </c>
      <c r="D2030" s="2" t="str">
        <f t="shared" si="30"/>
        <v>Error?</v>
      </c>
    </row>
    <row r="2031" spans="1:4" x14ac:dyDescent="0.2">
      <c r="A2031" s="5">
        <v>1970</v>
      </c>
      <c r="B2031" s="138">
        <f>'Cap Outlay Deprec 26'!F16</f>
        <v>37593763</v>
      </c>
      <c r="C2031" s="2" t="s">
        <v>594</v>
      </c>
      <c r="D2031" s="2" t="str">
        <f t="shared" si="30"/>
        <v>Error?</v>
      </c>
    </row>
    <row r="2032" spans="1:4" x14ac:dyDescent="0.2">
      <c r="A2032" s="10">
        <v>1971</v>
      </c>
      <c r="D2032" s="2" t="str">
        <f t="shared" si="30"/>
        <v>OK</v>
      </c>
    </row>
    <row r="2033" spans="1:4" x14ac:dyDescent="0.2">
      <c r="A2033" s="5">
        <v>1972</v>
      </c>
      <c r="B2033" s="138">
        <f>'Cap Outlay Deprec 26'!H8</f>
        <v>13724171</v>
      </c>
      <c r="D2033" s="2" t="str">
        <f t="shared" si="30"/>
        <v>Error?</v>
      </c>
    </row>
    <row r="2034" spans="1:4" x14ac:dyDescent="0.2">
      <c r="A2034" s="5">
        <v>1973</v>
      </c>
      <c r="B2034" s="138">
        <f>'Cap Outlay Deprec 26'!H10</f>
        <v>2620444</v>
      </c>
      <c r="D2034" s="2" t="str">
        <f t="shared" si="30"/>
        <v>Error?</v>
      </c>
    </row>
    <row r="2035" spans="1:4" x14ac:dyDescent="0.2">
      <c r="A2035" s="5">
        <v>1974</v>
      </c>
      <c r="B2035" s="138">
        <f>'Cap Outlay Deprec 26'!H12</f>
        <v>1619199</v>
      </c>
      <c r="D2035" s="2" t="str">
        <f t="shared" si="30"/>
        <v>Error?</v>
      </c>
    </row>
    <row r="2036" spans="1:4" x14ac:dyDescent="0.2">
      <c r="A2036" s="5">
        <v>1975</v>
      </c>
      <c r="B2036" s="138">
        <f>'Cap Outlay Deprec 26'!H13</f>
        <v>2124152</v>
      </c>
      <c r="D2036" s="2" t="str">
        <f t="shared" si="30"/>
        <v>Error?</v>
      </c>
    </row>
    <row r="2037" spans="1:4" x14ac:dyDescent="0.2">
      <c r="A2037" s="5">
        <v>1976</v>
      </c>
      <c r="B2037" s="138">
        <f>'Cap Outlay Deprec 26'!H16</f>
        <v>20091581</v>
      </c>
      <c r="C2037" s="2" t="s">
        <v>594</v>
      </c>
      <c r="D2037" s="2" t="str">
        <f t="shared" si="30"/>
        <v>Error?</v>
      </c>
    </row>
    <row r="2038" spans="1:4" x14ac:dyDescent="0.2">
      <c r="A2038" s="10">
        <v>1977</v>
      </c>
      <c r="D2038" s="2" t="str">
        <f t="shared" si="30"/>
        <v>OK</v>
      </c>
    </row>
    <row r="2039" spans="1:4" x14ac:dyDescent="0.2">
      <c r="A2039" s="5">
        <v>1978</v>
      </c>
      <c r="B2039" s="138">
        <f>'Cap Outlay Deprec 26'!I8</f>
        <v>288901</v>
      </c>
      <c r="D2039" s="2" t="str">
        <f t="shared" si="30"/>
        <v>Error?</v>
      </c>
    </row>
    <row r="2040" spans="1:4" x14ac:dyDescent="0.2">
      <c r="A2040" s="5">
        <v>1979</v>
      </c>
      <c r="B2040" s="138">
        <f>'Cap Outlay Deprec 26'!I10</f>
        <v>313878</v>
      </c>
      <c r="D2040" s="2" t="str">
        <f t="shared" si="30"/>
        <v>Error?</v>
      </c>
    </row>
    <row r="2041" spans="1:4" x14ac:dyDescent="0.2">
      <c r="A2041" s="5">
        <v>1980</v>
      </c>
      <c r="B2041" s="138">
        <f>'Cap Outlay Deprec 26'!I12</f>
        <v>251708</v>
      </c>
      <c r="D2041" s="2" t="str">
        <f t="shared" si="30"/>
        <v>Error?</v>
      </c>
    </row>
    <row r="2042" spans="1:4" x14ac:dyDescent="0.2">
      <c r="A2042" s="5">
        <v>1981</v>
      </c>
      <c r="B2042" s="138">
        <f>'Cap Outlay Deprec 26'!I13</f>
        <v>160364</v>
      </c>
      <c r="D2042" s="2" t="str">
        <f t="shared" si="30"/>
        <v>Error?</v>
      </c>
    </row>
    <row r="2043" spans="1:4" x14ac:dyDescent="0.2">
      <c r="A2043" s="5">
        <v>1982</v>
      </c>
      <c r="B2043" s="138">
        <f>'Cap Outlay Deprec 26'!I16</f>
        <v>1020065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14013072</v>
      </c>
      <c r="C2051" s="2" t="s">
        <v>594</v>
      </c>
      <c r="D2051" s="2" t="str">
        <f t="shared" si="31"/>
        <v>Error?</v>
      </c>
    </row>
    <row r="2052" spans="1:4" x14ac:dyDescent="0.2">
      <c r="A2052" s="5">
        <v>1991</v>
      </c>
      <c r="B2052" s="138">
        <f>'Cap Outlay Deprec 26'!K10</f>
        <v>2934322</v>
      </c>
      <c r="C2052" s="2" t="s">
        <v>594</v>
      </c>
      <c r="D2052" s="2" t="str">
        <f t="shared" si="31"/>
        <v>Error?</v>
      </c>
    </row>
    <row r="2053" spans="1:4" x14ac:dyDescent="0.2">
      <c r="A2053" s="5">
        <v>1992</v>
      </c>
      <c r="B2053" s="138">
        <f>'Cap Outlay Deprec 26'!K12</f>
        <v>1870907</v>
      </c>
      <c r="C2053" s="2" t="s">
        <v>594</v>
      </c>
      <c r="D2053" s="2" t="str">
        <f t="shared" si="31"/>
        <v>Error?</v>
      </c>
    </row>
    <row r="2054" spans="1:4" x14ac:dyDescent="0.2">
      <c r="A2054" s="5">
        <v>1993</v>
      </c>
      <c r="B2054" s="138">
        <f>'Cap Outlay Deprec 26'!K13</f>
        <v>2284516</v>
      </c>
      <c r="C2054" s="2" t="s">
        <v>594</v>
      </c>
      <c r="D2054" s="2" t="str">
        <f t="shared" si="31"/>
        <v>Error?</v>
      </c>
    </row>
    <row r="2055" spans="1:4" x14ac:dyDescent="0.2">
      <c r="A2055" s="5">
        <v>1994</v>
      </c>
      <c r="B2055" s="138">
        <f>'Cap Outlay Deprec 26'!K16</f>
        <v>21111646</v>
      </c>
      <c r="C2055" s="2" t="s">
        <v>594</v>
      </c>
      <c r="D2055" s="2" t="str">
        <f t="shared" si="31"/>
        <v>Error?</v>
      </c>
    </row>
    <row r="2056" spans="1:4" x14ac:dyDescent="0.2">
      <c r="A2056" s="5">
        <v>1995</v>
      </c>
      <c r="B2056" s="138">
        <f>'Cap Outlay Deprec 26'!L5</f>
        <v>253690</v>
      </c>
      <c r="C2056" s="2" t="s">
        <v>594</v>
      </c>
      <c r="D2056" s="2" t="str">
        <f t="shared" si="31"/>
        <v>Error?</v>
      </c>
    </row>
    <row r="2057" spans="1:4" x14ac:dyDescent="0.2">
      <c r="A2057" s="5">
        <v>1996</v>
      </c>
      <c r="B2057" s="138">
        <f>'Cap Outlay Deprec 26'!L8</f>
        <v>10084031</v>
      </c>
      <c r="C2057" s="2" t="s">
        <v>594</v>
      </c>
      <c r="D2057" s="2" t="str">
        <f t="shared" si="31"/>
        <v>Error?</v>
      </c>
    </row>
    <row r="2058" spans="1:4" x14ac:dyDescent="0.2">
      <c r="A2058" s="5">
        <v>1997</v>
      </c>
      <c r="B2058" s="138">
        <f>'Cap Outlay Deprec 26'!L10</f>
        <v>4332907</v>
      </c>
      <c r="C2058" s="2" t="s">
        <v>594</v>
      </c>
      <c r="D2058" s="2" t="str">
        <f t="shared" si="31"/>
        <v>Error?</v>
      </c>
    </row>
    <row r="2059" spans="1:4" x14ac:dyDescent="0.2">
      <c r="A2059" s="5">
        <v>1998</v>
      </c>
      <c r="B2059" s="138">
        <f>'Cap Outlay Deprec 26'!L12</f>
        <v>952166</v>
      </c>
      <c r="C2059" s="2" t="s">
        <v>594</v>
      </c>
      <c r="D2059" s="2" t="str">
        <f t="shared" si="31"/>
        <v>Error?</v>
      </c>
    </row>
    <row r="2060" spans="1:4" x14ac:dyDescent="0.2">
      <c r="A2060" s="5">
        <v>1999</v>
      </c>
      <c r="B2060" s="138">
        <f>'Cap Outlay Deprec 26'!L13</f>
        <v>307737</v>
      </c>
      <c r="C2060" s="2" t="s">
        <v>594</v>
      </c>
      <c r="D2060" s="2" t="str">
        <f t="shared" si="31"/>
        <v>Error?</v>
      </c>
    </row>
    <row r="2061" spans="1:4" x14ac:dyDescent="0.2">
      <c r="A2061" s="5">
        <v>2000</v>
      </c>
      <c r="B2061" s="138">
        <f>'Cap Outlay Deprec 26'!L16</f>
        <v>16482117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38647</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156067</v>
      </c>
      <c r="C2088" s="2" t="s">
        <v>594</v>
      </c>
      <c r="D2088" s="2" t="str">
        <f t="shared" si="31"/>
        <v>Error?</v>
      </c>
    </row>
    <row r="2089" spans="1:4" x14ac:dyDescent="0.2">
      <c r="A2089" s="5">
        <v>2028</v>
      </c>
      <c r="B2089" s="138">
        <f>'Expenditures 15-22'!K92</f>
        <v>739779</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1748595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451423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486444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7461187</v>
      </c>
      <c r="C2551" s="2" t="s">
        <v>594</v>
      </c>
      <c r="D2551" s="2" t="str">
        <f t="shared" si="38"/>
        <v>Error?</v>
      </c>
    </row>
    <row r="2552" spans="1:4" x14ac:dyDescent="0.2">
      <c r="A2552" s="10">
        <v>2491</v>
      </c>
      <c r="D2552" s="2" t="str">
        <f t="shared" si="38"/>
        <v>OK</v>
      </c>
    </row>
    <row r="2553" spans="1:4" x14ac:dyDescent="0.2">
      <c r="A2553" s="5">
        <v>2492</v>
      </c>
      <c r="B2553" s="138">
        <f>'Acct Summary 7-8'!C6</f>
        <v>9654151</v>
      </c>
      <c r="C2553" s="2" t="s">
        <v>594</v>
      </c>
      <c r="D2553" s="2" t="str">
        <f t="shared" si="38"/>
        <v>Error?</v>
      </c>
    </row>
    <row r="2554" spans="1:4" x14ac:dyDescent="0.2">
      <c r="A2554" s="5">
        <v>2493</v>
      </c>
      <c r="B2554" s="138">
        <f>'Acct Summary 7-8'!C7</f>
        <v>1833306</v>
      </c>
      <c r="C2554" s="2" t="s">
        <v>594</v>
      </c>
      <c r="D2554" s="2" t="str">
        <f t="shared" si="38"/>
        <v>Error?</v>
      </c>
    </row>
    <row r="2555" spans="1:4" x14ac:dyDescent="0.2">
      <c r="A2555" s="5">
        <v>2494</v>
      </c>
      <c r="B2555" s="138">
        <f>'Acct Summary 7-8'!C8</f>
        <v>18948644</v>
      </c>
      <c r="C2555" s="2" t="s">
        <v>594</v>
      </c>
      <c r="D2555" s="2" t="str">
        <f t="shared" si="38"/>
        <v>Error?</v>
      </c>
    </row>
    <row r="2556" spans="1:4" x14ac:dyDescent="0.2">
      <c r="A2556" s="5">
        <v>2495</v>
      </c>
      <c r="B2556" s="138">
        <f>'Acct Summary 7-8'!C12</f>
        <v>12742140</v>
      </c>
      <c r="C2556" s="2" t="s">
        <v>594</v>
      </c>
      <c r="D2556" s="2" t="str">
        <f t="shared" si="38"/>
        <v>Error?</v>
      </c>
    </row>
    <row r="2557" spans="1:4" x14ac:dyDescent="0.2">
      <c r="A2557" s="5">
        <v>2496</v>
      </c>
      <c r="B2557" s="138">
        <f>'Acct Summary 7-8'!C13</f>
        <v>4205873</v>
      </c>
      <c r="C2557" s="2" t="s">
        <v>594</v>
      </c>
      <c r="D2557" s="2" t="str">
        <f t="shared" si="38"/>
        <v>Error?</v>
      </c>
    </row>
    <row r="2558" spans="1:4" x14ac:dyDescent="0.2">
      <c r="A2558" s="5">
        <v>2497</v>
      </c>
      <c r="B2558" s="138">
        <f>'Acct Summary 7-8'!C14</f>
        <v>17763</v>
      </c>
      <c r="C2558" s="2" t="s">
        <v>594</v>
      </c>
      <c r="D2558" s="2" t="str">
        <f t="shared" si="38"/>
        <v>Error?</v>
      </c>
    </row>
    <row r="2559" spans="1:4" x14ac:dyDescent="0.2">
      <c r="A2559" s="5">
        <v>2498</v>
      </c>
      <c r="B2559" s="138">
        <f>'Acct Summary 7-8'!C15</f>
        <v>895846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17861622</v>
      </c>
      <c r="C2561" s="2" t="s">
        <v>594</v>
      </c>
      <c r="D2561" s="2" t="str">
        <f t="shared" si="39"/>
        <v>Error?</v>
      </c>
    </row>
    <row r="2562" spans="1:4" x14ac:dyDescent="0.2">
      <c r="A2562" s="5">
        <v>2501</v>
      </c>
      <c r="B2562" s="138">
        <f>'Acct Summary 7-8'!C20</f>
        <v>1087022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1879474</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1879474</v>
      </c>
      <c r="C2568" s="2" t="s">
        <v>594</v>
      </c>
      <c r="D2568" s="2" t="str">
        <f t="shared" si="39"/>
        <v>Error?</v>
      </c>
    </row>
    <row r="2569" spans="1:4" x14ac:dyDescent="0.2">
      <c r="A2569" s="5">
        <v>2508</v>
      </c>
      <c r="B2569" s="138">
        <f>'Acct Summary 7-8'!D13</f>
        <v>1774224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1774224</v>
      </c>
      <c r="C2573" s="2" t="s">
        <v>594</v>
      </c>
      <c r="D2573" s="2" t="str">
        <f t="shared" si="39"/>
        <v>Error?</v>
      </c>
    </row>
    <row r="2574" spans="1:4" x14ac:dyDescent="0.2">
      <c r="A2574" s="5">
        <v>2513</v>
      </c>
      <c r="B2574" s="138">
        <f>'Acct Summary 7-8'!D20</f>
        <v>105250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568743</v>
      </c>
      <c r="C2591" s="2" t="s">
        <v>594</v>
      </c>
      <c r="D2591" s="2" t="str">
        <f t="shared" si="39"/>
        <v>Error?</v>
      </c>
    </row>
    <row r="2592" spans="1:4" x14ac:dyDescent="0.2">
      <c r="A2592" s="10">
        <v>2531</v>
      </c>
      <c r="D2592" s="2" t="str">
        <f t="shared" si="39"/>
        <v>OK</v>
      </c>
    </row>
    <row r="2593" spans="1:4" x14ac:dyDescent="0.2">
      <c r="A2593" s="5">
        <v>2532</v>
      </c>
      <c r="B2593" s="138">
        <f>'Acct Summary 7-8'!F6</f>
        <v>775644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1344387</v>
      </c>
      <c r="C2595" s="2" t="s">
        <v>594</v>
      </c>
      <c r="D2595" s="2" t="str">
        <f t="shared" si="39"/>
        <v>Error?</v>
      </c>
    </row>
    <row r="2596" spans="1:4" x14ac:dyDescent="0.2">
      <c r="A2596" s="5">
        <v>2535</v>
      </c>
      <c r="B2596" s="138">
        <f>'Acct Summary 7-8'!F13</f>
        <v>1076607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1076607</v>
      </c>
      <c r="C2600" s="2" t="s">
        <v>594</v>
      </c>
      <c r="D2600" s="2" t="str">
        <f t="shared" si="39"/>
        <v>Error?</v>
      </c>
    </row>
    <row r="2601" spans="1:4" x14ac:dyDescent="0.2">
      <c r="A2601" s="5">
        <v>2540</v>
      </c>
      <c r="B2601" s="138">
        <f>'Acct Summary 7-8'!F20</f>
        <v>267780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908481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908481</v>
      </c>
      <c r="C2606" s="2" t="s">
        <v>594</v>
      </c>
      <c r="D2606" s="2" t="str">
        <f t="shared" si="39"/>
        <v>Error?</v>
      </c>
    </row>
    <row r="2607" spans="1:4" x14ac:dyDescent="0.2">
      <c r="A2607" s="5">
        <v>2546</v>
      </c>
      <c r="B2607" s="138">
        <f>'Acct Summary 7-8'!G12</f>
        <v>386822</v>
      </c>
      <c r="C2607" s="2" t="s">
        <v>594</v>
      </c>
      <c r="D2607" s="2" t="str">
        <f t="shared" si="39"/>
        <v>Error?</v>
      </c>
    </row>
    <row r="2608" spans="1:4" x14ac:dyDescent="0.2">
      <c r="A2608" s="5">
        <v>2547</v>
      </c>
      <c r="B2608" s="138">
        <f>'Acct Summary 7-8'!G13</f>
        <v>496068</v>
      </c>
      <c r="C2608" s="2" t="s">
        <v>594</v>
      </c>
      <c r="D2608" s="2" t="str">
        <f t="shared" si="39"/>
        <v>Error?</v>
      </c>
    </row>
    <row r="2609" spans="1:4" x14ac:dyDescent="0.2">
      <c r="A2609" s="5">
        <v>2548</v>
      </c>
      <c r="B2609" s="138">
        <f>'Acct Summary 7-8'!G14</f>
        <v>198</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883088</v>
      </c>
      <c r="C2612" s="2" t="s">
        <v>594</v>
      </c>
      <c r="D2612" s="2" t="str">
        <f t="shared" si="39"/>
        <v>Error?</v>
      </c>
    </row>
    <row r="2613" spans="1:4" x14ac:dyDescent="0.2">
      <c r="A2613" s="5">
        <v>2552</v>
      </c>
      <c r="B2613" s="138">
        <f>'Acct Summary 7-8'!G20</f>
        <v>25393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1115755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1115755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1107565</v>
      </c>
      <c r="C2634" s="2" t="s">
        <v>594</v>
      </c>
      <c r="D2634" s="2" t="str">
        <f t="shared" si="40"/>
        <v>Error?</v>
      </c>
    </row>
    <row r="2635" spans="1:4" x14ac:dyDescent="0.2">
      <c r="A2635" s="5">
        <v>2574</v>
      </c>
      <c r="B2635" s="138">
        <f>'Acct Summary 7-8'!E17</f>
        <v>1107565</v>
      </c>
      <c r="C2635" s="2" t="s">
        <v>594</v>
      </c>
      <c r="D2635" s="2" t="str">
        <f t="shared" si="40"/>
        <v>Error?</v>
      </c>
    </row>
    <row r="2636" spans="1:4" x14ac:dyDescent="0.2">
      <c r="A2636" s="5">
        <v>2575</v>
      </c>
      <c r="B2636" s="138">
        <f>'Acct Summary 7-8'!E20</f>
        <v>8190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1034899</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1034899</v>
      </c>
      <c r="C2658" s="2" t="s">
        <v>594</v>
      </c>
      <c r="D2658" s="2" t="str">
        <f t="shared" si="40"/>
        <v>Error?</v>
      </c>
    </row>
    <row r="2659" spans="1:4" x14ac:dyDescent="0.2">
      <c r="A2659" s="5">
        <v>2598</v>
      </c>
      <c r="B2659" s="138">
        <f>'Acct Summary 7-8'!H13</f>
        <v>943591</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943591</v>
      </c>
      <c r="C2661" s="2" t="s">
        <v>594</v>
      </c>
      <c r="D2661" s="2" t="str">
        <f t="shared" si="40"/>
        <v>Error?</v>
      </c>
    </row>
    <row r="2662" spans="1:4" x14ac:dyDescent="0.2">
      <c r="A2662" s="5">
        <v>2601</v>
      </c>
      <c r="B2662" s="138">
        <f>'Acct Summary 7-8'!H20</f>
        <v>91308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117420</v>
      </c>
      <c r="C2789" s="2" t="s">
        <v>594</v>
      </c>
      <c r="D2789" s="2" t="str">
        <f t="shared" si="42"/>
        <v>Error?</v>
      </c>
    </row>
    <row r="2790" spans="1:4" x14ac:dyDescent="0.2">
      <c r="A2790" s="5">
        <v>2729</v>
      </c>
      <c r="B2790" s="138">
        <f>'Expenditures 15-22'!E102</f>
        <v>117420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544772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1273150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49892</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909185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1273150</v>
      </c>
      <c r="D2912" s="2" t="str">
        <f t="shared" si="44"/>
        <v>Error?</v>
      </c>
    </row>
    <row r="2913" spans="1:4" x14ac:dyDescent="0.2">
      <c r="A2913" s="5">
        <v>2852</v>
      </c>
      <c r="B2913" s="138">
        <f>'Assets-Liab 5-6'!I41</f>
        <v>1273150</v>
      </c>
      <c r="C2913" s="2" t="s">
        <v>594</v>
      </c>
      <c r="D2913" s="2" t="str">
        <f t="shared" si="44"/>
        <v>Error?</v>
      </c>
    </row>
    <row r="2914" spans="1:4" x14ac:dyDescent="0.2">
      <c r="A2914" s="5">
        <v>2853</v>
      </c>
      <c r="B2914" s="138">
        <f>'Assets-Liab 5-6'!L33</f>
        <v>441696</v>
      </c>
      <c r="D2914" s="2" t="str">
        <f t="shared" si="44"/>
        <v>Error?</v>
      </c>
    </row>
    <row r="2915" spans="1:4" x14ac:dyDescent="0.2">
      <c r="A2915" s="10">
        <v>2854</v>
      </c>
      <c r="D2915" s="2" t="str">
        <f t="shared" si="44"/>
        <v>OK</v>
      </c>
    </row>
    <row r="2916" spans="1:4" x14ac:dyDescent="0.2">
      <c r="A2916" s="5">
        <v>2855</v>
      </c>
      <c r="B2916" s="138">
        <f>'Assets-Liab 5-6'!L34</f>
        <v>441696</v>
      </c>
      <c r="C2916" s="2" t="s">
        <v>594</v>
      </c>
      <c r="D2916" s="2" t="str">
        <f t="shared" si="44"/>
        <v>Error?</v>
      </c>
    </row>
    <row r="2917" spans="1:4" x14ac:dyDescent="0.2">
      <c r="A2917" s="5">
        <v>2856</v>
      </c>
      <c r="B2917" s="138">
        <f>'Assets-Liab 5-6'!L41</f>
        <v>909185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60456</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56964</v>
      </c>
      <c r="D2954" s="2" t="str">
        <f t="shared" si="45"/>
        <v>Error?</v>
      </c>
    </row>
    <row r="2955" spans="1:4" x14ac:dyDescent="0.2">
      <c r="A2955" s="5">
        <v>2894</v>
      </c>
      <c r="B2955" s="138">
        <f>'Expenditures 15-22'!H78</f>
        <v>36147</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2500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96603</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2500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56964</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574161</v>
      </c>
      <c r="D3055" s="2" t="str">
        <f t="shared" si="46"/>
        <v>Error?</v>
      </c>
    </row>
    <row r="3056" spans="1:4" x14ac:dyDescent="0.2">
      <c r="A3056" s="5">
        <v>2995</v>
      </c>
      <c r="B3056" s="138">
        <f>'Expenditures 15-22'!D10</f>
        <v>114327</v>
      </c>
      <c r="D3056" s="2" t="str">
        <f t="shared" si="46"/>
        <v>Error?</v>
      </c>
    </row>
    <row r="3057" spans="1:4" x14ac:dyDescent="0.2">
      <c r="A3057" s="5">
        <v>2996</v>
      </c>
      <c r="B3057" s="138">
        <f>'Expenditures 15-22'!E10</f>
        <v>181740</v>
      </c>
      <c r="D3057" s="2" t="str">
        <f t="shared" si="46"/>
        <v>Error?</v>
      </c>
    </row>
    <row r="3058" spans="1:4" x14ac:dyDescent="0.2">
      <c r="A3058" s="5">
        <v>2997</v>
      </c>
      <c r="B3058" s="138">
        <f>'Expenditures 15-22'!F10</f>
        <v>31436</v>
      </c>
      <c r="D3058" s="2" t="str">
        <f t="shared" si="46"/>
        <v>Error?</v>
      </c>
    </row>
    <row r="3059" spans="1:4" x14ac:dyDescent="0.2">
      <c r="A3059" s="5">
        <v>2998</v>
      </c>
      <c r="B3059" s="138">
        <f>'Expenditures 15-22'!G10</f>
        <v>10900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912564</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467489</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113562</v>
      </c>
      <c r="C3225" s="2" t="s">
        <v>594</v>
      </c>
      <c r="D3225" s="2" t="str">
        <f t="shared" si="49"/>
        <v>Error?</v>
      </c>
    </row>
    <row r="3226" spans="1:4" x14ac:dyDescent="0.2">
      <c r="A3226" s="5">
        <v>3165</v>
      </c>
      <c r="B3226" s="138">
        <f>'Acct Summary 7-8'!I8</f>
        <v>113562</v>
      </c>
      <c r="C3226" s="2" t="s">
        <v>594</v>
      </c>
      <c r="D3226" s="2" t="str">
        <f t="shared" si="49"/>
        <v>Error?</v>
      </c>
    </row>
    <row r="3227" spans="1:4" x14ac:dyDescent="0.2">
      <c r="A3227" s="5">
        <v>3166</v>
      </c>
      <c r="B3227" s="138">
        <f>'Acct Summary 7-8'!I20</f>
        <v>113562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1087022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105250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267780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25393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8190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91308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113562</v>
      </c>
      <c r="C3320" s="2" t="s">
        <v>594</v>
      </c>
      <c r="D3320" s="2" t="str">
        <f t="shared" si="50"/>
        <v>Error?</v>
      </c>
    </row>
    <row r="3321" spans="1:4" x14ac:dyDescent="0.2">
      <c r="A3321" s="5">
        <v>3260</v>
      </c>
      <c r="B3321" s="138">
        <f>'Acct Summary 7-8'!I79</f>
        <v>1159588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1273150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2569384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438775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6432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7696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430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3022717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95186</v>
      </c>
      <c r="D3387" s="2" t="str">
        <f t="shared" si="51"/>
        <v>Error?</v>
      </c>
    </row>
    <row r="3388" spans="1:4" x14ac:dyDescent="0.2">
      <c r="A3388" s="5">
        <v>3327</v>
      </c>
      <c r="B3388" s="138">
        <f>'Expenditures 15-22'!D217</f>
        <v>225722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95186</v>
      </c>
      <c r="C3390" s="2" t="s">
        <v>594</v>
      </c>
      <c r="D3390" s="2" t="str">
        <f t="shared" si="51"/>
        <v>Error?</v>
      </c>
    </row>
    <row r="3391" spans="1:4" x14ac:dyDescent="0.2">
      <c r="A3391" s="5">
        <v>3330</v>
      </c>
      <c r="B3391" s="138">
        <f>'Expenditures 15-22'!K217</f>
        <v>225722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5238845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623408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526433</v>
      </c>
      <c r="D3417" s="2" t="str">
        <f t="shared" si="52"/>
        <v>Error?</v>
      </c>
    </row>
    <row r="3418" spans="1:4" x14ac:dyDescent="0.2">
      <c r="A3418" s="10">
        <v>3357</v>
      </c>
      <c r="D3418" s="2" t="str">
        <f t="shared" si="52"/>
        <v>OK</v>
      </c>
    </row>
    <row r="3419" spans="1:4" x14ac:dyDescent="0.2">
      <c r="A3419" s="5">
        <v>3358</v>
      </c>
      <c r="B3419" s="138">
        <f>'Assets-Liab 5-6'!F4</f>
        <v>820863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663347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889202</v>
      </c>
      <c r="D3425" s="2" t="str">
        <f t="shared" si="52"/>
        <v>Error?</v>
      </c>
    </row>
    <row r="3426" spans="1:4" x14ac:dyDescent="0.2">
      <c r="A3426" s="10">
        <v>3365</v>
      </c>
      <c r="D3426" s="2" t="str">
        <f t="shared" si="52"/>
        <v>OK</v>
      </c>
    </row>
    <row r="3427" spans="1:4" x14ac:dyDescent="0.2">
      <c r="A3427" s="5">
        <v>3366</v>
      </c>
      <c r="B3427" s="138">
        <f>'Assets-Liab 5-6'!I4</f>
        <v>1273150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859293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405712</v>
      </c>
      <c r="C3446" s="2" t="s">
        <v>594</v>
      </c>
      <c r="D3446" s="2" t="str">
        <f t="shared" si="52"/>
        <v>Error?</v>
      </c>
    </row>
    <row r="3447" spans="1:4" x14ac:dyDescent="0.2">
      <c r="A3447" s="5">
        <v>3386</v>
      </c>
      <c r="B3447" s="138">
        <f>'Tax Sched 23'!D16</f>
        <v>205382</v>
      </c>
      <c r="C3447" s="2" t="s">
        <v>594</v>
      </c>
      <c r="D3447" s="2" t="str">
        <f t="shared" si="52"/>
        <v>Error?</v>
      </c>
    </row>
    <row r="3448" spans="1:4" x14ac:dyDescent="0.2">
      <c r="A3448" s="5">
        <v>3387</v>
      </c>
      <c r="B3448" s="138">
        <f>'Tax Sched 23'!C16</f>
        <v>200330</v>
      </c>
      <c r="D3448" s="2" t="str">
        <f t="shared" si="52"/>
        <v>Error?</v>
      </c>
    </row>
    <row r="3449" spans="1:4" x14ac:dyDescent="0.2">
      <c r="A3449" s="5">
        <v>3388</v>
      </c>
      <c r="B3449" s="138">
        <f>'Tax Sched 23'!F16</f>
        <v>159705</v>
      </c>
      <c r="C3449" s="2" t="s">
        <v>594</v>
      </c>
      <c r="D3449" s="2" t="str">
        <f t="shared" si="52"/>
        <v>Error?</v>
      </c>
    </row>
    <row r="3450" spans="1:4" x14ac:dyDescent="0.2">
      <c r="A3450" s="5">
        <v>3389</v>
      </c>
      <c r="B3450" s="138">
        <f>'Tax Sched 23'!E16</f>
        <v>360035</v>
      </c>
      <c r="D3450" s="2" t="str">
        <f t="shared" si="52"/>
        <v>Error?</v>
      </c>
    </row>
    <row r="3451" spans="1:4" x14ac:dyDescent="0.2">
      <c r="A3451" s="5">
        <v>3390</v>
      </c>
      <c r="B3451" s="138">
        <f>'Cap Outlay Deprec 26'!C15</f>
        <v>449711</v>
      </c>
      <c r="D3451" s="2" t="str">
        <f t="shared" si="52"/>
        <v>Error?</v>
      </c>
    </row>
    <row r="3452" spans="1:4" x14ac:dyDescent="0.2">
      <c r="A3452" s="5">
        <v>3391</v>
      </c>
      <c r="B3452" s="138">
        <f>'Cap Outlay Deprec 26'!D15</f>
        <v>544772</v>
      </c>
      <c r="D3452" s="2" t="str">
        <f t="shared" si="52"/>
        <v>Error?</v>
      </c>
    </row>
    <row r="3453" spans="1:4" x14ac:dyDescent="0.2">
      <c r="A3453" s="5">
        <v>3392</v>
      </c>
      <c r="B3453" s="138">
        <f>'Cap Outlay Deprec 26'!E15</f>
        <v>449711</v>
      </c>
      <c r="D3453" s="2" t="str">
        <f t="shared" si="52"/>
        <v>Error?</v>
      </c>
    </row>
    <row r="3454" spans="1:4" x14ac:dyDescent="0.2">
      <c r="A3454" s="5">
        <v>3393</v>
      </c>
      <c r="B3454" s="138">
        <f>'Cap Outlay Deprec 26'!F15</f>
        <v>544772</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544772</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3070009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3070009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3070009</v>
      </c>
      <c r="D3567" s="2" t="str">
        <f t="shared" si="54"/>
        <v>Error?</v>
      </c>
    </row>
    <row r="3568" spans="1:4" x14ac:dyDescent="0.2">
      <c r="A3568" s="5">
        <v>3507</v>
      </c>
      <c r="B3568" s="138">
        <f>'Assets-Liab 5-6'!K41</f>
        <v>3070009</v>
      </c>
      <c r="C3568" s="2" t="s">
        <v>594</v>
      </c>
      <c r="D3568" s="2" t="str">
        <f t="shared" si="54"/>
        <v>Error?</v>
      </c>
    </row>
    <row r="3569" spans="1:4" x14ac:dyDescent="0.2">
      <c r="A3569" s="5">
        <v>3508</v>
      </c>
      <c r="B3569" s="138">
        <f>'Acct Summary 7-8'!K4</f>
        <v>129877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129877</v>
      </c>
      <c r="C3571" s="2" t="s">
        <v>594</v>
      </c>
      <c r="D3571" s="2" t="str">
        <f t="shared" si="54"/>
        <v>Error?</v>
      </c>
    </row>
    <row r="3572" spans="1:4" x14ac:dyDescent="0.2">
      <c r="A3572" s="5">
        <v>3511</v>
      </c>
      <c r="B3572" s="138">
        <f>'Acct Summary 7-8'!K13</f>
        <v>1625795</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1625795</v>
      </c>
      <c r="C3575" s="2" t="s">
        <v>594</v>
      </c>
      <c r="D3575" s="2" t="str">
        <f t="shared" si="54"/>
        <v>Error?</v>
      </c>
    </row>
    <row r="3576" spans="1:4" x14ac:dyDescent="0.2">
      <c r="A3576" s="5">
        <v>3515</v>
      </c>
      <c r="B3576" s="138">
        <f>'Acct Summary 7-8'!K20</f>
        <v>-1495918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-1495918</v>
      </c>
      <c r="C3588" s="2" t="s">
        <v>594</v>
      </c>
      <c r="D3588" s="2" t="str">
        <f t="shared" si="55"/>
        <v>Error?</v>
      </c>
    </row>
    <row r="3589" spans="1:4" x14ac:dyDescent="0.2">
      <c r="A3589" s="5">
        <v>3528</v>
      </c>
      <c r="B3589" s="138">
        <f>'Acct Summary 7-8'!K79</f>
        <v>4565927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3070009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46116</v>
      </c>
      <c r="D3618" s="2" t="str">
        <f t="shared" si="55"/>
        <v>Error?</v>
      </c>
    </row>
    <row r="3619" spans="1:4" x14ac:dyDescent="0.2">
      <c r="A3619" s="5">
        <v>3558</v>
      </c>
      <c r="B3619" s="138">
        <f>'Expenditures 15-22'!C350</f>
        <v>46116</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46116</v>
      </c>
      <c r="C3621" s="2" t="s">
        <v>594</v>
      </c>
      <c r="D3621" s="2" t="str">
        <f t="shared" si="55"/>
        <v>Error?</v>
      </c>
    </row>
    <row r="3622" spans="1:4" x14ac:dyDescent="0.2">
      <c r="A3622" s="5">
        <v>3561</v>
      </c>
      <c r="B3622" s="138">
        <f>'Expenditures 15-22'!C367</f>
        <v>46116</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4033</v>
      </c>
      <c r="D3625" s="2" t="str">
        <f t="shared" si="55"/>
        <v>Error?</v>
      </c>
    </row>
    <row r="3626" spans="1:4" x14ac:dyDescent="0.2">
      <c r="A3626" s="5">
        <v>3565</v>
      </c>
      <c r="B3626" s="138">
        <f>'Expenditures 15-22'!D350</f>
        <v>4033</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4033</v>
      </c>
      <c r="C3628" s="2" t="s">
        <v>594</v>
      </c>
      <c r="D3628" s="2" t="str">
        <f t="shared" si="55"/>
        <v>Error?</v>
      </c>
    </row>
    <row r="3629" spans="1:4" x14ac:dyDescent="0.2">
      <c r="A3629" s="5">
        <v>3568</v>
      </c>
      <c r="B3629" s="138">
        <f>'Expenditures 15-22'!D367</f>
        <v>4033</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1558459</v>
      </c>
      <c r="D3632" s="2" t="str">
        <f t="shared" si="55"/>
        <v>Error?</v>
      </c>
    </row>
    <row r="3633" spans="1:4" x14ac:dyDescent="0.2">
      <c r="A3633" s="5">
        <v>3572</v>
      </c>
      <c r="B3633" s="138">
        <f>'Expenditures 15-22'!E350</f>
        <v>1558459</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1558459</v>
      </c>
      <c r="C3635" s="2" t="s">
        <v>594</v>
      </c>
      <c r="D3635" s="2" t="str">
        <f t="shared" si="55"/>
        <v>Error?</v>
      </c>
    </row>
    <row r="3636" spans="1:4" x14ac:dyDescent="0.2">
      <c r="A3636" s="5">
        <v>3575</v>
      </c>
      <c r="B3636" s="138">
        <f>'Expenditures 15-22'!E367</f>
        <v>1558459</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15553</v>
      </c>
      <c r="D3639" s="2" t="str">
        <f t="shared" si="55"/>
        <v>Error?</v>
      </c>
    </row>
    <row r="3640" spans="1:4" x14ac:dyDescent="0.2">
      <c r="A3640" s="5">
        <v>3579</v>
      </c>
      <c r="B3640" s="138">
        <f>'Expenditures 15-22'!F350</f>
        <v>15553</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15553</v>
      </c>
      <c r="C3642" s="2" t="s">
        <v>594</v>
      </c>
      <c r="D3642" s="2" t="str">
        <f t="shared" si="55"/>
        <v>Error?</v>
      </c>
    </row>
    <row r="3643" spans="1:4" x14ac:dyDescent="0.2">
      <c r="A3643" s="5">
        <v>3582</v>
      </c>
      <c r="B3643" s="138">
        <f>'Expenditures 15-22'!F367</f>
        <v>15553</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1634</v>
      </c>
      <c r="D3646" s="2" t="str">
        <f t="shared" si="55"/>
        <v>Error?</v>
      </c>
    </row>
    <row r="3647" spans="1:4" x14ac:dyDescent="0.2">
      <c r="A3647" s="5">
        <v>3586</v>
      </c>
      <c r="B3647" s="138">
        <f>'Expenditures 15-22'!G350</f>
        <v>1634</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1634</v>
      </c>
      <c r="C3649" s="2" t="s">
        <v>594</v>
      </c>
      <c r="D3649" s="2" t="str">
        <f t="shared" si="56"/>
        <v>Error?</v>
      </c>
    </row>
    <row r="3650" spans="1:4" x14ac:dyDescent="0.2">
      <c r="A3650" s="5">
        <v>3589</v>
      </c>
      <c r="B3650" s="138">
        <f>'Expenditures 15-22'!G367</f>
        <v>1634</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1625795</v>
      </c>
      <c r="C3669" s="2" t="s">
        <v>594</v>
      </c>
      <c r="D3669" s="2" t="str">
        <f t="shared" si="56"/>
        <v>Error?</v>
      </c>
    </row>
    <row r="3670" spans="1:4" x14ac:dyDescent="0.2">
      <c r="A3670" s="5">
        <v>3609</v>
      </c>
      <c r="B3670" s="138">
        <f>'Expenditures 15-22'!K350</f>
        <v>1625795</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1625795</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1625795</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-1495918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105340</v>
      </c>
      <c r="C3725" s="2" t="s">
        <v>594</v>
      </c>
      <c r="D3725" s="2" t="str">
        <f t="shared" si="57"/>
        <v>Error?</v>
      </c>
    </row>
    <row r="3726" spans="1:4" x14ac:dyDescent="0.2">
      <c r="A3726" s="5">
        <v>3665</v>
      </c>
      <c r="B3726" s="138">
        <f>'Tax Sched 23'!D13</f>
        <v>45519</v>
      </c>
      <c r="C3726" s="2" t="s">
        <v>594</v>
      </c>
      <c r="D3726" s="2" t="str">
        <f t="shared" si="57"/>
        <v>Error?</v>
      </c>
    </row>
    <row r="3727" spans="1:4" x14ac:dyDescent="0.2">
      <c r="A3727" s="5">
        <v>3666</v>
      </c>
      <c r="B3727" s="138">
        <f>'Tax Sched 23'!C13</f>
        <v>59821</v>
      </c>
      <c r="D3727" s="2" t="str">
        <f t="shared" si="57"/>
        <v>Error?</v>
      </c>
    </row>
    <row r="3728" spans="1:4" x14ac:dyDescent="0.2">
      <c r="A3728" s="5">
        <v>3667</v>
      </c>
      <c r="B3728" s="138">
        <f>'Tax Sched 23'!F13</f>
        <v>47694</v>
      </c>
      <c r="C3728" s="2" t="s">
        <v>594</v>
      </c>
      <c r="D3728" s="2" t="str">
        <f t="shared" si="57"/>
        <v>Error?</v>
      </c>
    </row>
    <row r="3729" spans="1:4" x14ac:dyDescent="0.2">
      <c r="A3729" s="5">
        <v>3668</v>
      </c>
      <c r="B3729" s="138">
        <f>'Tax Sched 23'!E13</f>
        <v>107515</v>
      </c>
      <c r="D3729" s="2" t="str">
        <f t="shared" si="57"/>
        <v>Error?</v>
      </c>
    </row>
    <row r="3730" spans="1:4" x14ac:dyDescent="0.2">
      <c r="A3730" s="5">
        <v>3669</v>
      </c>
      <c r="B3730" s="138">
        <f>'ICR Computation 30'!E10</f>
        <v>654399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1153231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20101875</v>
      </c>
      <c r="C4122" s="2" t="s">
        <v>594</v>
      </c>
      <c r="D4122" s="2" t="str">
        <f t="shared" si="63"/>
        <v>Error?</v>
      </c>
    </row>
    <row r="4123" spans="1:4" x14ac:dyDescent="0.2">
      <c r="A4123" s="5">
        <v>4062</v>
      </c>
      <c r="B4123" s="138">
        <f>'Acct Summary 7-8'!D10</f>
        <v>1879474</v>
      </c>
      <c r="C4123" s="2" t="s">
        <v>594</v>
      </c>
      <c r="D4123" s="2" t="str">
        <f t="shared" si="63"/>
        <v>Error?</v>
      </c>
    </row>
    <row r="4124" spans="1:4" x14ac:dyDescent="0.2">
      <c r="A4124" s="5">
        <v>4063</v>
      </c>
      <c r="B4124" s="138">
        <f>'Acct Summary 7-8'!E10</f>
        <v>1115755</v>
      </c>
      <c r="C4124" s="2" t="s">
        <v>594</v>
      </c>
      <c r="D4124" s="2" t="str">
        <f t="shared" si="63"/>
        <v>Error?</v>
      </c>
    </row>
    <row r="4125" spans="1:4" x14ac:dyDescent="0.2">
      <c r="A4125" s="5">
        <v>4064</v>
      </c>
      <c r="B4125" s="138">
        <f>'Acct Summary 7-8'!F10</f>
        <v>1344387</v>
      </c>
      <c r="C4125" s="2" t="s">
        <v>594</v>
      </c>
      <c r="D4125" s="2" t="str">
        <f t="shared" si="63"/>
        <v>Error?</v>
      </c>
    </row>
    <row r="4126" spans="1:4" x14ac:dyDescent="0.2">
      <c r="A4126" s="5">
        <v>4065</v>
      </c>
      <c r="B4126" s="138">
        <f>'Acct Summary 7-8'!G10</f>
        <v>908481</v>
      </c>
      <c r="C4126" s="2" t="s">
        <v>594</v>
      </c>
      <c r="D4126" s="2" t="str">
        <f t="shared" si="63"/>
        <v>Error?</v>
      </c>
    </row>
    <row r="4127" spans="1:4" x14ac:dyDescent="0.2">
      <c r="A4127" s="5">
        <v>4066</v>
      </c>
      <c r="B4127" s="138">
        <f>'Acct Summary 7-8'!H10</f>
        <v>1034899</v>
      </c>
      <c r="C4127" s="2" t="s">
        <v>594</v>
      </c>
      <c r="D4127" s="2" t="str">
        <f t="shared" si="63"/>
        <v>Error?</v>
      </c>
    </row>
    <row r="4128" spans="1:4" x14ac:dyDescent="0.2">
      <c r="A4128" s="5">
        <v>4067</v>
      </c>
      <c r="B4128" s="138">
        <f>'Acct Summary 7-8'!I10</f>
        <v>113562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129877</v>
      </c>
      <c r="C4130" s="2" t="s">
        <v>594</v>
      </c>
      <c r="D4130" s="2" t="str">
        <f t="shared" si="63"/>
        <v>Error?</v>
      </c>
    </row>
    <row r="4131" spans="1:4" x14ac:dyDescent="0.2">
      <c r="A4131" s="5">
        <v>4070</v>
      </c>
      <c r="B4131" s="138">
        <f>'Acct Summary 7-8'!C18</f>
        <v>1153231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19014853</v>
      </c>
      <c r="C4136" s="2" t="s">
        <v>594</v>
      </c>
      <c r="D4136" s="2" t="str">
        <f t="shared" si="63"/>
        <v>Error?</v>
      </c>
    </row>
    <row r="4137" spans="1:4" x14ac:dyDescent="0.2">
      <c r="A4137" s="5">
        <v>4076</v>
      </c>
      <c r="B4137" s="138">
        <f>'Acct Summary 7-8'!D19</f>
        <v>1774224</v>
      </c>
      <c r="C4137" s="2" t="s">
        <v>594</v>
      </c>
      <c r="D4137" s="2" t="str">
        <f t="shared" si="63"/>
        <v>Error?</v>
      </c>
    </row>
    <row r="4138" spans="1:4" x14ac:dyDescent="0.2">
      <c r="A4138" s="5">
        <v>4077</v>
      </c>
      <c r="B4138" s="138">
        <f>'Acct Summary 7-8'!E19</f>
        <v>1107565</v>
      </c>
      <c r="C4138" s="2" t="s">
        <v>594</v>
      </c>
      <c r="D4138" s="2" t="str">
        <f t="shared" si="63"/>
        <v>Error?</v>
      </c>
    </row>
    <row r="4139" spans="1:4" x14ac:dyDescent="0.2">
      <c r="A4139" s="5">
        <v>4078</v>
      </c>
      <c r="B4139" s="138">
        <f>'Acct Summary 7-8'!F19</f>
        <v>1076607</v>
      </c>
      <c r="C4139" s="2" t="s">
        <v>594</v>
      </c>
      <c r="D4139" s="2" t="str">
        <f t="shared" si="63"/>
        <v>Error?</v>
      </c>
    </row>
    <row r="4140" spans="1:4" x14ac:dyDescent="0.2">
      <c r="A4140" s="5">
        <v>4079</v>
      </c>
      <c r="B4140" s="138">
        <f>'Acct Summary 7-8'!G19</f>
        <v>883088</v>
      </c>
      <c r="C4140" s="2" t="s">
        <v>594</v>
      </c>
      <c r="D4140" s="2" t="str">
        <f t="shared" si="63"/>
        <v>Error?</v>
      </c>
    </row>
    <row r="4141" spans="1:4" x14ac:dyDescent="0.2">
      <c r="A4141" s="5">
        <v>4080</v>
      </c>
      <c r="B4141" s="138">
        <f>'Acct Summary 7-8'!H19</f>
        <v>943591</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1625795</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8538719</v>
      </c>
      <c r="C4171" s="2" t="s">
        <v>594</v>
      </c>
      <c r="D4171" s="2" t="str">
        <f t="shared" si="64"/>
        <v>Error?</v>
      </c>
    </row>
    <row r="4172" spans="1:4" x14ac:dyDescent="0.2">
      <c r="A4172" s="5">
        <v>4111</v>
      </c>
      <c r="B4172" s="138">
        <f>'Short-Term Long-Term Debt 24'!J49</f>
        <v>8012286</v>
      </c>
      <c r="C4172" s="2" t="s">
        <v>594</v>
      </c>
      <c r="D4172" s="2" t="str">
        <f t="shared" si="64"/>
        <v>Error?</v>
      </c>
    </row>
    <row r="4173" spans="1:4" x14ac:dyDescent="0.2">
      <c r="A4173" s="5">
        <v>4112</v>
      </c>
      <c r="B4173" s="138">
        <f>'Short-Term Long-Term Debt 24'!H49</f>
        <v>822358</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1833.3</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199.6</v>
      </c>
      <c r="C4267" s="2" t="s">
        <v>594</v>
      </c>
      <c r="D4267" s="2" t="str">
        <f t="shared" si="65"/>
        <v>Error?</v>
      </c>
      <c r="E4267" s="128"/>
    </row>
    <row r="4268" spans="1:5" x14ac:dyDescent="0.2">
      <c r="A4268" s="12">
        <v>4207</v>
      </c>
      <c r="B4268" s="138">
        <f>('FP Info 3'!J10)*100000</f>
        <v>2533</v>
      </c>
      <c r="C4268" s="2" t="s">
        <v>594</v>
      </c>
      <c r="D4268" s="2" t="str">
        <f t="shared" si="65"/>
        <v>Error?</v>
      </c>
    </row>
    <row r="4269" spans="1:5" x14ac:dyDescent="0.2">
      <c r="A4269" s="12">
        <v>4208</v>
      </c>
      <c r="B4269" s="138">
        <f>'FP Info 3'!J16</f>
        <v>12751321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28504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175477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34544</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34544</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4019</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132415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3409</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4999</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215460625</v>
      </c>
      <c r="D4995" s="2" t="str">
        <f t="shared" si="77"/>
        <v>Error?</v>
      </c>
    </row>
    <row r="4996" spans="1:4" x14ac:dyDescent="0.2">
      <c r="A4996" s="12">
        <v>4935</v>
      </c>
      <c r="B4996" s="138">
        <f>'FP Info 3'!H31</f>
        <v>29733566.250000004</v>
      </c>
      <c r="D4996" s="2" t="str">
        <f t="shared" si="77"/>
        <v>Error?</v>
      </c>
    </row>
    <row r="4997" spans="1:4" x14ac:dyDescent="0.2">
      <c r="A4997" s="12">
        <v>4936</v>
      </c>
      <c r="B4997" s="138">
        <f>'FP Info 3'!H37</f>
        <v>8538719</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105340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3872951</v>
      </c>
      <c r="D5061" s="2" t="str">
        <f t="shared" si="78"/>
        <v>Error?</v>
      </c>
    </row>
    <row r="5062" spans="1:4" x14ac:dyDescent="0.2">
      <c r="A5062" s="10">
        <v>5001</v>
      </c>
      <c r="D5062" s="2" t="str">
        <f t="shared" si="78"/>
        <v>OK</v>
      </c>
    </row>
    <row r="5063" spans="1:4" x14ac:dyDescent="0.2">
      <c r="A5063" s="5">
        <v>5002</v>
      </c>
      <c r="B5063" s="138">
        <f>'Revenues 9-14'!C7</f>
        <v>84370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4062661</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2315941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2315941</v>
      </c>
      <c r="C5071" s="2" t="s">
        <v>594</v>
      </c>
      <c r="D5071" s="2" t="str">
        <f t="shared" si="78"/>
        <v>Error?</v>
      </c>
    </row>
    <row r="5072" spans="1:4" x14ac:dyDescent="0.2">
      <c r="A5072" s="5">
        <v>5011</v>
      </c>
      <c r="B5072" s="138">
        <f>'Revenues 9-14'!C20</f>
        <v>22554</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74828</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97382</v>
      </c>
      <c r="C5087" s="2" t="s">
        <v>594</v>
      </c>
      <c r="D5087" s="2" t="str">
        <f t="shared" si="78"/>
        <v>Error?</v>
      </c>
    </row>
    <row r="5088" spans="1:4" x14ac:dyDescent="0.2">
      <c r="A5088" s="5">
        <v>5027</v>
      </c>
      <c r="B5088" s="138">
        <f>'Revenues 9-14'!C65</f>
        <v>64117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64117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26893</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6063</v>
      </c>
      <c r="D5094" s="2" t="str">
        <f t="shared" si="78"/>
        <v>Error?</v>
      </c>
    </row>
    <row r="5095" spans="1:4" x14ac:dyDescent="0.2">
      <c r="A5095" s="5">
        <v>5034</v>
      </c>
      <c r="B5095" s="138">
        <f>'Revenues 9-14'!C74</f>
        <v>29997</v>
      </c>
      <c r="D5095" s="2" t="str">
        <f t="shared" si="78"/>
        <v>Error?</v>
      </c>
    </row>
    <row r="5096" spans="1:4" x14ac:dyDescent="0.2">
      <c r="A5096" s="5">
        <v>5035</v>
      </c>
      <c r="B5096" s="138">
        <f>'Revenues 9-14'!C75</f>
        <v>214060</v>
      </c>
      <c r="C5096" s="2" t="s">
        <v>594</v>
      </c>
      <c r="D5096" s="2" t="str">
        <f t="shared" si="78"/>
        <v>Error?</v>
      </c>
    </row>
    <row r="5097" spans="1:4" x14ac:dyDescent="0.2">
      <c r="A5097" s="5">
        <v>5036</v>
      </c>
      <c r="B5097" s="138">
        <f>'Revenues 9-14'!C77</f>
        <v>125514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27715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2300</v>
      </c>
      <c r="D5101" s="2" t="str">
        <f t="shared" si="78"/>
        <v>Error?</v>
      </c>
    </row>
    <row r="5102" spans="1:4" x14ac:dyDescent="0.2">
      <c r="A5102" s="5">
        <v>5041</v>
      </c>
      <c r="B5102" s="138">
        <f>'Revenues 9-14'!C82</f>
        <v>155529</v>
      </c>
      <c r="C5102" s="2" t="s">
        <v>594</v>
      </c>
      <c r="D5102" s="2" t="str">
        <f t="shared" si="78"/>
        <v>Error?</v>
      </c>
    </row>
    <row r="5103" spans="1:4" x14ac:dyDescent="0.2">
      <c r="A5103" s="5">
        <v>5042</v>
      </c>
      <c r="B5103" s="138">
        <f>'Revenues 9-14'!C84</f>
        <v>134018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4392</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138410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342534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21939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37324</v>
      </c>
      <c r="D5119" s="2" t="str">
        <f t="shared" ref="D5119:D5182" si="79">IF(ISBLANK(B5119),"OK",IF(A5119-B5119=0,"OK","Error?"))</f>
        <v>Error?</v>
      </c>
    </row>
    <row r="5120" spans="1:4" x14ac:dyDescent="0.2">
      <c r="A5120" s="5">
        <v>5059</v>
      </c>
      <c r="B5120" s="138">
        <f>'Revenues 9-14'!C108</f>
        <v>413087</v>
      </c>
      <c r="C5120" s="2" t="s">
        <v>594</v>
      </c>
      <c r="D5120" s="2" t="str">
        <f t="shared" si="79"/>
        <v>Error?</v>
      </c>
    </row>
    <row r="5121" spans="1:4" x14ac:dyDescent="0.2">
      <c r="A5121" s="5">
        <v>5060</v>
      </c>
      <c r="B5121" s="138">
        <f>'Revenues 9-14'!C109</f>
        <v>7461187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8480315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8480315</v>
      </c>
      <c r="C5132" s="2" t="s">
        <v>594</v>
      </c>
      <c r="D5132" s="2" t="str">
        <f t="shared" si="79"/>
        <v>Error?</v>
      </c>
    </row>
    <row r="5133" spans="1:4" x14ac:dyDescent="0.2">
      <c r="A5133" s="5">
        <v>5072</v>
      </c>
      <c r="B5133" s="138">
        <f>'Revenues 9-14'!C124</f>
        <v>91957</v>
      </c>
      <c r="D5133" s="2" t="str">
        <f t="shared" si="79"/>
        <v>Error?</v>
      </c>
    </row>
    <row r="5134" spans="1:4" x14ac:dyDescent="0.2">
      <c r="A5134" s="5">
        <v>5073</v>
      </c>
      <c r="B5134" s="138">
        <f>'Revenues 9-14'!C125</f>
        <v>171832</v>
      </c>
      <c r="D5134" s="2" t="str">
        <f t="shared" si="79"/>
        <v>Error?</v>
      </c>
    </row>
    <row r="5135" spans="1:4" x14ac:dyDescent="0.2">
      <c r="A5135" s="5">
        <v>5074</v>
      </c>
      <c r="B5135" s="138">
        <f>'Revenues 9-14'!C126</f>
        <v>236918</v>
      </c>
      <c r="D5135" s="2" t="str">
        <f t="shared" si="79"/>
        <v>Error?</v>
      </c>
    </row>
    <row r="5136" spans="1:4" x14ac:dyDescent="0.2">
      <c r="A5136" s="10">
        <v>5075</v>
      </c>
      <c r="D5136" s="2" t="str">
        <f t="shared" si="79"/>
        <v>OK</v>
      </c>
    </row>
    <row r="5137" spans="1:4" x14ac:dyDescent="0.2">
      <c r="A5137" s="5">
        <v>5076</v>
      </c>
      <c r="B5137" s="138">
        <f>'Revenues 9-14'!C127</f>
        <v>276399</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3177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780283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25937</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27895</v>
      </c>
      <c r="C5161" s="2" t="s">
        <v>594</v>
      </c>
      <c r="D5161" s="2" t="str">
        <f t="shared" si="79"/>
        <v>Error?</v>
      </c>
    </row>
    <row r="5162" spans="1:4" x14ac:dyDescent="0.2">
      <c r="A5162" s="10">
        <v>5101</v>
      </c>
      <c r="D5162" s="2" t="str">
        <f t="shared" si="79"/>
        <v>OK</v>
      </c>
    </row>
    <row r="5163" spans="1:4" x14ac:dyDescent="0.2">
      <c r="A5163" s="5">
        <v>5102</v>
      </c>
      <c r="B5163" s="138">
        <f>'Revenues 9-14'!C142</f>
        <v>3552</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3552</v>
      </c>
      <c r="C5165" s="2" t="s">
        <v>594</v>
      </c>
      <c r="D5165" s="2" t="str">
        <f t="shared" si="79"/>
        <v>Error?</v>
      </c>
    </row>
    <row r="5166" spans="1:4" x14ac:dyDescent="0.2">
      <c r="A5166" s="10">
        <v>5105</v>
      </c>
      <c r="D5166" s="2" t="str">
        <f t="shared" si="79"/>
        <v>OK</v>
      </c>
    </row>
    <row r="5167" spans="1:4" x14ac:dyDescent="0.2">
      <c r="A5167" s="5">
        <v>5106</v>
      </c>
      <c r="B5167" s="138">
        <f>'Revenues 9-14'!C145</f>
        <v>9846</v>
      </c>
      <c r="D5167" s="2" t="str">
        <f t="shared" si="79"/>
        <v>Error?</v>
      </c>
    </row>
    <row r="5168" spans="1:4" x14ac:dyDescent="0.2">
      <c r="A5168" s="5">
        <v>5107</v>
      </c>
      <c r="B5168" s="138">
        <f>'Revenues 9-14'!C147</f>
        <v>34863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313988</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1173836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9654151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508644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140483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5272</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654399</v>
      </c>
      <c r="C5246" s="2" t="s">
        <v>594</v>
      </c>
      <c r="D5246" s="2" t="str">
        <f t="shared" si="80"/>
        <v>Error?</v>
      </c>
    </row>
    <row r="5247" spans="1:4" x14ac:dyDescent="0.2">
      <c r="A5247" s="5">
        <v>5186</v>
      </c>
      <c r="B5247" s="138">
        <f>'Revenues 9-14'!C203</f>
        <v>604121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4019</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604121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146868</v>
      </c>
      <c r="D5278" s="2" t="str">
        <f t="shared" si="81"/>
        <v>Error?</v>
      </c>
    </row>
    <row r="5279" spans="1:4" x14ac:dyDescent="0.2">
      <c r="A5279" s="5">
        <v>5218</v>
      </c>
      <c r="B5279" s="138">
        <f>'Revenues 9-14'!C221</f>
        <v>47960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194828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1833306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1833306</v>
      </c>
      <c r="C5326" s="2" t="s">
        <v>594</v>
      </c>
      <c r="D5326" s="2" t="str">
        <f t="shared" si="82"/>
        <v>Error?</v>
      </c>
    </row>
    <row r="5327" spans="1:4" x14ac:dyDescent="0.2">
      <c r="A5327" s="5">
        <v>5266</v>
      </c>
      <c r="B5327" s="138">
        <f>'Revenues 9-14'!C275</f>
        <v>18948644</v>
      </c>
      <c r="C5327" s="2" t="s">
        <v>594</v>
      </c>
      <c r="D5327" s="2" t="str">
        <f t="shared" si="82"/>
        <v>Error?</v>
      </c>
    </row>
    <row r="5328" spans="1:4" x14ac:dyDescent="0.2">
      <c r="A5328" s="5">
        <v>5267</v>
      </c>
      <c r="B5328" s="138">
        <f>'Revenues 9-14'!D5</f>
        <v>1054617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1054617</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700000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700000</v>
      </c>
      <c r="C5339" s="2" t="s">
        <v>594</v>
      </c>
      <c r="D5339" s="2" t="str">
        <f t="shared" si="82"/>
        <v>Error?</v>
      </c>
    </row>
    <row r="5340" spans="1:4" x14ac:dyDescent="0.2">
      <c r="A5340" s="5">
        <v>5279</v>
      </c>
      <c r="B5340" s="138">
        <f>'Revenues 9-14'!D65</f>
        <v>3158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3158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55490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66209</v>
      </c>
      <c r="D5354" s="2" t="str">
        <f t="shared" si="82"/>
        <v>Error?</v>
      </c>
    </row>
    <row r="5355" spans="1:4" x14ac:dyDescent="0.2">
      <c r="A5355" s="5">
        <v>5294</v>
      </c>
      <c r="B5355" s="138">
        <f>'Revenues 9-14'!D108</f>
        <v>121699</v>
      </c>
      <c r="C5355" s="2" t="s">
        <v>594</v>
      </c>
      <c r="D5355" s="2" t="str">
        <f t="shared" si="82"/>
        <v>Error?</v>
      </c>
    </row>
    <row r="5356" spans="1:4" x14ac:dyDescent="0.2">
      <c r="A5356" s="5">
        <v>5295</v>
      </c>
      <c r="B5356" s="138">
        <f>'Revenues 9-14'!D109</f>
        <v>1879474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1879474</v>
      </c>
      <c r="C5508" s="2" t="s">
        <v>594</v>
      </c>
      <c r="D5508" s="2" t="str">
        <f t="shared" si="85"/>
        <v>Error?</v>
      </c>
    </row>
    <row r="5509" spans="1:4" x14ac:dyDescent="0.2">
      <c r="A5509" s="5">
        <v>5448</v>
      </c>
      <c r="B5509" s="138">
        <f>'Revenues 9-14'!E5</f>
        <v>790895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790895</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2259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2259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72601</v>
      </c>
      <c r="D5525" s="2" t="str">
        <f t="shared" si="85"/>
        <v>Error?</v>
      </c>
    </row>
    <row r="5526" spans="1:4" x14ac:dyDescent="0.2">
      <c r="A5526" s="5">
        <v>5465</v>
      </c>
      <c r="B5526" s="138">
        <f>'Revenues 9-14'!E108</f>
        <v>322601</v>
      </c>
      <c r="C5526" s="2" t="s">
        <v>594</v>
      </c>
      <c r="D5526" s="2" t="str">
        <f t="shared" si="85"/>
        <v>Error?</v>
      </c>
    </row>
    <row r="5527" spans="1:4" x14ac:dyDescent="0.2">
      <c r="A5527" s="5">
        <v>5466</v>
      </c>
      <c r="B5527" s="138">
        <f>'Revenues 9-14'!E109</f>
        <v>1115755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1115755</v>
      </c>
      <c r="C5552" s="2" t="s">
        <v>594</v>
      </c>
      <c r="D5552" s="2" t="str">
        <f t="shared" si="85"/>
        <v>Error?</v>
      </c>
    </row>
    <row r="5553" spans="1:4" x14ac:dyDescent="0.2">
      <c r="A5553" s="5">
        <v>5492</v>
      </c>
      <c r="B5553" s="138">
        <f>'Revenues 9-14'!F5</f>
        <v>421367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421367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3852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3852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143524</v>
      </c>
      <c r="D5586" s="2" t="str">
        <f t="shared" si="86"/>
        <v>Error?</v>
      </c>
    </row>
    <row r="5587" spans="1:4" x14ac:dyDescent="0.2">
      <c r="A5587" s="5">
        <v>5526</v>
      </c>
      <c r="B5587" s="138">
        <f>'Revenues 9-14'!F108</f>
        <v>143524</v>
      </c>
      <c r="C5587" s="2" t="s">
        <v>594</v>
      </c>
      <c r="D5587" s="2" t="str">
        <f t="shared" si="86"/>
        <v>Error?</v>
      </c>
    </row>
    <row r="5588" spans="1:4" x14ac:dyDescent="0.2">
      <c r="A5588" s="5">
        <v>5527</v>
      </c>
      <c r="B5588" s="138">
        <f>'Revenues 9-14'!F109</f>
        <v>568743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3245</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3245</v>
      </c>
      <c r="C5614" s="2" t="s">
        <v>594</v>
      </c>
      <c r="D5614" s="2" t="str">
        <f t="shared" si="86"/>
        <v>Error?</v>
      </c>
    </row>
    <row r="5615" spans="1:4" x14ac:dyDescent="0.2">
      <c r="A5615" s="5">
        <v>5554</v>
      </c>
      <c r="B5615" s="138">
        <f>'Revenues 9-14'!F151</f>
        <v>329170</v>
      </c>
      <c r="D5615" s="2" t="str">
        <f t="shared" si="86"/>
        <v>Error?</v>
      </c>
    </row>
    <row r="5616" spans="1:4" x14ac:dyDescent="0.2">
      <c r="A5616" s="10">
        <v>5555</v>
      </c>
      <c r="D5616" s="2" t="str">
        <f t="shared" si="86"/>
        <v>OK</v>
      </c>
    </row>
    <row r="5617" spans="1:4" x14ac:dyDescent="0.2">
      <c r="A5617" s="5">
        <v>5556</v>
      </c>
      <c r="B5617" s="138">
        <f>'Revenues 9-14'!F152</f>
        <v>443229</v>
      </c>
      <c r="D5617" s="2" t="str">
        <f t="shared" si="86"/>
        <v>Error?</v>
      </c>
    </row>
    <row r="5618" spans="1:4" x14ac:dyDescent="0.2">
      <c r="A5618" s="5">
        <v>5557</v>
      </c>
      <c r="B5618" s="138">
        <f>'Revenues 9-14'!F154</f>
        <v>772399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775644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775644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1344387</v>
      </c>
      <c r="C5720" s="2" t="s">
        <v>594</v>
      </c>
      <c r="D5720" s="2" t="str">
        <f t="shared" si="88"/>
        <v>Error?</v>
      </c>
    </row>
    <row r="5721" spans="1:4" x14ac:dyDescent="0.2">
      <c r="A5721" s="5">
        <v>5660</v>
      </c>
      <c r="B5721" s="138">
        <f>'Revenues 9-14'!G5</f>
        <v>268360</v>
      </c>
      <c r="D5721" s="2" t="str">
        <f t="shared" si="88"/>
        <v>Error?</v>
      </c>
    </row>
    <row r="5722" spans="1:4" x14ac:dyDescent="0.2">
      <c r="A5722" s="5">
        <v>5661</v>
      </c>
      <c r="B5722" s="138">
        <f>'Revenues 9-14'!G7</f>
        <v>0</v>
      </c>
      <c r="D5722" s="2" t="str">
        <f t="shared" si="88"/>
        <v>Error?</v>
      </c>
    </row>
    <row r="5723" spans="1:4" x14ac:dyDescent="0.2">
      <c r="A5723" s="5">
        <v>5662</v>
      </c>
      <c r="B5723" s="138">
        <f>'Revenues 9-14'!G8</f>
        <v>405712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674072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230000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230000</v>
      </c>
      <c r="C5730" s="2" t="s">
        <v>594</v>
      </c>
      <c r="D5730" s="2" t="str">
        <f t="shared" si="88"/>
        <v>Error?</v>
      </c>
    </row>
    <row r="5731" spans="1:4" x14ac:dyDescent="0.2">
      <c r="A5731" s="5">
        <v>5670</v>
      </c>
      <c r="B5731" s="138">
        <f>'Revenues 9-14'!G65</f>
        <v>4409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4409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908481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4046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4046</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294772</v>
      </c>
      <c r="D5885" s="2" t="str">
        <f t="shared" si="90"/>
        <v>Error?</v>
      </c>
    </row>
    <row r="5886" spans="1:4" x14ac:dyDescent="0.2">
      <c r="A5886" s="5">
        <v>5825</v>
      </c>
      <c r="B5886" s="138">
        <f>'Revenues 9-14'!H108</f>
        <v>1030853</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1034899</v>
      </c>
      <c r="C5915" s="2" t="s">
        <v>594</v>
      </c>
      <c r="D5915" s="2" t="str">
        <f t="shared" si="91"/>
        <v>Error?</v>
      </c>
    </row>
    <row r="5916" spans="1:4" x14ac:dyDescent="0.2">
      <c r="A5916" s="5">
        <v>5855</v>
      </c>
      <c r="B5916" s="138">
        <f>'Revenues 9-14'!I5</f>
        <v>105340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105340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8222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8222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113562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105340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105340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24537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24537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129877</v>
      </c>
      <c r="C6023" s="2" t="s">
        <v>594</v>
      </c>
      <c r="D6023" s="2" t="str">
        <f t="shared" si="93"/>
        <v>Error?</v>
      </c>
    </row>
    <row r="6024" spans="1:5" x14ac:dyDescent="0.2">
      <c r="A6024" s="5">
        <v>5963</v>
      </c>
      <c r="B6024" s="138">
        <f>'Revenues 9-14'!G109</f>
        <v>908481</v>
      </c>
      <c r="C6024" s="2" t="s">
        <v>594</v>
      </c>
      <c r="D6024" s="2" t="str">
        <f t="shared" si="93"/>
        <v>Error?</v>
      </c>
    </row>
    <row r="6025" spans="1:5" x14ac:dyDescent="0.2">
      <c r="A6025" s="5">
        <v>5964</v>
      </c>
      <c r="B6025" s="138">
        <f>'Revenues 9-14'!H109</f>
        <v>1034899</v>
      </c>
      <c r="C6025" s="2" t="s">
        <v>594</v>
      </c>
      <c r="D6025" s="2" t="str">
        <f t="shared" si="93"/>
        <v>Error?</v>
      </c>
    </row>
    <row r="6026" spans="1:5" x14ac:dyDescent="0.2">
      <c r="A6026" s="5">
        <v>5965</v>
      </c>
      <c r="B6026" s="138">
        <f>'Revenues 9-14'!I109</f>
        <v>113562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129877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151107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74561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2221.5700000000002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700070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700070</v>
      </c>
      <c r="D6215" s="2" t="str">
        <f t="shared" si="96"/>
        <v>Error?</v>
      </c>
      <c r="E6215" s="2" t="s">
        <v>199</v>
      </c>
    </row>
    <row r="6216" spans="1:5" x14ac:dyDescent="0.2">
      <c r="A6216">
        <v>6155</v>
      </c>
      <c r="B6216" s="138">
        <f>'Assets-Liab 5-6'!J41</f>
        <v>700070</v>
      </c>
      <c r="D6216" s="2" t="str">
        <f t="shared" si="96"/>
        <v>Error?</v>
      </c>
      <c r="E6216" s="2" t="s">
        <v>199</v>
      </c>
    </row>
    <row r="6217" spans="1:5" x14ac:dyDescent="0.2">
      <c r="A6217">
        <v>6156</v>
      </c>
      <c r="B6217" s="138">
        <f>'Assets-Liab 5-6'!J4</f>
        <v>700070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1047991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1047991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1047991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1028289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1028289</v>
      </c>
      <c r="D6229" s="2" t="str">
        <f t="shared" si="96"/>
        <v>Error?</v>
      </c>
      <c r="E6229" s="2" t="s">
        <v>199</v>
      </c>
    </row>
    <row r="6230" spans="1:5" x14ac:dyDescent="0.2">
      <c r="A6230">
        <v>6169</v>
      </c>
      <c r="B6230" s="138">
        <f>'Acct Summary 7-8'!J20</f>
        <v>19702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19702</v>
      </c>
      <c r="D6263" s="2" t="str">
        <f t="shared" si="96"/>
        <v>Error?</v>
      </c>
      <c r="E6263" s="2" t="s">
        <v>199</v>
      </c>
    </row>
    <row r="6264" spans="1:5" x14ac:dyDescent="0.2">
      <c r="A6264">
        <v>6203</v>
      </c>
      <c r="B6264" s="138">
        <f>'Acct Summary 7-8'!J79</f>
        <v>680368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700070</v>
      </c>
      <c r="D6266" s="2" t="str">
        <f t="shared" si="96"/>
        <v>Error?</v>
      </c>
      <c r="E6266" s="2" t="s">
        <v>199</v>
      </c>
    </row>
    <row r="6267" spans="1:5" x14ac:dyDescent="0.2">
      <c r="A6267">
        <v>6206</v>
      </c>
      <c r="B6267" s="138">
        <f>'Acct Summary 7-8'!C82</f>
        <v>1087022</v>
      </c>
      <c r="D6267" s="2" t="str">
        <f t="shared" si="96"/>
        <v>Error?</v>
      </c>
      <c r="E6267" s="2" t="s">
        <v>199</v>
      </c>
    </row>
    <row r="6268" spans="1:5" x14ac:dyDescent="0.2">
      <c r="A6268">
        <v>6207</v>
      </c>
      <c r="B6268" s="138">
        <f>'Acct Summary 7-8'!D82</f>
        <v>105250</v>
      </c>
      <c r="D6268" s="2" t="str">
        <f t="shared" si="96"/>
        <v>Error?</v>
      </c>
      <c r="E6268" s="2" t="s">
        <v>199</v>
      </c>
    </row>
    <row r="6269" spans="1:5" x14ac:dyDescent="0.2">
      <c r="A6269">
        <v>6208</v>
      </c>
      <c r="B6269" s="138">
        <f>'Acct Summary 7-8'!E82</f>
        <v>8190</v>
      </c>
      <c r="D6269" s="2" t="str">
        <f t="shared" si="96"/>
        <v>Error?</v>
      </c>
      <c r="E6269" s="2" t="s">
        <v>199</v>
      </c>
    </row>
    <row r="6270" spans="1:5" x14ac:dyDescent="0.2">
      <c r="A6270">
        <v>6209</v>
      </c>
      <c r="B6270" s="138">
        <f>'Acct Summary 7-8'!F82</f>
        <v>267780</v>
      </c>
      <c r="D6270" s="2" t="str">
        <f t="shared" si="96"/>
        <v>Error?</v>
      </c>
      <c r="E6270" s="2" t="s">
        <v>199</v>
      </c>
    </row>
    <row r="6271" spans="1:5" x14ac:dyDescent="0.2">
      <c r="A6271">
        <v>6210</v>
      </c>
      <c r="B6271" s="138">
        <f>'Acct Summary 7-8'!G82</f>
        <v>25393</v>
      </c>
      <c r="D6271" s="2" t="str">
        <f t="shared" ref="D6271:D6334" si="97">IF(ISBLANK(B6271),"OK",IF(A6271-B6271=0,"OK","Error?"))</f>
        <v>Error?</v>
      </c>
      <c r="E6271" s="2" t="s">
        <v>199</v>
      </c>
    </row>
    <row r="6272" spans="1:5" x14ac:dyDescent="0.2">
      <c r="A6272">
        <v>6211</v>
      </c>
      <c r="B6272" s="138">
        <f>'Acct Summary 7-8'!H82</f>
        <v>91308</v>
      </c>
      <c r="D6272" s="2" t="str">
        <f t="shared" si="97"/>
        <v>Error?</v>
      </c>
      <c r="E6272" s="2" t="s">
        <v>199</v>
      </c>
    </row>
    <row r="6273" spans="1:5" x14ac:dyDescent="0.2">
      <c r="A6273">
        <v>6212</v>
      </c>
      <c r="B6273" s="138">
        <f>'Acct Summary 7-8'!I82</f>
        <v>113562</v>
      </c>
      <c r="D6273" s="2" t="str">
        <f t="shared" si="97"/>
        <v>Error?</v>
      </c>
      <c r="E6273" s="2" t="s">
        <v>199</v>
      </c>
    </row>
    <row r="6274" spans="1:5" x14ac:dyDescent="0.2">
      <c r="A6274">
        <v>6213</v>
      </c>
      <c r="B6274" s="138">
        <f>'Acct Summary 7-8'!J82</f>
        <v>19702</v>
      </c>
      <c r="D6274" s="2" t="str">
        <f t="shared" si="97"/>
        <v>Error?</v>
      </c>
      <c r="E6274" s="2" t="s">
        <v>199</v>
      </c>
    </row>
    <row r="6275" spans="1:5" x14ac:dyDescent="0.2">
      <c r="A6275">
        <v>6214</v>
      </c>
      <c r="B6275" s="138">
        <f>'Acct Summary 7-8'!K82</f>
        <v>-1495918</v>
      </c>
      <c r="D6275" s="2" t="str">
        <f t="shared" si="97"/>
        <v>Error?</v>
      </c>
      <c r="E6275" s="2" t="s">
        <v>199</v>
      </c>
    </row>
    <row r="6276" spans="1:5" x14ac:dyDescent="0.2">
      <c r="A6276">
        <v>6215</v>
      </c>
      <c r="B6276" s="138">
        <f>'Acct Summary 7-8'!C83</f>
        <v>0.10833494453801612</v>
      </c>
      <c r="D6276" s="2" t="str">
        <f t="shared" si="97"/>
        <v>Error?</v>
      </c>
      <c r="E6276" s="2" t="s">
        <v>199</v>
      </c>
    </row>
    <row r="6277" spans="1:5" x14ac:dyDescent="0.2">
      <c r="A6277">
        <v>6216</v>
      </c>
      <c r="B6277" s="138">
        <f>'Acct Summary 7-8'!D83</f>
        <v>0.16883004388779099</v>
      </c>
      <c r="D6277" s="2" t="str">
        <f t="shared" si="97"/>
        <v>Error?</v>
      </c>
      <c r="E6277" s="2" t="s">
        <v>199</v>
      </c>
    </row>
    <row r="6278" spans="1:5" x14ac:dyDescent="0.2">
      <c r="A6278">
        <v>6217</v>
      </c>
      <c r="B6278" s="138">
        <f>'Acct Summary 7-8'!E83</f>
        <v>1.5557535336880477E-2</v>
      </c>
      <c r="D6278" s="2" t="str">
        <f t="shared" si="97"/>
        <v>Error?</v>
      </c>
      <c r="E6278" s="2" t="s">
        <v>199</v>
      </c>
    </row>
    <row r="6279" spans="1:5" x14ac:dyDescent="0.2">
      <c r="A6279">
        <v>6218</v>
      </c>
      <c r="B6279" s="138">
        <f>'Acct Summary 7-8'!F83</f>
        <v>0.32621765142295367</v>
      </c>
      <c r="D6279" s="2" t="str">
        <f t="shared" si="97"/>
        <v>Error?</v>
      </c>
      <c r="E6279" s="2" t="s">
        <v>199</v>
      </c>
    </row>
    <row r="6280" spans="1:5" x14ac:dyDescent="0.2">
      <c r="A6280">
        <v>6219</v>
      </c>
      <c r="B6280" s="138">
        <f>'Acct Summary 7-8'!G83</f>
        <v>3.8280115836809389E-2</v>
      </c>
      <c r="D6280" s="2" t="str">
        <f t="shared" si="97"/>
        <v>Error?</v>
      </c>
      <c r="E6280" s="2" t="s">
        <v>199</v>
      </c>
    </row>
    <row r="6281" spans="1:5" x14ac:dyDescent="0.2">
      <c r="A6281">
        <v>6220</v>
      </c>
      <c r="B6281" s="138">
        <f>'Acct Summary 7-8'!H83</f>
        <v>0.10268532909282706</v>
      </c>
      <c r="D6281" s="2" t="str">
        <f t="shared" si="97"/>
        <v>Error?</v>
      </c>
      <c r="E6281" s="2" t="s">
        <v>199</v>
      </c>
    </row>
    <row r="6282" spans="1:5" x14ac:dyDescent="0.2">
      <c r="A6282">
        <v>6221</v>
      </c>
      <c r="B6282" s="138">
        <f>'Acct Summary 7-8'!I83</f>
        <v>8.9197659348859135E-2</v>
      </c>
      <c r="D6282" s="2" t="str">
        <f t="shared" si="97"/>
        <v>Error?</v>
      </c>
      <c r="E6282" s="2" t="s">
        <v>199</v>
      </c>
    </row>
    <row r="6283" spans="1:5" x14ac:dyDescent="0.2">
      <c r="A6283">
        <v>6222</v>
      </c>
      <c r="B6283" s="138">
        <f>'Acct Summary 7-8'!J83</f>
        <v>2.8142899995714715E-2</v>
      </c>
      <c r="D6283" s="2" t="str">
        <f t="shared" si="97"/>
        <v>Error?</v>
      </c>
      <c r="E6283" s="2" t="s">
        <v>199</v>
      </c>
    </row>
    <row r="6284" spans="1:5" x14ac:dyDescent="0.2">
      <c r="A6284">
        <v>6223</v>
      </c>
      <c r="B6284" s="138">
        <f>'Acct Summary 7-8'!K83</f>
        <v>-0.48726827836661063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1043565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1043565</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4426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4426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11290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1047991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1958</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134186</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1000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158169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1000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75928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3630</v>
      </c>
      <c r="D6878" s="2" t="str">
        <f t="shared" si="106"/>
        <v>Error?</v>
      </c>
    </row>
    <row r="6879" spans="1:4" x14ac:dyDescent="0.2">
      <c r="A6879">
        <v>6818</v>
      </c>
      <c r="B6879" s="138">
        <f>'Expenditures 15-22'!K21</f>
        <v>3630</v>
      </c>
      <c r="D6879" s="2" t="str">
        <f t="shared" si="106"/>
        <v>Error?</v>
      </c>
    </row>
    <row r="6880" spans="1:4" x14ac:dyDescent="0.2">
      <c r="A6880">
        <v>6819</v>
      </c>
      <c r="B6880" s="138">
        <f>'Expenditures 15-22'!H22</f>
        <v>46017</v>
      </c>
      <c r="D6880" s="2" t="str">
        <f t="shared" si="106"/>
        <v>Error?</v>
      </c>
    </row>
    <row r="6881" spans="1:4" x14ac:dyDescent="0.2">
      <c r="A6881">
        <v>6820</v>
      </c>
      <c r="B6881" s="138">
        <f>'Expenditures 15-22'!K22</f>
        <v>46017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2000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5000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5000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5000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7970</v>
      </c>
      <c r="D6981" s="2" t="str">
        <f t="shared" si="108"/>
        <v>Error?</v>
      </c>
    </row>
    <row r="6982" spans="1:4" x14ac:dyDescent="0.2">
      <c r="A6982">
        <v>6921</v>
      </c>
      <c r="B6982" s="138">
        <f>'Expenditures 15-22'!K85</f>
        <v>7970</v>
      </c>
      <c r="D6982" s="2" t="str">
        <f t="shared" si="108"/>
        <v>Error?</v>
      </c>
    </row>
    <row r="6983" spans="1:4" x14ac:dyDescent="0.2">
      <c r="A6983">
        <v>6922</v>
      </c>
      <c r="B6983" s="138">
        <f>'Expenditures 15-22'!H86</f>
        <v>725729</v>
      </c>
      <c r="D6983" s="2" t="str">
        <f t="shared" si="108"/>
        <v>Error?</v>
      </c>
    </row>
    <row r="6984" spans="1:4" x14ac:dyDescent="0.2">
      <c r="A6984">
        <v>6923</v>
      </c>
      <c r="B6984" s="138">
        <f>'Expenditures 15-22'!K86</f>
        <v>725729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6080</v>
      </c>
      <c r="D6987" s="2" t="str">
        <f t="shared" si="108"/>
        <v>Error?</v>
      </c>
    </row>
    <row r="6988" spans="1:4" x14ac:dyDescent="0.2">
      <c r="A6988">
        <v>6927</v>
      </c>
      <c r="B6988" s="138">
        <f>'Expenditures 15-22'!K88</f>
        <v>6080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739779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7000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1028289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1047991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9957</v>
      </c>
      <c r="D7073" s="2" t="str">
        <f t="shared" si="109"/>
        <v>Error?</v>
      </c>
    </row>
    <row r="7074" spans="1:4" x14ac:dyDescent="0.2">
      <c r="A7074">
        <v>7013</v>
      </c>
      <c r="B7074" s="138">
        <f>'Expenditures 15-22'!K216</f>
        <v>9957</v>
      </c>
      <c r="D7074" s="2" t="str">
        <f t="shared" si="109"/>
        <v>Error?</v>
      </c>
    </row>
    <row r="7075" spans="1:4" x14ac:dyDescent="0.2">
      <c r="A7075">
        <v>7014</v>
      </c>
      <c r="B7075" s="138">
        <f>'Expenditures 15-22'!D218</f>
        <v>36708</v>
      </c>
      <c r="D7075" s="2" t="str">
        <f t="shared" si="109"/>
        <v>Error?</v>
      </c>
    </row>
    <row r="7076" spans="1:4" x14ac:dyDescent="0.2">
      <c r="A7076">
        <v>7015</v>
      </c>
      <c r="B7076" s="138">
        <f>'Expenditures 15-22'!K218</f>
        <v>36708</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756</v>
      </c>
      <c r="D7079" s="2" t="str">
        <f t="shared" si="109"/>
        <v>Error?</v>
      </c>
    </row>
    <row r="7080" spans="1:4" x14ac:dyDescent="0.2">
      <c r="A7080">
        <v>7019</v>
      </c>
      <c r="B7080" s="138">
        <f>'Expenditures 15-22'!K226</f>
        <v>756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2604</v>
      </c>
      <c r="D7089" s="2" t="str">
        <f t="shared" si="109"/>
        <v>Error?</v>
      </c>
    </row>
    <row r="7090" spans="1:4" x14ac:dyDescent="0.2">
      <c r="A7090">
        <v>7029</v>
      </c>
      <c r="B7090" s="138">
        <f>'Expenditures 15-22'!K252</f>
        <v>2604</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9171</v>
      </c>
      <c r="D7093" s="2" t="str">
        <f t="shared" si="109"/>
        <v>Error?</v>
      </c>
    </row>
    <row r="7094" spans="1:4" x14ac:dyDescent="0.2">
      <c r="A7094">
        <v>7033</v>
      </c>
      <c r="B7094" s="138">
        <f>'Expenditures 15-22'!K254</f>
        <v>9171</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276312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276312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8222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8222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162770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162770</v>
      </c>
      <c r="D7153" s="2" t="str">
        <f t="shared" si="110"/>
        <v>Error?</v>
      </c>
    </row>
    <row r="7154" spans="1:4" x14ac:dyDescent="0.2">
      <c r="A7154">
        <v>7093</v>
      </c>
      <c r="B7154" s="138">
        <f>'Expenditures 15-22'!C323</f>
        <v>58543</v>
      </c>
      <c r="D7154" s="2" t="str">
        <f t="shared" si="110"/>
        <v>Error?</v>
      </c>
    </row>
    <row r="7155" spans="1:4" x14ac:dyDescent="0.2">
      <c r="A7155">
        <v>7094</v>
      </c>
      <c r="B7155" s="138">
        <f>'Expenditures 15-22'!D323</f>
        <v>10293</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68836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162836</v>
      </c>
      <c r="D7172" s="2" t="str">
        <f t="shared" si="111"/>
        <v>Error?</v>
      </c>
    </row>
    <row r="7173" spans="1:4" x14ac:dyDescent="0.2">
      <c r="A7173">
        <v>7112</v>
      </c>
      <c r="B7173" s="138">
        <f>'Expenditures 15-22'!D325</f>
        <v>27141</v>
      </c>
      <c r="D7173" s="2" t="str">
        <f t="shared" si="111"/>
        <v>Error?</v>
      </c>
    </row>
    <row r="7174" spans="1:4" x14ac:dyDescent="0.2">
      <c r="A7174">
        <v>7113</v>
      </c>
      <c r="B7174" s="138">
        <f>'Expenditures 15-22'!E325</f>
        <v>199232</v>
      </c>
      <c r="D7174" s="2" t="str">
        <f t="shared" si="111"/>
        <v>Error?</v>
      </c>
    </row>
    <row r="7175" spans="1:4" x14ac:dyDescent="0.2">
      <c r="A7175">
        <v>7114</v>
      </c>
      <c r="B7175" s="138">
        <f>'Expenditures 15-22'!F325</f>
        <v>18254</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407463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104686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104686</v>
      </c>
      <c r="D7198" s="2" t="str">
        <f t="shared" si="111"/>
        <v>Error?</v>
      </c>
    </row>
    <row r="7199" spans="1:4" x14ac:dyDescent="0.2">
      <c r="A7199">
        <v>7138</v>
      </c>
      <c r="B7199" s="138">
        <f>'Expenditures 15-22'!C330</f>
        <v>221379</v>
      </c>
      <c r="D7199" s="2" t="str">
        <f t="shared" si="111"/>
        <v>Error?</v>
      </c>
    </row>
    <row r="7200" spans="1:4" x14ac:dyDescent="0.2">
      <c r="A7200">
        <v>7139</v>
      </c>
      <c r="B7200" s="138">
        <f>'Expenditures 15-22'!D330</f>
        <v>37434</v>
      </c>
      <c r="D7200" s="2" t="str">
        <f t="shared" si="111"/>
        <v>Error?</v>
      </c>
    </row>
    <row r="7201" spans="1:4" x14ac:dyDescent="0.2">
      <c r="A7201">
        <v>7140</v>
      </c>
      <c r="B7201" s="138">
        <f>'Expenditures 15-22'!E330</f>
        <v>751222</v>
      </c>
      <c r="D7201" s="2" t="str">
        <f t="shared" si="111"/>
        <v>Error?</v>
      </c>
    </row>
    <row r="7202" spans="1:4" x14ac:dyDescent="0.2">
      <c r="A7202">
        <v>7141</v>
      </c>
      <c r="B7202" s="138">
        <f>'Expenditures 15-22'!F330</f>
        <v>18254</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1028289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221379</v>
      </c>
      <c r="D7216" s="2" t="str">
        <f t="shared" si="111"/>
        <v>Error?</v>
      </c>
    </row>
    <row r="7217" spans="1:4" x14ac:dyDescent="0.2">
      <c r="A7217">
        <v>7156</v>
      </c>
      <c r="B7217" s="138">
        <f>'Expenditures 15-22'!D342</f>
        <v>37434</v>
      </c>
      <c r="D7217" s="2" t="str">
        <f t="shared" si="111"/>
        <v>Error?</v>
      </c>
    </row>
    <row r="7218" spans="1:4" x14ac:dyDescent="0.2">
      <c r="A7218">
        <v>7157</v>
      </c>
      <c r="B7218" s="138">
        <f>'Expenditures 15-22'!E342</f>
        <v>751222</v>
      </c>
      <c r="D7218" s="2" t="str">
        <f t="shared" si="111"/>
        <v>Error?</v>
      </c>
    </row>
    <row r="7219" spans="1:4" x14ac:dyDescent="0.2">
      <c r="A7219">
        <v>7158</v>
      </c>
      <c r="B7219" s="138">
        <f>'Expenditures 15-22'!F342</f>
        <v>18254</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1028289</v>
      </c>
      <c r="D7224" s="2" t="str">
        <f t="shared" si="111"/>
        <v>Error?</v>
      </c>
    </row>
    <row r="7225" spans="1:4" x14ac:dyDescent="0.2">
      <c r="A7225">
        <v>7164</v>
      </c>
      <c r="B7225" s="138">
        <f>'Expenditures 15-22'!K343</f>
        <v>19702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23983</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59290</v>
      </c>
      <c r="D7263" s="2" t="str">
        <f t="shared" si="112"/>
        <v>Error?</v>
      </c>
    </row>
    <row r="7264" spans="1:4" x14ac:dyDescent="0.2">
      <c r="A7264">
        <f t="shared" si="113"/>
        <v>7203</v>
      </c>
      <c r="B7264" s="138">
        <f>'Expenditures 15-22'!D17</f>
        <v>14504</v>
      </c>
      <c r="D7264" s="2" t="str">
        <f t="shared" si="112"/>
        <v>Error?</v>
      </c>
    </row>
    <row r="7265" spans="1:5" x14ac:dyDescent="0.2">
      <c r="A7265">
        <f t="shared" si="113"/>
        <v>7204</v>
      </c>
      <c r="B7265" s="138">
        <f>'Expenditures 15-22'!E17</f>
        <v>698</v>
      </c>
      <c r="D7265" s="2" t="str">
        <f t="shared" si="112"/>
        <v>Error?</v>
      </c>
    </row>
    <row r="7266" spans="1:5" x14ac:dyDescent="0.2">
      <c r="A7266">
        <f t="shared" si="113"/>
        <v>7205</v>
      </c>
      <c r="B7266" s="138">
        <f>'Expenditures 15-22'!F17</f>
        <v>1436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10845</v>
      </c>
      <c r="D7615" s="2" t="str">
        <f t="shared" ref="D7615:D7678" si="124">IF(ISBLANK(B7615),"OK",IF(A7615-B7615=0,"OK","Error?"))</f>
        <v>Error?</v>
      </c>
      <c r="E7615" s="2" t="s">
        <v>19</v>
      </c>
    </row>
    <row r="7616" spans="1:5" x14ac:dyDescent="0.2">
      <c r="A7616">
        <f t="shared" si="123"/>
        <v>7555</v>
      </c>
      <c r="B7616" s="138">
        <f>'Cap Outlay Deprec 26'!D14</f>
        <v>4798</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15643</v>
      </c>
      <c r="D7618" s="2" t="str">
        <f t="shared" si="124"/>
        <v>Error?</v>
      </c>
      <c r="E7618" s="2" t="s">
        <v>19</v>
      </c>
    </row>
    <row r="7619" spans="1:5" x14ac:dyDescent="0.2">
      <c r="A7619">
        <f t="shared" si="123"/>
        <v>7558</v>
      </c>
      <c r="B7619" s="138">
        <f>'Cap Outlay Deprec 26'!H14</f>
        <v>3615</v>
      </c>
      <c r="D7619" s="2" t="str">
        <f t="shared" si="124"/>
        <v>Error?</v>
      </c>
      <c r="E7619" s="2" t="s">
        <v>19</v>
      </c>
    </row>
    <row r="7620" spans="1:5" x14ac:dyDescent="0.2">
      <c r="A7620">
        <f t="shared" si="123"/>
        <v>7559</v>
      </c>
      <c r="B7620" s="138">
        <f>'Cap Outlay Deprec 26'!I14</f>
        <v>5214</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8829</v>
      </c>
      <c r="D7622" s="2" t="str">
        <f t="shared" si="124"/>
        <v>Error?</v>
      </c>
      <c r="E7622" s="2" t="s">
        <v>19</v>
      </c>
    </row>
    <row r="7623" spans="1:5" x14ac:dyDescent="0.2">
      <c r="A7623">
        <f t="shared" si="123"/>
        <v>7562</v>
      </c>
      <c r="B7623" s="138">
        <f>'Cap Outlay Deprec 26'!L14</f>
        <v>6814</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1020065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693954</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11290</v>
      </c>
      <c r="D7712" s="2" t="str">
        <f t="shared" si="126"/>
        <v>Error?</v>
      </c>
      <c r="E7712" s="2" t="s">
        <v>881</v>
      </c>
    </row>
    <row r="7713" spans="1:6" x14ac:dyDescent="0.2">
      <c r="A7713">
        <v>7652</v>
      </c>
      <c r="B7713" s="138">
        <f>'Rest Tax Levies-Tort Im 25'!J8</f>
        <v>986081</v>
      </c>
      <c r="D7713" s="2" t="str">
        <f t="shared" si="126"/>
        <v>Error?</v>
      </c>
      <c r="E7713" s="2" t="s">
        <v>881</v>
      </c>
    </row>
    <row r="7714" spans="1:6" x14ac:dyDescent="0.2">
      <c r="A7714">
        <v>7653</v>
      </c>
      <c r="B7714" s="138">
        <f>'Rest Tax Levies-Tort Im 25'!K9</f>
        <v>34863</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986081</v>
      </c>
      <c r="D7718" s="2" t="str">
        <f t="shared" si="126"/>
        <v>Error?</v>
      </c>
      <c r="E7718" s="2" t="s">
        <v>881</v>
      </c>
    </row>
    <row r="7719" spans="1:6" x14ac:dyDescent="0.2">
      <c r="A7719">
        <v>7658</v>
      </c>
      <c r="B7719" s="138">
        <f>'Rest Tax Levies-Tort Im 25'!K12</f>
        <v>46153</v>
      </c>
      <c r="D7719" s="2" t="str">
        <f t="shared" si="126"/>
        <v>Error?</v>
      </c>
      <c r="E7719" s="2" t="s">
        <v>881</v>
      </c>
    </row>
    <row r="7720" spans="1:6" x14ac:dyDescent="0.2">
      <c r="A7720">
        <v>7659</v>
      </c>
      <c r="B7720" s="138">
        <f>'Rest Tax Levies-Tort Im 25'!H14</f>
        <v>84370</v>
      </c>
      <c r="D7720" s="2" t="str">
        <f t="shared" si="126"/>
        <v>Error?</v>
      </c>
      <c r="E7720" s="2" t="s">
        <v>881</v>
      </c>
    </row>
    <row r="7721" spans="1:6" x14ac:dyDescent="0.2">
      <c r="A7721">
        <v>7660</v>
      </c>
      <c r="B7721" s="138">
        <f>'Rest Tax Levies-Tort Im 25'!K14</f>
        <v>46153</v>
      </c>
      <c r="D7721" s="2" t="str">
        <f t="shared" si="126"/>
        <v>Error?</v>
      </c>
      <c r="E7721" s="2" t="s">
        <v>881</v>
      </c>
    </row>
    <row r="7722" spans="1:6" x14ac:dyDescent="0.2">
      <c r="A7722">
        <v>7661</v>
      </c>
      <c r="B7722" s="138">
        <f>'Rest Tax Levies-Tort Im 25'!J15</f>
        <v>1193591</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250000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1193591</v>
      </c>
      <c r="D7730" s="2" t="str">
        <f t="shared" si="126"/>
        <v>Error?</v>
      </c>
      <c r="E7730" s="2" t="s">
        <v>881</v>
      </c>
    </row>
    <row r="7731" spans="1:6" x14ac:dyDescent="0.2">
      <c r="A7731">
        <v>7670</v>
      </c>
      <c r="B7731" s="138">
        <f>'Revenues 9-14'!H103</f>
        <v>736081</v>
      </c>
      <c r="D7731" s="2" t="str">
        <f t="shared" si="126"/>
        <v>Error?</v>
      </c>
      <c r="E7731" s="2" t="s">
        <v>881</v>
      </c>
    </row>
    <row r="7732" spans="1:6" x14ac:dyDescent="0.2">
      <c r="A7732">
        <v>7671</v>
      </c>
      <c r="B7732" s="138">
        <f>'Rest Tax Levies-Tort Im 25'!J24</f>
        <v>486444</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486444</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733453</v>
      </c>
      <c r="D7797" s="2" t="str">
        <f t="shared" si="127"/>
        <v>Error?</v>
      </c>
      <c r="E7797" s="4" t="s">
        <v>2017</v>
      </c>
    </row>
    <row r="7798" spans="1:5" x14ac:dyDescent="0.2">
      <c r="A7798">
        <v>7737</v>
      </c>
      <c r="B7798" s="138">
        <f>'Contracts Paid in CY 29'!F141</f>
        <v>113530</v>
      </c>
      <c r="D7798" s="2" t="str">
        <f t="shared" si="127"/>
        <v>Error?</v>
      </c>
      <c r="E7798" s="4" t="s">
        <v>2017</v>
      </c>
    </row>
    <row r="7799" spans="1:5" x14ac:dyDescent="0.2">
      <c r="A7799">
        <v>7738</v>
      </c>
      <c r="B7799" s="138">
        <f>'Contracts Paid in CY 29'!G141</f>
        <v>619923</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B40" sqref="B40"/>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8" t="s">
        <v>1253</v>
      </c>
      <c r="B2" s="2398"/>
      <c r="C2" s="2398"/>
      <c r="D2" s="2398"/>
      <c r="E2" s="2398"/>
      <c r="F2" s="2398"/>
      <c r="G2" s="2398"/>
      <c r="H2" s="2398"/>
      <c r="I2" s="2398"/>
      <c r="J2" s="2398"/>
      <c r="K2" s="2398"/>
      <c r="L2" s="2398"/>
    </row>
    <row r="3" spans="1:29" ht="13.5" customHeight="1" x14ac:dyDescent="0.2">
      <c r="A3" s="2429" t="s">
        <v>1252</v>
      </c>
      <c r="B3" s="2429"/>
      <c r="C3" s="2429"/>
      <c r="D3" s="2429"/>
      <c r="E3" s="2429"/>
      <c r="F3" s="2429"/>
      <c r="G3" s="2429"/>
      <c r="H3" s="2429"/>
      <c r="I3" s="2429"/>
      <c r="J3" s="2429"/>
      <c r="K3" s="2429"/>
      <c r="L3" s="2429"/>
    </row>
    <row r="4" spans="1:29" ht="13.5" customHeight="1" x14ac:dyDescent="0.2">
      <c r="A4" s="2398" t="s">
        <v>1799</v>
      </c>
      <c r="B4" s="2419"/>
      <c r="C4" s="2419"/>
      <c r="D4" s="2419"/>
      <c r="E4" s="2419"/>
      <c r="F4" s="2419"/>
      <c r="G4" s="2419"/>
      <c r="H4" s="2419"/>
      <c r="I4" s="2419"/>
      <c r="J4" s="2419"/>
      <c r="K4" s="2419"/>
      <c r="L4" s="241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0" t="str">
        <f>COVER!A17</f>
        <v>Canton Union School District  66</v>
      </c>
      <c r="B7" s="2421"/>
      <c r="C7" s="2421"/>
      <c r="D7" s="2422"/>
      <c r="E7" s="2423">
        <f>COVER!A13</f>
        <v>26029066025</v>
      </c>
      <c r="F7" s="2424"/>
      <c r="G7" s="2430" t="str">
        <f>COVER!T23</f>
        <v>066-005100</v>
      </c>
      <c r="H7" s="2431"/>
      <c r="I7" s="2431"/>
      <c r="J7" s="2431"/>
      <c r="K7" s="2431"/>
      <c r="L7" s="243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3"/>
      <c r="B9" s="2434"/>
      <c r="C9" s="2434"/>
      <c r="D9" s="2434"/>
      <c r="E9" s="2434"/>
      <c r="F9" s="2435"/>
      <c r="G9" s="2404" t="str">
        <f>COVER!T13</f>
        <v>Mack &amp; Associates, P.C.</v>
      </c>
      <c r="H9" s="2436"/>
      <c r="I9" s="2436"/>
      <c r="J9" s="2436"/>
      <c r="K9" s="2436"/>
      <c r="L9" s="2437"/>
    </row>
    <row r="10" spans="1:29" ht="13.5" customHeight="1" x14ac:dyDescent="0.2">
      <c r="A10" s="2410" t="str">
        <f>COVER!A38</f>
        <v>Rolf Sivertsen</v>
      </c>
      <c r="B10" s="2411"/>
      <c r="C10" s="2411"/>
      <c r="D10" s="2411"/>
      <c r="E10" s="2411"/>
      <c r="F10" s="2412"/>
      <c r="G10" s="2404" t="str">
        <f>COVER!T17</f>
        <v>116 E. Washington Street, Suite One</v>
      </c>
      <c r="H10" s="2405"/>
      <c r="I10" s="2405"/>
      <c r="J10" s="2405"/>
      <c r="K10" s="2405"/>
      <c r="L10" s="2406"/>
    </row>
    <row r="11" spans="1:29" ht="13.5" customHeight="1" x14ac:dyDescent="0.2">
      <c r="A11" s="1185" t="s">
        <v>1599</v>
      </c>
      <c r="B11" s="1186"/>
      <c r="C11" s="1187"/>
      <c r="D11" s="1192"/>
      <c r="E11" s="1187"/>
      <c r="F11" s="1191"/>
      <c r="G11" s="2404" t="str">
        <f>COVER!T19</f>
        <v>Morris</v>
      </c>
      <c r="H11" s="2405"/>
      <c r="I11" s="2405"/>
      <c r="J11" s="2405"/>
      <c r="K11" s="2405"/>
      <c r="L11" s="2406"/>
    </row>
    <row r="12" spans="1:29" ht="13.5" customHeight="1" x14ac:dyDescent="0.2">
      <c r="A12" s="2413" t="s">
        <v>1598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1600</v>
      </c>
      <c r="H13" s="2400"/>
      <c r="I13" s="2416" t="str">
        <f>COVER!T25</f>
        <v>tmack@mackcpas.com</v>
      </c>
      <c r="J13" s="2417"/>
      <c r="K13" s="2417"/>
      <c r="L13" s="2418"/>
    </row>
    <row r="14" spans="1:29" ht="13.5" customHeight="1" x14ac:dyDescent="0.2">
      <c r="A14" s="2404" t="str">
        <f>COVER!A19</f>
        <v>20 W. Walnut</v>
      </c>
      <c r="B14" s="2405"/>
      <c r="C14" s="2405"/>
      <c r="D14" s="2405"/>
      <c r="E14" s="2405"/>
      <c r="F14" s="2406"/>
      <c r="G14" s="1196" t="s">
        <v>1247</v>
      </c>
      <c r="H14" s="1194"/>
      <c r="I14" s="1194"/>
      <c r="J14" s="1194"/>
      <c r="K14" s="1194"/>
      <c r="L14" s="1195"/>
    </row>
    <row r="15" spans="1:29" ht="13.5" customHeight="1" x14ac:dyDescent="0.2">
      <c r="A15" s="2404" t="str">
        <f>COVER!A21</f>
        <v xml:space="preserve">Canton  </v>
      </c>
      <c r="B15" s="2405"/>
      <c r="C15" s="2405"/>
      <c r="D15" s="2405"/>
      <c r="E15" s="2405"/>
      <c r="F15" s="2406"/>
      <c r="G15" s="2401" t="str">
        <f>COVER!T15</f>
        <v>Tawnya Mack, CPA</v>
      </c>
      <c r="H15" s="2402"/>
      <c r="I15" s="2402"/>
      <c r="J15" s="2402"/>
      <c r="K15" s="2402"/>
      <c r="L15" s="2403"/>
    </row>
    <row r="16" spans="1:29" ht="12.2" customHeight="1" x14ac:dyDescent="0.2">
      <c r="A16" s="2426">
        <f>COVER!A25</f>
        <v>61520</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6" t="s">
        <v>1246</v>
      </c>
      <c r="H17" s="1194"/>
      <c r="I17" s="1194"/>
      <c r="J17" s="1194"/>
      <c r="K17" s="1198" t="s">
        <v>1245</v>
      </c>
      <c r="L17" s="1191"/>
      <c r="M17" s="1184"/>
    </row>
    <row r="18" spans="1:13" ht="12.2" customHeight="1" x14ac:dyDescent="0.2">
      <c r="A18" s="2410"/>
      <c r="B18" s="2411"/>
      <c r="C18" s="2411"/>
      <c r="D18" s="2411"/>
      <c r="E18" s="2411"/>
      <c r="F18" s="2412"/>
      <c r="G18" s="2420" t="str">
        <f>COVER!T21</f>
        <v>(815) 942-3306</v>
      </c>
      <c r="H18" s="2421"/>
      <c r="I18" s="2421"/>
      <c r="J18" s="2421"/>
      <c r="K18" s="2420" t="str">
        <f>COVER!X21</f>
        <v>(815) 942-9430</v>
      </c>
      <c r="L18" s="242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2098</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2098</v>
      </c>
      <c r="C26" s="1203" t="s">
        <v>1801</v>
      </c>
    </row>
    <row r="27" spans="1:13" s="1199" customFormat="1" ht="9" customHeight="1" x14ac:dyDescent="0.2">
      <c r="B27" s="1204"/>
      <c r="C27" s="1203"/>
    </row>
    <row r="28" spans="1:13" s="1199" customFormat="1" ht="12.2" customHeight="1" x14ac:dyDescent="0.2">
      <c r="A28" s="1206"/>
      <c r="B28" s="1202" t="s">
        <v>2098</v>
      </c>
      <c r="C28" s="1203" t="s">
        <v>1802</v>
      </c>
    </row>
    <row r="29" spans="1:13" s="1199" customFormat="1" ht="9" customHeight="1" x14ac:dyDescent="0.2">
      <c r="A29" s="1206"/>
      <c r="B29" s="1204"/>
      <c r="C29" s="1203"/>
    </row>
    <row r="30" spans="1:13" s="1199" customFormat="1" ht="12.2" customHeight="1" x14ac:dyDescent="0.2">
      <c r="B30" s="1202" t="s">
        <v>2098</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2098</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2098</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2098</v>
      </c>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10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Canton Union School District  66</v>
      </c>
      <c r="B1" s="2419"/>
      <c r="C1" s="2419"/>
      <c r="D1" s="2419"/>
    </row>
    <row r="2" spans="1:11" s="1215" customFormat="1" ht="12.75" x14ac:dyDescent="0.2">
      <c r="A2" s="2443">
        <f>'Single Audit Cover'!E7</f>
        <v>26029066025</v>
      </c>
      <c r="B2" s="2444"/>
      <c r="C2" s="2444"/>
      <c r="D2" s="2444"/>
    </row>
    <row r="3" spans="1:11" s="1215" customFormat="1" ht="12.75" x14ac:dyDescent="0.2">
      <c r="A3" s="2442" t="s">
        <v>1593</v>
      </c>
      <c r="B3" s="2419"/>
      <c r="C3" s="2419"/>
      <c r="D3" s="241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1" sqref="D4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Canton Union School District  66</v>
      </c>
      <c r="B1" s="2446"/>
      <c r="C1" s="2446"/>
      <c r="D1" s="2446"/>
      <c r="E1" s="2446"/>
    </row>
    <row r="2" spans="1:5" x14ac:dyDescent="0.2">
      <c r="A2" s="2447">
        <f>'Single Audit Cover'!E7</f>
        <v>26029066025</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1833306</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74561</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-175477</v>
      </c>
    </row>
    <row r="19" spans="1:4" ht="13.5" thickBot="1" x14ac:dyDescent="0.25">
      <c r="A19" s="1265" t="s">
        <v>1297</v>
      </c>
      <c r="D19" s="1266">
        <f>SUM(D10:D17)</f>
        <v>1732390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1732390</v>
      </c>
    </row>
    <row r="33" spans="1:4" x14ac:dyDescent="0.2">
      <c r="D33" s="1269"/>
    </row>
    <row r="34" spans="1:4" x14ac:dyDescent="0.2">
      <c r="A34" s="317" t="s">
        <v>1294</v>
      </c>
    </row>
    <row r="35" spans="1:4" x14ac:dyDescent="0.2">
      <c r="A35" s="317" t="s">
        <v>1293</v>
      </c>
      <c r="B35" s="1258" t="s">
        <v>1292</v>
      </c>
      <c r="D35" s="1270">
        <v>1732391</v>
      </c>
    </row>
    <row r="37" spans="1:4" x14ac:dyDescent="0.2">
      <c r="A37" s="1260" t="s">
        <v>1291</v>
      </c>
    </row>
    <row r="39" spans="1:4" ht="13.35" customHeight="1" x14ac:dyDescent="0.2">
      <c r="A39" s="1267" t="s">
        <v>1290</v>
      </c>
    </row>
    <row r="40" spans="1:4" x14ac:dyDescent="0.2">
      <c r="A40" s="2445" t="s">
        <v>2127</v>
      </c>
      <c r="B40" s="2445"/>
      <c r="D40" s="1268">
        <v>-1</v>
      </c>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1732390</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Canton Union School District  66</v>
      </c>
      <c r="B1" s="2459"/>
      <c r="C1" s="2459"/>
      <c r="D1" s="2459"/>
      <c r="E1" s="2459"/>
      <c r="F1" s="2459"/>
    </row>
    <row r="2" spans="1:7" ht="13.5" customHeight="1" x14ac:dyDescent="0.2">
      <c r="A2" s="2460">
        <f>'Single Audit Cover'!E7</f>
        <v>26029066025</v>
      </c>
      <c r="B2" s="2460"/>
      <c r="C2" s="2460"/>
      <c r="D2" s="2460"/>
      <c r="E2" s="2460"/>
      <c r="F2" s="2460"/>
      <c r="G2" s="1275"/>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6" t="s">
        <v>1831</v>
      </c>
      <c r="C6" s="317"/>
      <c r="D6" s="317"/>
    </row>
    <row r="7" spans="1:7" ht="60.95" customHeight="1" x14ac:dyDescent="0.2">
      <c r="A7" s="2458" t="s">
        <v>2129</v>
      </c>
      <c r="B7" s="2458"/>
      <c r="C7" s="2458"/>
      <c r="D7" s="2458"/>
      <c r="E7" s="2458"/>
      <c r="F7" s="2458"/>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2079</v>
      </c>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58" t="s">
        <v>2128</v>
      </c>
      <c r="B13" s="2458"/>
      <c r="C13" s="2458"/>
      <c r="D13" s="2458"/>
      <c r="E13" s="2458"/>
      <c r="F13" s="2458"/>
    </row>
    <row r="14" spans="1:7" ht="9.75" customHeight="1" x14ac:dyDescent="0.2">
      <c r="C14" s="1260"/>
      <c r="D14" s="1260"/>
    </row>
    <row r="15" spans="1:7" ht="13.5" customHeight="1" x14ac:dyDescent="0.2">
      <c r="C15" s="1870" t="s">
        <v>1332</v>
      </c>
      <c r="D15" s="2456" t="s">
        <v>1331</v>
      </c>
      <c r="E15" s="2456"/>
      <c r="F15" s="2456"/>
    </row>
    <row r="16" spans="1:7" ht="13.5" customHeight="1" x14ac:dyDescent="0.2">
      <c r="A16" s="1282"/>
      <c r="B16" s="1276" t="s">
        <v>1330</v>
      </c>
      <c r="C16" s="1870" t="s">
        <v>1329</v>
      </c>
      <c r="D16" s="2457" t="s">
        <v>1670</v>
      </c>
      <c r="E16" s="2457"/>
      <c r="F16" s="2457"/>
    </row>
    <row r="17" spans="1:6" ht="20.45" customHeight="1" x14ac:dyDescent="0.2">
      <c r="A17" s="1283"/>
      <c r="B17" s="1284" t="s">
        <v>2130</v>
      </c>
      <c r="C17" s="1285" t="s">
        <v>2131</v>
      </c>
      <c r="D17" s="2451">
        <v>0</v>
      </c>
      <c r="E17" s="2451"/>
      <c r="F17" s="2451"/>
    </row>
    <row r="18" spans="1:6" ht="20.65" customHeight="1" x14ac:dyDescent="0.2">
      <c r="A18" s="1283"/>
      <c r="B18" s="1284"/>
      <c r="C18" s="1285"/>
      <c r="D18" s="2451"/>
      <c r="E18" s="2451"/>
      <c r="F18" s="2451"/>
    </row>
    <row r="19" spans="1:6" ht="20.65" customHeight="1" x14ac:dyDescent="0.2">
      <c r="A19" s="1283"/>
      <c r="B19" s="1284"/>
      <c r="C19" s="1285"/>
      <c r="D19" s="2451"/>
      <c r="E19" s="2451"/>
      <c r="F19" s="2451"/>
    </row>
    <row r="20" spans="1:6" ht="20.65" customHeight="1" x14ac:dyDescent="0.2">
      <c r="A20" s="1283"/>
      <c r="B20" s="1284"/>
      <c r="C20" s="1285"/>
      <c r="D20" s="2451"/>
      <c r="E20" s="2451"/>
      <c r="F20" s="2451"/>
    </row>
    <row r="21" spans="1:6" ht="20.65" customHeight="1" x14ac:dyDescent="0.2">
      <c r="A21" s="1283"/>
      <c r="B21" s="1284"/>
      <c r="C21" s="1285"/>
      <c r="D21" s="2451"/>
      <c r="E21" s="2451"/>
      <c r="F21" s="2451"/>
    </row>
    <row r="22" spans="1:6" ht="20.65" customHeight="1" x14ac:dyDescent="0.2">
      <c r="A22" s="1283"/>
      <c r="B22" s="1284"/>
      <c r="C22" s="1285"/>
      <c r="D22" s="2451"/>
      <c r="E22" s="2451"/>
      <c r="F22" s="2451"/>
    </row>
    <row r="23" spans="1:6" ht="20.65" customHeight="1" x14ac:dyDescent="0.2">
      <c r="A23" s="1283"/>
      <c r="B23" s="1284"/>
      <c r="C23" s="1285"/>
      <c r="D23" s="2451"/>
      <c r="E23" s="2451"/>
      <c r="F23" s="2451"/>
    </row>
    <row r="24" spans="1:6" ht="20.65" customHeight="1" x14ac:dyDescent="0.2">
      <c r="A24" s="1283"/>
      <c r="B24" s="1284"/>
      <c r="C24" s="1285"/>
      <c r="D24" s="2451"/>
      <c r="E24" s="2451"/>
      <c r="F24" s="2451"/>
    </row>
    <row r="25" spans="1:6" ht="20.65" customHeight="1" x14ac:dyDescent="0.2">
      <c r="A25" s="1283"/>
      <c r="B25" s="1284"/>
      <c r="C25" s="1285"/>
      <c r="D25" s="2451"/>
      <c r="E25" s="2451"/>
      <c r="F25" s="2451"/>
    </row>
    <row r="26" spans="1:6" ht="20.65" customHeight="1" x14ac:dyDescent="0.2">
      <c r="A26" s="1283"/>
      <c r="B26" s="1284"/>
      <c r="C26" s="1285"/>
      <c r="D26" s="2451"/>
      <c r="E26" s="2451"/>
      <c r="F26" s="2451"/>
    </row>
    <row r="27" spans="1:6" ht="20.65" customHeight="1" x14ac:dyDescent="0.2">
      <c r="A27" s="1283"/>
      <c r="B27" s="1284"/>
      <c r="C27" s="1285"/>
      <c r="D27" s="2451"/>
      <c r="E27" s="2451"/>
      <c r="F27" s="2451"/>
    </row>
    <row r="28" spans="1:6" ht="20.65" customHeight="1" x14ac:dyDescent="0.2">
      <c r="A28" s="1283"/>
      <c r="B28" s="1284"/>
      <c r="C28" s="1285"/>
      <c r="D28" s="2451"/>
      <c r="E28" s="2451"/>
      <c r="F28" s="2451"/>
    </row>
    <row r="29" spans="1:6" ht="20.65" customHeight="1" x14ac:dyDescent="0.2">
      <c r="A29" s="1283"/>
      <c r="B29" s="1284"/>
      <c r="C29" s="1285"/>
      <c r="D29" s="2451"/>
      <c r="E29" s="2451"/>
      <c r="F29" s="2451"/>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52" t="s">
        <v>1833</v>
      </c>
      <c r="B32" s="2452"/>
      <c r="C32" s="2452"/>
      <c r="D32" s="2452"/>
      <c r="E32" s="2452"/>
      <c r="F32" s="2452"/>
    </row>
    <row r="33" spans="1:6" ht="13.5" customHeight="1" x14ac:dyDescent="0.2">
      <c r="A33" s="328" t="s">
        <v>1509</v>
      </c>
      <c r="B33" s="328"/>
      <c r="C33" s="1288">
        <v>45292</v>
      </c>
      <c r="D33" s="1927"/>
      <c r="E33" s="1286"/>
    </row>
    <row r="34" spans="1:6" ht="13.5" customHeight="1" x14ac:dyDescent="0.2">
      <c r="A34" s="328" t="s">
        <v>1946</v>
      </c>
      <c r="B34" s="328"/>
      <c r="C34" s="1289">
        <v>29269</v>
      </c>
      <c r="D34" s="1927" t="s">
        <v>1671</v>
      </c>
      <c r="E34" s="2453">
        <f>+C33+C34</f>
        <v>74561</v>
      </c>
      <c r="F34" s="2454"/>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v>0</v>
      </c>
      <c r="D38" s="1927"/>
      <c r="E38" s="1286"/>
    </row>
    <row r="39" spans="1:6" ht="14.25" customHeight="1" x14ac:dyDescent="0.2">
      <c r="A39" s="328"/>
      <c r="B39" s="328" t="s">
        <v>1511</v>
      </c>
      <c r="C39" s="1292">
        <v>0</v>
      </c>
      <c r="D39" s="1927"/>
      <c r="E39" s="1286"/>
    </row>
    <row r="40" spans="1:6" ht="14.25" customHeight="1" x14ac:dyDescent="0.2">
      <c r="A40" s="328"/>
      <c r="B40" s="328" t="s">
        <v>1512</v>
      </c>
      <c r="C40" s="1292">
        <v>0</v>
      </c>
      <c r="D40" s="1927"/>
      <c r="E40" s="1286"/>
    </row>
    <row r="41" spans="1:6" ht="14.25" customHeight="1" x14ac:dyDescent="0.2">
      <c r="A41" s="328"/>
      <c r="B41" s="328" t="s">
        <v>1513</v>
      </c>
      <c r="C41" s="1292">
        <v>0</v>
      </c>
      <c r="D41" s="1927"/>
      <c r="E41" s="1286"/>
    </row>
    <row r="42" spans="1:6" ht="14.25" customHeight="1" x14ac:dyDescent="0.2">
      <c r="A42" s="328" t="s">
        <v>1514</v>
      </c>
      <c r="B42" s="328"/>
      <c r="C42" s="1925">
        <v>0</v>
      </c>
      <c r="D42" s="1927"/>
      <c r="E42" s="1286"/>
    </row>
    <row r="43" spans="1:6" ht="14.25" customHeight="1" x14ac:dyDescent="0.2">
      <c r="A43" s="328" t="s">
        <v>1515</v>
      </c>
      <c r="B43" s="328"/>
      <c r="C43" s="1293" t="s">
        <v>593</v>
      </c>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1834</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5" t="s">
        <v>1672</v>
      </c>
      <c r="C49" s="2455"/>
      <c r="D49" s="2455"/>
      <c r="E49" s="1399"/>
    </row>
    <row r="50" spans="1:5" s="1300" customFormat="1" ht="3.75" customHeight="1" x14ac:dyDescent="0.2">
      <c r="A50" s="1299"/>
      <c r="B50" s="1869"/>
      <c r="C50" s="1869"/>
      <c r="D50" s="1869"/>
      <c r="E50" s="1399"/>
    </row>
    <row r="51" spans="1:5" s="1300" customFormat="1" ht="20.25" customHeight="1" x14ac:dyDescent="0.2">
      <c r="A51" s="1301">
        <v>6</v>
      </c>
      <c r="B51" s="2450" t="s">
        <v>1632</v>
      </c>
      <c r="C51" s="2450"/>
      <c r="D51" s="2450"/>
    </row>
    <row r="52" spans="1:5" ht="14.25" customHeight="1" x14ac:dyDescent="0.2">
      <c r="A52" s="1301"/>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E27" sqref="E2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Canton Union School District  66</v>
      </c>
      <c r="C1" s="2463"/>
      <c r="D1" s="2463"/>
      <c r="E1" s="2463"/>
      <c r="F1" s="2463"/>
      <c r="G1" s="2463"/>
      <c r="H1" s="2463"/>
      <c r="I1" s="2463"/>
      <c r="J1" s="2463"/>
      <c r="K1" s="2463"/>
      <c r="L1" s="2463"/>
      <c r="M1" s="2463"/>
    </row>
    <row r="2" spans="2:14" ht="15" x14ac:dyDescent="0.2">
      <c r="B2" s="2460">
        <f>'Single Audit Cover'!E7</f>
        <v>26029066025</v>
      </c>
      <c r="C2" s="2460"/>
      <c r="D2" s="2460"/>
      <c r="E2" s="2460"/>
      <c r="F2" s="2460"/>
      <c r="G2" s="2460"/>
      <c r="H2" s="2460"/>
      <c r="I2" s="2460"/>
      <c r="J2" s="2460"/>
      <c r="K2" s="2460"/>
      <c r="L2" s="2460"/>
      <c r="M2" s="2460"/>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1836</v>
      </c>
      <c r="D9" s="1314" t="s">
        <v>1837</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2132</v>
      </c>
      <c r="C11" s="1338"/>
      <c r="D11" s="1339"/>
      <c r="E11" s="1340"/>
      <c r="F11" s="1340"/>
      <c r="G11" s="1340"/>
      <c r="H11" s="1340"/>
      <c r="I11" s="1340"/>
      <c r="J11" s="1340"/>
      <c r="K11" s="1340"/>
      <c r="L11" s="1340">
        <f>+G11+I11+K11</f>
        <v>0</v>
      </c>
      <c r="M11" s="1340"/>
    </row>
    <row r="12" spans="2:14" ht="20.100000000000001" customHeight="1" x14ac:dyDescent="0.2">
      <c r="B12" s="1337" t="s">
        <v>2133</v>
      </c>
      <c r="C12" s="1341"/>
      <c r="D12" s="1342"/>
      <c r="E12" s="1343"/>
      <c r="F12" s="1343"/>
      <c r="G12" s="1343"/>
      <c r="H12" s="1343"/>
      <c r="I12" s="1343"/>
      <c r="J12" s="1343"/>
      <c r="K12" s="1343"/>
      <c r="L12" s="1340">
        <f t="shared" ref="L12:L27" si="0">+G12+I12+K12</f>
        <v>0</v>
      </c>
      <c r="M12" s="1343"/>
    </row>
    <row r="13" spans="2:14" ht="20.100000000000001" customHeight="1" x14ac:dyDescent="0.2">
      <c r="B13" s="1337" t="s">
        <v>2151</v>
      </c>
      <c r="C13" s="1341" t="s">
        <v>2134</v>
      </c>
      <c r="D13" s="1342" t="s">
        <v>2135</v>
      </c>
      <c r="E13" s="1343">
        <v>535097</v>
      </c>
      <c r="F13" s="1343">
        <v>83005</v>
      </c>
      <c r="G13" s="1343">
        <v>615022</v>
      </c>
      <c r="H13" s="1343"/>
      <c r="I13" s="1343">
        <v>3778</v>
      </c>
      <c r="J13" s="1343"/>
      <c r="K13" s="1343"/>
      <c r="L13" s="1340">
        <f t="shared" si="0"/>
        <v>618800</v>
      </c>
      <c r="M13" s="1343">
        <v>643925</v>
      </c>
    </row>
    <row r="14" spans="2:14" ht="20.100000000000001" customHeight="1" x14ac:dyDescent="0.2">
      <c r="B14" s="1337" t="s">
        <v>2152</v>
      </c>
      <c r="C14" s="1341" t="s">
        <v>2134</v>
      </c>
      <c r="D14" s="1342" t="s">
        <v>2136</v>
      </c>
      <c r="E14" s="1343"/>
      <c r="F14" s="1343">
        <v>521116</v>
      </c>
      <c r="G14" s="1343"/>
      <c r="H14" s="1343"/>
      <c r="I14" s="1343">
        <v>636377</v>
      </c>
      <c r="J14" s="1343"/>
      <c r="K14" s="1343"/>
      <c r="L14" s="1340">
        <f t="shared" si="0"/>
        <v>636377</v>
      </c>
      <c r="M14" s="1343">
        <v>700573</v>
      </c>
    </row>
    <row r="15" spans="2:14" ht="20.100000000000001" customHeight="1" x14ac:dyDescent="0.2">
      <c r="B15" s="1337" t="s">
        <v>2137</v>
      </c>
      <c r="C15" s="1341"/>
      <c r="D15" s="1342"/>
      <c r="E15" s="1343">
        <f>+E14+E13</f>
        <v>535097</v>
      </c>
      <c r="F15" s="1343">
        <f>+F14+F13</f>
        <v>604121</v>
      </c>
      <c r="G15" s="1343">
        <f>+G14+G13</f>
        <v>615022</v>
      </c>
      <c r="H15" s="1343"/>
      <c r="I15" s="1343">
        <f>+I14+I13</f>
        <v>640155</v>
      </c>
      <c r="J15" s="1343"/>
      <c r="K15" s="1343"/>
      <c r="L15" s="1340">
        <f t="shared" si="0"/>
        <v>1255177</v>
      </c>
      <c r="M15" s="1343">
        <f>+M14+M13</f>
        <v>1344498</v>
      </c>
    </row>
    <row r="16" spans="2:14" ht="20.100000000000001" customHeight="1" x14ac:dyDescent="0.2">
      <c r="B16" s="1337" t="s">
        <v>2138</v>
      </c>
      <c r="C16" s="1341">
        <v>84.358000000000004</v>
      </c>
      <c r="D16" s="1342" t="s">
        <v>2139</v>
      </c>
      <c r="E16" s="1343">
        <v>37826</v>
      </c>
      <c r="F16" s="1343">
        <v>15842</v>
      </c>
      <c r="G16" s="1343">
        <v>53668</v>
      </c>
      <c r="H16" s="1343"/>
      <c r="I16" s="1343">
        <v>0</v>
      </c>
      <c r="J16" s="1343"/>
      <c r="K16" s="1343"/>
      <c r="L16" s="1340">
        <f t="shared" si="0"/>
        <v>53668</v>
      </c>
      <c r="M16" s="1343">
        <v>53816</v>
      </c>
    </row>
    <row r="17" spans="2:14" ht="20.100000000000001" customHeight="1" x14ac:dyDescent="0.2">
      <c r="B17" s="1337" t="s">
        <v>2140</v>
      </c>
      <c r="C17" s="1341">
        <v>84.358000000000004</v>
      </c>
      <c r="D17" s="1342" t="s">
        <v>2141</v>
      </c>
      <c r="E17" s="1343"/>
      <c r="F17" s="1343">
        <v>18702</v>
      </c>
      <c r="G17" s="1343"/>
      <c r="H17" s="1343"/>
      <c r="I17" s="1343">
        <v>35651</v>
      </c>
      <c r="J17" s="1343"/>
      <c r="K17" s="1343"/>
      <c r="L17" s="1340">
        <f t="shared" si="0"/>
        <v>35651</v>
      </c>
      <c r="M17" s="1343">
        <v>43537</v>
      </c>
    </row>
    <row r="18" spans="2:14" ht="20.100000000000001" customHeight="1" x14ac:dyDescent="0.2">
      <c r="B18" s="1337" t="s">
        <v>2142</v>
      </c>
      <c r="C18" s="1341"/>
      <c r="D18" s="1342"/>
      <c r="E18" s="1343">
        <f>+E17+E16</f>
        <v>37826</v>
      </c>
      <c r="F18" s="1343">
        <f>+F17+F16</f>
        <v>34544</v>
      </c>
      <c r="G18" s="1343">
        <f>+G17+G16</f>
        <v>53668</v>
      </c>
      <c r="H18" s="1343"/>
      <c r="I18" s="1343">
        <f>+I17+I16</f>
        <v>35651</v>
      </c>
      <c r="J18" s="1343"/>
      <c r="K18" s="1343"/>
      <c r="L18" s="1340">
        <f t="shared" si="0"/>
        <v>89319</v>
      </c>
      <c r="M18" s="1343">
        <f>+M17+M16</f>
        <v>97353</v>
      </c>
    </row>
    <row r="19" spans="2:14" ht="20.100000000000001" customHeight="1" x14ac:dyDescent="0.2">
      <c r="B19" s="1337" t="s">
        <v>2143</v>
      </c>
      <c r="C19" s="1341" t="s">
        <v>2144</v>
      </c>
      <c r="D19" s="1342" t="s">
        <v>2145</v>
      </c>
      <c r="E19" s="1343">
        <v>70347</v>
      </c>
      <c r="F19" s="1343">
        <v>38934</v>
      </c>
      <c r="G19" s="1343">
        <v>96619</v>
      </c>
      <c r="H19" s="1343"/>
      <c r="I19" s="1343">
        <v>12662</v>
      </c>
      <c r="J19" s="1343"/>
      <c r="K19" s="1343"/>
      <c r="L19" s="1340">
        <f t="shared" si="0"/>
        <v>109281</v>
      </c>
      <c r="M19" s="1343">
        <v>109281</v>
      </c>
    </row>
    <row r="20" spans="2:14" ht="20.100000000000001" customHeight="1" x14ac:dyDescent="0.2">
      <c r="B20" s="1337" t="s">
        <v>2146</v>
      </c>
      <c r="C20" s="1341" t="s">
        <v>2144</v>
      </c>
      <c r="D20" s="1342" t="s">
        <v>2147</v>
      </c>
      <c r="E20" s="1343"/>
      <c r="F20" s="1343">
        <v>93481</v>
      </c>
      <c r="G20" s="1343"/>
      <c r="H20" s="1343"/>
      <c r="I20" s="1343">
        <v>115152</v>
      </c>
      <c r="J20" s="1343"/>
      <c r="K20" s="1343"/>
      <c r="L20" s="1340">
        <f t="shared" si="0"/>
        <v>115152</v>
      </c>
      <c r="M20" s="1343">
        <v>115391</v>
      </c>
    </row>
    <row r="21" spans="2:14" ht="20.100000000000001" customHeight="1" x14ac:dyDescent="0.2">
      <c r="B21" s="1337" t="s">
        <v>2148</v>
      </c>
      <c r="C21" s="1341"/>
      <c r="D21" s="1342"/>
      <c r="E21" s="1343">
        <f>+E20+E19</f>
        <v>70347</v>
      </c>
      <c r="F21" s="1343">
        <f>+F20+F19</f>
        <v>132415</v>
      </c>
      <c r="G21" s="1343">
        <f>+G20+G19</f>
        <v>96619</v>
      </c>
      <c r="H21" s="1343"/>
      <c r="I21" s="1343">
        <f>+I20+I19</f>
        <v>127814</v>
      </c>
      <c r="J21" s="1343"/>
      <c r="K21" s="1343"/>
      <c r="L21" s="1340">
        <f t="shared" si="0"/>
        <v>224433</v>
      </c>
      <c r="M21" s="1343">
        <f>+M20+M19</f>
        <v>224672</v>
      </c>
    </row>
    <row r="22" spans="2:14" ht="20.100000000000001" customHeight="1" x14ac:dyDescent="0.2">
      <c r="B22" s="1337" t="s">
        <v>2149</v>
      </c>
      <c r="C22" s="1341">
        <v>84.424000000000007</v>
      </c>
      <c r="D22" s="1342" t="s">
        <v>2150</v>
      </c>
      <c r="E22" s="1343"/>
      <c r="F22" s="1343">
        <v>4019</v>
      </c>
      <c r="G22" s="1343"/>
      <c r="H22" s="1343"/>
      <c r="I22" s="1343">
        <v>14999</v>
      </c>
      <c r="J22" s="1343"/>
      <c r="K22" s="1343"/>
      <c r="L22" s="1340">
        <f t="shared" si="0"/>
        <v>14999</v>
      </c>
      <c r="M22" s="1343">
        <v>19825</v>
      </c>
    </row>
    <row r="23" spans="2:14" ht="20.100000000000001" customHeight="1" x14ac:dyDescent="0.2">
      <c r="B23" s="1337" t="s">
        <v>2153</v>
      </c>
      <c r="C23" s="1341"/>
      <c r="D23" s="1342"/>
      <c r="E23" s="1343"/>
      <c r="F23" s="1343"/>
      <c r="G23" s="1343"/>
      <c r="H23" s="1343"/>
      <c r="I23" s="1343"/>
      <c r="J23" s="1343"/>
      <c r="K23" s="1343"/>
      <c r="L23" s="1340">
        <f t="shared" si="0"/>
        <v>0</v>
      </c>
      <c r="M23" s="1343"/>
    </row>
    <row r="24" spans="2:14" ht="20.100000000000001" customHeight="1" x14ac:dyDescent="0.2">
      <c r="B24" s="1337" t="s">
        <v>2154</v>
      </c>
      <c r="C24" s="1341"/>
      <c r="D24" s="1342"/>
      <c r="E24" s="1343"/>
      <c r="F24" s="1343"/>
      <c r="G24" s="1343"/>
      <c r="H24" s="1343"/>
      <c r="I24" s="1343"/>
      <c r="J24" s="1343"/>
      <c r="K24" s="1343"/>
      <c r="L24" s="1340">
        <f t="shared" si="0"/>
        <v>0</v>
      </c>
      <c r="M24" s="1343"/>
    </row>
    <row r="25" spans="2:14" ht="20.100000000000001" customHeight="1" x14ac:dyDescent="0.2">
      <c r="B25" s="1337" t="s">
        <v>2155</v>
      </c>
      <c r="C25" s="1341" t="s">
        <v>2156</v>
      </c>
      <c r="D25" s="1342" t="s">
        <v>2157</v>
      </c>
      <c r="E25" s="1343"/>
      <c r="F25" s="1343">
        <v>32576</v>
      </c>
      <c r="G25" s="1343"/>
      <c r="H25" s="1343"/>
      <c r="I25" s="1343">
        <v>32576</v>
      </c>
      <c r="J25" s="1343"/>
      <c r="K25" s="1343"/>
      <c r="L25" s="1340">
        <f t="shared" si="0"/>
        <v>32576</v>
      </c>
      <c r="M25" s="1343" t="s">
        <v>2131</v>
      </c>
    </row>
    <row r="26" spans="2:14" ht="20.100000000000001" customHeight="1" x14ac:dyDescent="0.2">
      <c r="B26" s="1337" t="s">
        <v>2158</v>
      </c>
      <c r="C26" s="1341" t="s">
        <v>2156</v>
      </c>
      <c r="D26" s="1342" t="s">
        <v>2157</v>
      </c>
      <c r="E26" s="1343">
        <v>53893</v>
      </c>
      <c r="F26" s="1343">
        <v>15384</v>
      </c>
      <c r="G26" s="1343">
        <v>69277</v>
      </c>
      <c r="H26" s="1343"/>
      <c r="I26" s="1343">
        <v>0</v>
      </c>
      <c r="J26" s="1343"/>
      <c r="K26" s="1343"/>
      <c r="L26" s="1340">
        <f t="shared" si="0"/>
        <v>69277</v>
      </c>
      <c r="M26" s="1343" t="s">
        <v>2131</v>
      </c>
    </row>
    <row r="27" spans="2:14" ht="20.100000000000001" customHeight="1" x14ac:dyDescent="0.2">
      <c r="B27" s="1337" t="s">
        <v>2159</v>
      </c>
      <c r="C27" s="1341"/>
      <c r="D27" s="1342"/>
      <c r="E27" s="1343">
        <f>+E26+E25</f>
        <v>53893</v>
      </c>
      <c r="F27" s="1343">
        <f>+F26+F25</f>
        <v>47960</v>
      </c>
      <c r="G27" s="1343">
        <f>+G26+G25</f>
        <v>69277</v>
      </c>
      <c r="H27" s="1343"/>
      <c r="I27" s="1343">
        <f>+I26+I25</f>
        <v>32576</v>
      </c>
      <c r="J27" s="1343"/>
      <c r="K27" s="1343"/>
      <c r="L27" s="1340">
        <f t="shared" si="0"/>
        <v>101853</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1838</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1839</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1840</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1841</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1842</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8"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1894</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2083</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t="s">
        <v>2092</v>
      </c>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F27" sqref="F2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Canton Union School District  66</v>
      </c>
      <c r="C1" s="2463"/>
      <c r="D1" s="2463"/>
      <c r="E1" s="2463"/>
      <c r="F1" s="2463"/>
      <c r="G1" s="2463"/>
      <c r="H1" s="2463"/>
      <c r="I1" s="2463"/>
      <c r="J1" s="2463"/>
      <c r="K1" s="2463"/>
      <c r="L1" s="2463"/>
      <c r="M1" s="2463"/>
    </row>
    <row r="2" spans="2:14" ht="15" x14ac:dyDescent="0.2">
      <c r="B2" s="2460">
        <f>'Single Audit Cover'!E7</f>
        <v>26029066025</v>
      </c>
      <c r="C2" s="2460"/>
      <c r="D2" s="2460"/>
      <c r="E2" s="2460"/>
      <c r="F2" s="2460"/>
      <c r="G2" s="2460"/>
      <c r="H2" s="2460"/>
      <c r="I2" s="2460"/>
      <c r="J2" s="2460"/>
      <c r="K2" s="2460"/>
      <c r="L2" s="2460"/>
      <c r="M2" s="2460"/>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1836</v>
      </c>
      <c r="D9" s="1314" t="s">
        <v>1837</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2132</v>
      </c>
      <c r="C11" s="1338"/>
      <c r="D11" s="1339"/>
      <c r="E11" s="1340"/>
      <c r="F11" s="1340"/>
      <c r="G11" s="1340"/>
      <c r="H11" s="1340"/>
      <c r="I11" s="1340"/>
      <c r="J11" s="1340"/>
      <c r="K11" s="1340"/>
      <c r="L11" s="1340">
        <f>+G11+I11+K11</f>
        <v>0</v>
      </c>
      <c r="M11" s="1340"/>
    </row>
    <row r="12" spans="2:14" ht="20.100000000000001" customHeight="1" x14ac:dyDescent="0.2">
      <c r="B12" s="1337" t="s">
        <v>2160</v>
      </c>
      <c r="C12" s="1341"/>
      <c r="D12" s="1342"/>
      <c r="E12" s="1343"/>
      <c r="F12" s="1343"/>
      <c r="G12" s="1343"/>
      <c r="H12" s="1343"/>
      <c r="I12" s="1343"/>
      <c r="J12" s="1343"/>
      <c r="K12" s="1343"/>
      <c r="L12" s="1340">
        <f t="shared" ref="L12:L27" si="0">+G12+I12+K12</f>
        <v>0</v>
      </c>
      <c r="M12" s="1343"/>
    </row>
    <row r="13" spans="2:14" ht="20.100000000000001" customHeight="1" x14ac:dyDescent="0.2">
      <c r="B13" s="1337" t="s">
        <v>2161</v>
      </c>
      <c r="C13" s="1341"/>
      <c r="D13" s="1342"/>
      <c r="E13" s="1343"/>
      <c r="F13" s="1343"/>
      <c r="G13" s="1343"/>
      <c r="H13" s="1343"/>
      <c r="I13" s="1343"/>
      <c r="J13" s="1343"/>
      <c r="K13" s="1343"/>
      <c r="L13" s="1340">
        <f t="shared" si="0"/>
        <v>0</v>
      </c>
      <c r="M13" s="1343"/>
    </row>
    <row r="14" spans="2:14" ht="20.100000000000001" customHeight="1" x14ac:dyDescent="0.2">
      <c r="B14" s="1337" t="s">
        <v>2162</v>
      </c>
      <c r="C14" s="1341" t="s">
        <v>2163</v>
      </c>
      <c r="D14" s="1342" t="s">
        <v>2164</v>
      </c>
      <c r="E14" s="1343">
        <v>44205</v>
      </c>
      <c r="F14" s="1343">
        <v>63371</v>
      </c>
      <c r="G14" s="1343">
        <v>107576</v>
      </c>
      <c r="H14" s="1343"/>
      <c r="I14" s="1343"/>
      <c r="J14" s="1343"/>
      <c r="K14" s="1343"/>
      <c r="L14" s="1340">
        <f t="shared" si="0"/>
        <v>107576</v>
      </c>
      <c r="M14" s="1343">
        <v>107576</v>
      </c>
    </row>
    <row r="15" spans="2:14" ht="20.100000000000001" customHeight="1" x14ac:dyDescent="0.2">
      <c r="B15" s="1337" t="s">
        <v>2165</v>
      </c>
      <c r="C15" s="1341" t="s">
        <v>2163</v>
      </c>
      <c r="D15" s="1342" t="s">
        <v>2166</v>
      </c>
      <c r="E15" s="1343"/>
      <c r="F15" s="1343">
        <v>83497</v>
      </c>
      <c r="G15" s="1343"/>
      <c r="H15" s="1343"/>
      <c r="I15" s="1343">
        <v>107573</v>
      </c>
      <c r="J15" s="1343"/>
      <c r="K15" s="1343"/>
      <c r="L15" s="1340">
        <f t="shared" si="0"/>
        <v>107573</v>
      </c>
      <c r="M15" s="1343">
        <v>107573</v>
      </c>
    </row>
    <row r="16" spans="2:14" ht="20.100000000000001" customHeight="1" x14ac:dyDescent="0.2">
      <c r="B16" s="1337" t="s">
        <v>2167</v>
      </c>
      <c r="C16" s="1341"/>
      <c r="D16" s="1342"/>
      <c r="E16" s="1343">
        <f>+E15+E14</f>
        <v>44205</v>
      </c>
      <c r="F16" s="1343">
        <f>+F15+F14</f>
        <v>146868</v>
      </c>
      <c r="G16" s="1343">
        <f>+G15+G14</f>
        <v>107576</v>
      </c>
      <c r="H16" s="1343"/>
      <c r="I16" s="1343">
        <f>+I15+I14</f>
        <v>107573</v>
      </c>
      <c r="J16" s="1343"/>
      <c r="K16" s="1343"/>
      <c r="L16" s="1340">
        <f t="shared" si="0"/>
        <v>215149</v>
      </c>
      <c r="M16" s="1343">
        <f>+M15+M14</f>
        <v>215149</v>
      </c>
    </row>
    <row r="17" spans="2:14" ht="20.100000000000001" customHeight="1" x14ac:dyDescent="0.2">
      <c r="B17" s="1337" t="s">
        <v>2168</v>
      </c>
      <c r="C17" s="1341"/>
      <c r="D17" s="1342"/>
      <c r="E17" s="1343">
        <f>+E16+' SEFA'!E27+' SEFA'!E22+' SEFA'!E21+' SEFA'!E18+' SEFA'!E15</f>
        <v>741368</v>
      </c>
      <c r="F17" s="1343">
        <f>+F16+' SEFA'!F27+' SEFA'!F22+' SEFA'!F21+' SEFA'!F18+' SEFA'!F15</f>
        <v>969927</v>
      </c>
      <c r="G17" s="1343">
        <f>+G16+' SEFA'!G27+' SEFA'!G22+' SEFA'!G21+' SEFA'!G18+' SEFA'!G15</f>
        <v>942162</v>
      </c>
      <c r="H17" s="1343"/>
      <c r="I17" s="1343">
        <f>+I16+' SEFA'!I27+' SEFA'!I22+' SEFA'!I21+' SEFA'!I18+' SEFA'!I15</f>
        <v>958768</v>
      </c>
      <c r="J17" s="1343"/>
      <c r="K17" s="1343"/>
      <c r="L17" s="1340">
        <f t="shared" si="0"/>
        <v>1900930</v>
      </c>
      <c r="M17" s="1343">
        <f>+M16+' SEFA'!M22+' SEFA'!M21+' SEFA'!M18+' SEFA'!M15</f>
        <v>1901497</v>
      </c>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t="s">
        <v>2169</v>
      </c>
      <c r="C19" s="1341"/>
      <c r="D19" s="1342"/>
      <c r="E19" s="1343"/>
      <c r="F19" s="1343"/>
      <c r="G19" s="1343"/>
      <c r="H19" s="1343"/>
      <c r="I19" s="1343"/>
      <c r="J19" s="1343"/>
      <c r="K19" s="1343"/>
      <c r="L19" s="1340">
        <f t="shared" si="0"/>
        <v>0</v>
      </c>
      <c r="M19" s="1343"/>
    </row>
    <row r="20" spans="2:14" ht="20.100000000000001" customHeight="1" x14ac:dyDescent="0.2">
      <c r="B20" s="1337" t="s">
        <v>2170</v>
      </c>
      <c r="C20" s="1341"/>
      <c r="D20" s="1342"/>
      <c r="E20" s="1343"/>
      <c r="F20" s="1343"/>
      <c r="G20" s="1343"/>
      <c r="H20" s="1343"/>
      <c r="I20" s="1343"/>
      <c r="J20" s="1343"/>
      <c r="K20" s="1343"/>
      <c r="L20" s="1340">
        <f t="shared" si="0"/>
        <v>0</v>
      </c>
      <c r="M20" s="1343"/>
    </row>
    <row r="21" spans="2:14" ht="20.100000000000001" customHeight="1" x14ac:dyDescent="0.2">
      <c r="B21" s="1337" t="s">
        <v>2171</v>
      </c>
      <c r="C21" s="1341"/>
      <c r="D21" s="1342"/>
      <c r="E21" s="1343"/>
      <c r="F21" s="1343"/>
      <c r="G21" s="1343"/>
      <c r="H21" s="1343"/>
      <c r="I21" s="1343"/>
      <c r="J21" s="1343"/>
      <c r="K21" s="1343"/>
      <c r="L21" s="1340">
        <f t="shared" si="0"/>
        <v>0</v>
      </c>
      <c r="M21" s="1343"/>
    </row>
    <row r="22" spans="2:14" ht="20.100000000000001" customHeight="1" x14ac:dyDescent="0.2">
      <c r="B22" s="1337" t="s">
        <v>2172</v>
      </c>
      <c r="C22" s="1341">
        <v>10.555</v>
      </c>
      <c r="D22" s="1342" t="s">
        <v>2173</v>
      </c>
      <c r="E22" s="1343"/>
      <c r="F22" s="1343">
        <v>29269</v>
      </c>
      <c r="G22" s="1343"/>
      <c r="H22" s="1343"/>
      <c r="I22" s="1343">
        <v>29269</v>
      </c>
      <c r="J22" s="1343"/>
      <c r="K22" s="1343"/>
      <c r="L22" s="1340">
        <f t="shared" si="0"/>
        <v>29269</v>
      </c>
      <c r="M22" s="1343" t="s">
        <v>2131</v>
      </c>
    </row>
    <row r="23" spans="2:14" ht="20.100000000000001" customHeight="1" x14ac:dyDescent="0.2">
      <c r="B23" s="1337" t="s">
        <v>2154</v>
      </c>
      <c r="C23" s="1341"/>
      <c r="D23" s="1342"/>
      <c r="E23" s="1343"/>
      <c r="F23" s="1343"/>
      <c r="G23" s="1343"/>
      <c r="H23" s="1343"/>
      <c r="I23" s="1343"/>
      <c r="J23" s="1343"/>
      <c r="K23" s="1343"/>
      <c r="L23" s="1340">
        <f t="shared" si="0"/>
        <v>0</v>
      </c>
      <c r="M23" s="1343"/>
    </row>
    <row r="24" spans="2:14" ht="20.100000000000001" customHeight="1" x14ac:dyDescent="0.2">
      <c r="B24" s="1337" t="s">
        <v>2174</v>
      </c>
      <c r="C24" s="1341">
        <v>10.555</v>
      </c>
      <c r="D24" s="1342" t="s">
        <v>2173</v>
      </c>
      <c r="E24" s="1343"/>
      <c r="F24" s="1343">
        <v>45292</v>
      </c>
      <c r="G24" s="1343"/>
      <c r="H24" s="1343"/>
      <c r="I24" s="1343">
        <v>45292</v>
      </c>
      <c r="J24" s="1343"/>
      <c r="K24" s="1343"/>
      <c r="L24" s="1340">
        <f t="shared" si="0"/>
        <v>45292</v>
      </c>
      <c r="M24" s="1343" t="s">
        <v>2131</v>
      </c>
    </row>
    <row r="25" spans="2:14" ht="20.100000000000001" customHeight="1" x14ac:dyDescent="0.2">
      <c r="B25" s="1337" t="s">
        <v>2175</v>
      </c>
      <c r="C25" s="1341">
        <v>10.555</v>
      </c>
      <c r="D25" s="1342" t="s">
        <v>2177</v>
      </c>
      <c r="E25" s="1343">
        <v>412653</v>
      </c>
      <c r="F25" s="1343">
        <v>93989</v>
      </c>
      <c r="G25" s="1343">
        <v>412653</v>
      </c>
      <c r="H25" s="1343"/>
      <c r="I25" s="1343">
        <v>93989</v>
      </c>
      <c r="J25" s="1343"/>
      <c r="K25" s="1343"/>
      <c r="L25" s="1340">
        <f t="shared" si="0"/>
        <v>506642</v>
      </c>
      <c r="M25" s="1343" t="s">
        <v>2131</v>
      </c>
    </row>
    <row r="26" spans="2:14" ht="20.100000000000001" customHeight="1" x14ac:dyDescent="0.2">
      <c r="B26" s="1337" t="s">
        <v>2178</v>
      </c>
      <c r="C26" s="1341">
        <v>10.555</v>
      </c>
      <c r="D26" s="1342" t="s">
        <v>2176</v>
      </c>
      <c r="E26" s="1343"/>
      <c r="F26" s="1343">
        <v>414656</v>
      </c>
      <c r="G26" s="1343"/>
      <c r="H26" s="1343"/>
      <c r="I26" s="1343">
        <v>414656</v>
      </c>
      <c r="J26" s="1343"/>
      <c r="K26" s="1343"/>
      <c r="L26" s="1340">
        <f t="shared" si="0"/>
        <v>414656</v>
      </c>
      <c r="M26" s="1343" t="s">
        <v>2131</v>
      </c>
    </row>
    <row r="27" spans="2:14" ht="20.100000000000001" customHeight="1" x14ac:dyDescent="0.2">
      <c r="B27" s="1337" t="s">
        <v>2179</v>
      </c>
      <c r="C27" s="1341"/>
      <c r="D27" s="1342"/>
      <c r="E27" s="1343">
        <f>+E26+E25+E24</f>
        <v>412653</v>
      </c>
      <c r="F27" s="1343">
        <f>+F26+F25+F24</f>
        <v>553937</v>
      </c>
      <c r="G27" s="1343">
        <f>+G26+G25+G24</f>
        <v>412653</v>
      </c>
      <c r="H27" s="1343"/>
      <c r="I27" s="1343">
        <f>+I26+I25+I24</f>
        <v>553937</v>
      </c>
      <c r="J27" s="1343"/>
      <c r="K27" s="1343"/>
      <c r="L27" s="1340">
        <f t="shared" si="0"/>
        <v>966590</v>
      </c>
      <c r="M27" s="1343" t="s">
        <v>2131</v>
      </c>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1838</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1839</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1840</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1841</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1842</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F15" sqref="F1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Canton Union School District  66</v>
      </c>
      <c r="C1" s="2463"/>
      <c r="D1" s="2463"/>
      <c r="E1" s="2463"/>
      <c r="F1" s="2463"/>
      <c r="G1" s="2463"/>
      <c r="H1" s="2463"/>
      <c r="I1" s="2463"/>
      <c r="J1" s="2463"/>
      <c r="K1" s="2463"/>
      <c r="L1" s="2463"/>
      <c r="M1" s="2463"/>
    </row>
    <row r="2" spans="2:14" ht="15" x14ac:dyDescent="0.2">
      <c r="B2" s="2460">
        <f>'Single Audit Cover'!E7</f>
        <v>26029066025</v>
      </c>
      <c r="C2" s="2460"/>
      <c r="D2" s="2460"/>
      <c r="E2" s="2460"/>
      <c r="F2" s="2460"/>
      <c r="G2" s="2460"/>
      <c r="H2" s="2460"/>
      <c r="I2" s="2460"/>
      <c r="J2" s="2460"/>
      <c r="K2" s="2460"/>
      <c r="L2" s="2460"/>
      <c r="M2" s="2460"/>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1836</v>
      </c>
      <c r="D9" s="1314" t="s">
        <v>1837</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2180</v>
      </c>
      <c r="C11" s="1338"/>
      <c r="D11" s="1339"/>
      <c r="E11" s="1340"/>
      <c r="F11" s="1340"/>
      <c r="G11" s="1340"/>
      <c r="H11" s="1340"/>
      <c r="I11" s="1340"/>
      <c r="J11" s="1340"/>
      <c r="K11" s="1340"/>
      <c r="L11" s="1340">
        <f>+G11+I11+K11</f>
        <v>0</v>
      </c>
      <c r="M11" s="1340"/>
    </row>
    <row r="12" spans="2:14" ht="20.100000000000001" customHeight="1" x14ac:dyDescent="0.2">
      <c r="B12" s="1337" t="s">
        <v>2181</v>
      </c>
      <c r="C12" s="1341"/>
      <c r="D12" s="1342"/>
      <c r="E12" s="1343"/>
      <c r="F12" s="1343"/>
      <c r="G12" s="1343"/>
      <c r="H12" s="1343"/>
      <c r="I12" s="1343"/>
      <c r="J12" s="1343"/>
      <c r="K12" s="1343"/>
      <c r="L12" s="1340">
        <f t="shared" ref="L12:L27" si="0">+G12+I12+K12</f>
        <v>0</v>
      </c>
      <c r="M12" s="1343"/>
    </row>
    <row r="13" spans="2:14" ht="20.100000000000001" customHeight="1" x14ac:dyDescent="0.2">
      <c r="B13" s="1337" t="s">
        <v>2182</v>
      </c>
      <c r="C13" s="1341">
        <v>10.553000000000001</v>
      </c>
      <c r="D13" s="1342" t="s">
        <v>2183</v>
      </c>
      <c r="E13" s="1343">
        <v>113226</v>
      </c>
      <c r="F13" s="1343">
        <v>25043</v>
      </c>
      <c r="G13" s="1343">
        <v>113226</v>
      </c>
      <c r="H13" s="1343"/>
      <c r="I13" s="1343">
        <v>25043</v>
      </c>
      <c r="J13" s="1343"/>
      <c r="K13" s="1343"/>
      <c r="L13" s="1340">
        <f t="shared" si="0"/>
        <v>138269</v>
      </c>
      <c r="M13" s="1343" t="s">
        <v>2131</v>
      </c>
    </row>
    <row r="14" spans="2:14" ht="20.100000000000001" customHeight="1" x14ac:dyDescent="0.2">
      <c r="B14" s="1337" t="s">
        <v>2184</v>
      </c>
      <c r="C14" s="1341">
        <v>10.553000000000001</v>
      </c>
      <c r="D14" s="1342" t="s">
        <v>2185</v>
      </c>
      <c r="E14" s="1343"/>
      <c r="F14" s="1343">
        <v>115440</v>
      </c>
      <c r="G14" s="1343"/>
      <c r="H14" s="1343"/>
      <c r="I14" s="1343">
        <v>115440</v>
      </c>
      <c r="J14" s="1343"/>
      <c r="K14" s="1343"/>
      <c r="L14" s="1340">
        <f t="shared" si="0"/>
        <v>115440</v>
      </c>
      <c r="M14" s="1343" t="s">
        <v>2131</v>
      </c>
    </row>
    <row r="15" spans="2:14" ht="20.100000000000001" customHeight="1" x14ac:dyDescent="0.2">
      <c r="B15" s="1337" t="s">
        <v>2186</v>
      </c>
      <c r="C15" s="1341"/>
      <c r="D15" s="1342"/>
      <c r="E15" s="1343">
        <f>+E14+E13</f>
        <v>113226</v>
      </c>
      <c r="F15" s="1343">
        <f>+F14+F13</f>
        <v>140483</v>
      </c>
      <c r="G15" s="1343">
        <f>+G14+G13</f>
        <v>113226</v>
      </c>
      <c r="H15" s="1343"/>
      <c r="I15" s="1343">
        <f>+I14+I13</f>
        <v>140483</v>
      </c>
      <c r="J15" s="1343"/>
      <c r="K15" s="1343"/>
      <c r="L15" s="1340">
        <f t="shared" si="0"/>
        <v>253709</v>
      </c>
      <c r="M15" s="1343" t="s">
        <v>2131</v>
      </c>
    </row>
    <row r="16" spans="2:14" ht="20.100000000000001" customHeight="1" x14ac:dyDescent="0.2">
      <c r="B16" s="1337" t="s">
        <v>2187</v>
      </c>
      <c r="C16" s="1341"/>
      <c r="D16" s="1342"/>
      <c r="E16" s="1343">
        <f>+E15+' SEFA (2)'!E27+' SEFA (2)'!E22</f>
        <v>525879</v>
      </c>
      <c r="F16" s="1343">
        <f>+F15+' SEFA (2)'!F27+' SEFA (2)'!F22</f>
        <v>723689</v>
      </c>
      <c r="G16" s="1343">
        <f>+G15+' SEFA (2)'!G27+' SEFA (2)'!G22</f>
        <v>525879</v>
      </c>
      <c r="H16" s="1343"/>
      <c r="I16" s="1343">
        <f>+I15+' SEFA (2)'!I27+' SEFA (2)'!I22</f>
        <v>723689</v>
      </c>
      <c r="J16" s="1343"/>
      <c r="K16" s="1343"/>
      <c r="L16" s="1340">
        <f t="shared" si="0"/>
        <v>1249568</v>
      </c>
      <c r="M16" s="1343" t="s">
        <v>2131</v>
      </c>
    </row>
    <row r="17" spans="2:14" ht="20.100000000000001" customHeight="1" x14ac:dyDescent="0.2">
      <c r="B17" s="1337" t="s">
        <v>2188</v>
      </c>
      <c r="C17" s="1341">
        <v>10.558</v>
      </c>
      <c r="D17" s="1342" t="s">
        <v>2189</v>
      </c>
      <c r="E17" s="1343">
        <v>3245</v>
      </c>
      <c r="F17" s="1343">
        <v>666</v>
      </c>
      <c r="G17" s="1343">
        <v>3245</v>
      </c>
      <c r="H17" s="1343"/>
      <c r="I17" s="1343">
        <v>666</v>
      </c>
      <c r="J17" s="1343"/>
      <c r="K17" s="1343"/>
      <c r="L17" s="1340">
        <f t="shared" si="0"/>
        <v>3911</v>
      </c>
      <c r="M17" s="1343" t="s">
        <v>2131</v>
      </c>
    </row>
    <row r="18" spans="2:14" ht="20.100000000000001" customHeight="1" x14ac:dyDescent="0.2">
      <c r="B18" s="1337" t="s">
        <v>2190</v>
      </c>
      <c r="C18" s="1341">
        <v>10.558</v>
      </c>
      <c r="D18" s="1342" t="s">
        <v>2191</v>
      </c>
      <c r="E18" s="1343"/>
      <c r="F18" s="1343">
        <v>4606</v>
      </c>
      <c r="G18" s="1343"/>
      <c r="H18" s="1343"/>
      <c r="I18" s="1343">
        <v>4606</v>
      </c>
      <c r="J18" s="1343"/>
      <c r="K18" s="1343"/>
      <c r="L18" s="1340">
        <f t="shared" si="0"/>
        <v>4606</v>
      </c>
      <c r="M18" s="1343" t="s">
        <v>2131</v>
      </c>
    </row>
    <row r="19" spans="2:14" ht="20.100000000000001" customHeight="1" x14ac:dyDescent="0.2">
      <c r="B19" s="1337" t="s">
        <v>2192</v>
      </c>
      <c r="C19" s="1341"/>
      <c r="D19" s="1342"/>
      <c r="E19" s="1343">
        <f>+E18+E17</f>
        <v>3245</v>
      </c>
      <c r="F19" s="1343">
        <f>+F18+F17</f>
        <v>5272</v>
      </c>
      <c r="G19" s="1343">
        <f>+G18+G17</f>
        <v>3245</v>
      </c>
      <c r="H19" s="1343"/>
      <c r="I19" s="1343">
        <f>+I18+I17</f>
        <v>5272</v>
      </c>
      <c r="J19" s="1343"/>
      <c r="K19" s="1343"/>
      <c r="L19" s="1340">
        <f t="shared" si="0"/>
        <v>8517</v>
      </c>
      <c r="M19" s="1343" t="s">
        <v>2131</v>
      </c>
    </row>
    <row r="20" spans="2:14" ht="20.100000000000001" customHeight="1" x14ac:dyDescent="0.2">
      <c r="B20" s="1337" t="s">
        <v>2193</v>
      </c>
      <c r="C20" s="1341"/>
      <c r="D20" s="1342"/>
      <c r="E20" s="1343">
        <f>+E19+E16</f>
        <v>529124</v>
      </c>
      <c r="F20" s="1343">
        <f>+F19+F16</f>
        <v>728961</v>
      </c>
      <c r="G20" s="1343">
        <f>+G19+G16</f>
        <v>529124</v>
      </c>
      <c r="H20" s="1343"/>
      <c r="I20" s="1343">
        <f>+I19+I16</f>
        <v>728961</v>
      </c>
      <c r="J20" s="1343"/>
      <c r="K20" s="1343"/>
      <c r="L20" s="1340">
        <f t="shared" si="0"/>
        <v>1258085</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t="s">
        <v>2194</v>
      </c>
      <c r="C22" s="1341"/>
      <c r="D22" s="1342"/>
      <c r="E22" s="1343"/>
      <c r="F22" s="1343"/>
      <c r="G22" s="1343"/>
      <c r="H22" s="1343"/>
      <c r="I22" s="1343"/>
      <c r="J22" s="1343"/>
      <c r="K22" s="1343"/>
      <c r="L22" s="1340">
        <f t="shared" si="0"/>
        <v>0</v>
      </c>
      <c r="M22" s="1343"/>
    </row>
    <row r="23" spans="2:14" ht="20.100000000000001" customHeight="1" x14ac:dyDescent="0.2">
      <c r="B23" s="1337" t="s">
        <v>2195</v>
      </c>
      <c r="C23" s="1341"/>
      <c r="D23" s="1342"/>
      <c r="E23" s="1343"/>
      <c r="F23" s="1343"/>
      <c r="G23" s="1343"/>
      <c r="H23" s="1343"/>
      <c r="I23" s="1343"/>
      <c r="J23" s="1343"/>
      <c r="K23" s="1343"/>
      <c r="L23" s="1340">
        <f t="shared" si="0"/>
        <v>0</v>
      </c>
      <c r="M23" s="1343"/>
    </row>
    <row r="24" spans="2:14" ht="20.100000000000001" customHeight="1" x14ac:dyDescent="0.2">
      <c r="B24" s="1337" t="s">
        <v>2196</v>
      </c>
      <c r="C24" s="1341">
        <v>93.778000000000006</v>
      </c>
      <c r="D24" s="1342" t="s">
        <v>2197</v>
      </c>
      <c r="E24" s="1343">
        <v>24834</v>
      </c>
      <c r="F24" s="1343">
        <v>8773</v>
      </c>
      <c r="G24" s="1343">
        <v>35007</v>
      </c>
      <c r="H24" s="1343"/>
      <c r="I24" s="1343"/>
      <c r="J24" s="1343"/>
      <c r="K24" s="1343"/>
      <c r="L24" s="1340">
        <f t="shared" si="0"/>
        <v>35007</v>
      </c>
      <c r="M24" s="1343" t="s">
        <v>2131</v>
      </c>
    </row>
    <row r="25" spans="2:14" ht="20.100000000000001" customHeight="1" x14ac:dyDescent="0.2">
      <c r="B25" s="1337" t="s">
        <v>2198</v>
      </c>
      <c r="C25" s="1341">
        <v>93.778000000000006</v>
      </c>
      <c r="D25" s="1342" t="s">
        <v>2199</v>
      </c>
      <c r="E25" s="1343"/>
      <c r="F25" s="1343">
        <v>19731</v>
      </c>
      <c r="G25" s="1343"/>
      <c r="H25" s="1343"/>
      <c r="I25" s="1343">
        <v>28346</v>
      </c>
      <c r="J25" s="1343"/>
      <c r="K25" s="1343"/>
      <c r="L25" s="1340">
        <f t="shared" si="0"/>
        <v>28346</v>
      </c>
      <c r="M25" s="1343" t="s">
        <v>2131</v>
      </c>
    </row>
    <row r="26" spans="2:14" ht="20.100000000000001" customHeight="1" x14ac:dyDescent="0.2">
      <c r="B26" s="1337" t="s">
        <v>2200</v>
      </c>
      <c r="C26" s="1341"/>
      <c r="D26" s="1342"/>
      <c r="E26" s="1343">
        <f>+E25+E24</f>
        <v>24834</v>
      </c>
      <c r="F26" s="1343">
        <f>+F25+F24</f>
        <v>28504</v>
      </c>
      <c r="G26" s="1343">
        <f>+G25+G24</f>
        <v>35007</v>
      </c>
      <c r="H26" s="1343"/>
      <c r="I26" s="1343">
        <f>+I25+I24</f>
        <v>28346</v>
      </c>
      <c r="J26" s="1343"/>
      <c r="K26" s="1343"/>
      <c r="L26" s="1340">
        <f t="shared" si="0"/>
        <v>63353</v>
      </c>
      <c r="M26" s="1343" t="s">
        <v>2131</v>
      </c>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1838</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1839</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1840</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1841</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1842</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M16" sqref="M16"/>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Canton Union School District  66</v>
      </c>
      <c r="C1" s="2463"/>
      <c r="D1" s="2463"/>
      <c r="E1" s="2463"/>
      <c r="F1" s="2463"/>
      <c r="G1" s="2463"/>
      <c r="H1" s="2463"/>
      <c r="I1" s="2463"/>
      <c r="J1" s="2463"/>
      <c r="K1" s="2463"/>
      <c r="L1" s="2463"/>
      <c r="M1" s="2463"/>
    </row>
    <row r="2" spans="2:14" ht="15" x14ac:dyDescent="0.2">
      <c r="B2" s="2460">
        <f>'Single Audit Cover'!E7</f>
        <v>26029066025</v>
      </c>
      <c r="C2" s="2460"/>
      <c r="D2" s="2460"/>
      <c r="E2" s="2460"/>
      <c r="F2" s="2460"/>
      <c r="G2" s="2460"/>
      <c r="H2" s="2460"/>
      <c r="I2" s="2460"/>
      <c r="J2" s="2460"/>
      <c r="K2" s="2460"/>
      <c r="L2" s="2460"/>
      <c r="M2" s="2460"/>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1836</v>
      </c>
      <c r="D9" s="1314" t="s">
        <v>1837</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2201</v>
      </c>
      <c r="C11" s="1338"/>
      <c r="D11" s="1339"/>
      <c r="E11" s="1340"/>
      <c r="F11" s="1340"/>
      <c r="G11" s="1340"/>
      <c r="H11" s="1340"/>
      <c r="I11" s="1340"/>
      <c r="J11" s="1340"/>
      <c r="K11" s="1340"/>
      <c r="L11" s="1340">
        <f>+G11+I11+K11</f>
        <v>0</v>
      </c>
      <c r="M11" s="1340"/>
    </row>
    <row r="12" spans="2:14" ht="20.100000000000001" customHeight="1" x14ac:dyDescent="0.2">
      <c r="B12" s="1337" t="s">
        <v>2202</v>
      </c>
      <c r="C12" s="1341"/>
      <c r="D12" s="1342"/>
      <c r="E12" s="1343"/>
      <c r="F12" s="1343"/>
      <c r="G12" s="1343"/>
      <c r="H12" s="1343"/>
      <c r="I12" s="1343"/>
      <c r="J12" s="1343"/>
      <c r="K12" s="1343"/>
      <c r="L12" s="1340">
        <f t="shared" ref="L12:L27" si="0">+G12+I12+K12</f>
        <v>0</v>
      </c>
      <c r="M12" s="1343"/>
    </row>
    <row r="13" spans="2:14" ht="20.100000000000001" customHeight="1" x14ac:dyDescent="0.2">
      <c r="B13" s="1337" t="s">
        <v>2203</v>
      </c>
      <c r="C13" s="1341">
        <v>45.31</v>
      </c>
      <c r="D13" s="1342" t="s">
        <v>2204</v>
      </c>
      <c r="E13" s="1343"/>
      <c r="F13" s="1343">
        <v>4999</v>
      </c>
      <c r="G13" s="1343"/>
      <c r="H13" s="1343"/>
      <c r="I13" s="1343">
        <v>4999</v>
      </c>
      <c r="J13" s="1343"/>
      <c r="K13" s="1343"/>
      <c r="L13" s="1340">
        <f t="shared" si="0"/>
        <v>4999</v>
      </c>
      <c r="M13" s="1343" t="s">
        <v>2131</v>
      </c>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2205</v>
      </c>
      <c r="C15" s="1341"/>
      <c r="D15" s="1342"/>
      <c r="E15" s="1343">
        <f>+E13+' SEFA (3)'!E26+' SEFA (3)'!E20+' SEFA (2)'!E17</f>
        <v>1295326</v>
      </c>
      <c r="F15" s="1343">
        <f>+F13+' SEFA (3)'!F26+' SEFA (3)'!F20+' SEFA (2)'!F17</f>
        <v>1732391</v>
      </c>
      <c r="G15" s="1343">
        <f>+G13+' SEFA (3)'!G26+' SEFA (3)'!G20+' SEFA (2)'!G17</f>
        <v>1506293</v>
      </c>
      <c r="H15" s="1343"/>
      <c r="I15" s="1343">
        <f>+I13+' SEFA (3)'!I26+' SEFA (3)'!I20+' SEFA (2)'!I17</f>
        <v>1721074</v>
      </c>
      <c r="J15" s="1343"/>
      <c r="K15" s="1343"/>
      <c r="L15" s="1340">
        <f t="shared" si="0"/>
        <v>3227367</v>
      </c>
      <c r="M15" s="1343">
        <f>+' SEFA (2)'!M17</f>
        <v>1901497</v>
      </c>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1838</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1839</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1840</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1841</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1842</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D46" sqref="D46"/>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Canton Union School District  66</v>
      </c>
      <c r="C1" s="2478"/>
      <c r="D1" s="2478"/>
      <c r="E1" s="2478"/>
      <c r="F1" s="2478"/>
      <c r="G1" s="2478"/>
      <c r="H1" s="2478"/>
      <c r="I1" s="2478"/>
      <c r="J1" s="1422"/>
    </row>
    <row r="2" spans="2:10" s="317" customFormat="1" ht="12.75" customHeight="1" x14ac:dyDescent="0.2">
      <c r="B2" s="2479">
        <f>'Single Audit Cover'!E7</f>
        <v>26029066025</v>
      </c>
      <c r="C2" s="2480"/>
      <c r="D2" s="2480"/>
      <c r="E2" s="2480"/>
      <c r="F2" s="2480"/>
      <c r="G2" s="2480"/>
      <c r="H2" s="2480"/>
      <c r="I2" s="2480"/>
      <c r="J2" s="1422"/>
    </row>
    <row r="3" spans="2:10" s="317" customFormat="1" ht="12.75" customHeight="1" x14ac:dyDescent="0.2">
      <c r="B3" s="2481" t="s">
        <v>1347</v>
      </c>
      <c r="C3" s="2482"/>
      <c r="D3" s="2482"/>
      <c r="E3" s="2482"/>
      <c r="F3" s="2482"/>
      <c r="G3" s="2482"/>
      <c r="H3" s="2482"/>
      <c r="I3" s="2482"/>
      <c r="J3" s="1423"/>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1" t="s">
        <v>1346</v>
      </c>
      <c r="C7" s="2482"/>
      <c r="D7" s="2482"/>
      <c r="E7" s="2482"/>
      <c r="F7" s="2482"/>
      <c r="G7" s="2482"/>
      <c r="H7" s="2482"/>
      <c r="I7" s="248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3" t="s">
        <v>2206</v>
      </c>
      <c r="D11" s="2483"/>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2079</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2079</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2079</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2079</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2079</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4" t="s">
        <v>2207</v>
      </c>
      <c r="E29" s="2484"/>
      <c r="F29" s="2484"/>
      <c r="G29" s="2484"/>
      <c r="H29" s="2484"/>
      <c r="I29" s="2484"/>
    </row>
    <row r="30" spans="2:9" s="317" customFormat="1" x14ac:dyDescent="0.2">
      <c r="B30" s="1368"/>
      <c r="C30" s="322"/>
      <c r="D30" s="1433" t="s">
        <v>1849</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2079</v>
      </c>
      <c r="H33" s="1300" t="s">
        <v>101</v>
      </c>
    </row>
    <row r="35" spans="2:9" x14ac:dyDescent="0.2">
      <c r="B35" s="1441" t="s">
        <v>1850</v>
      </c>
      <c r="C35" s="1442"/>
      <c r="D35" s="1267"/>
    </row>
    <row r="36" spans="2:9" ht="6" customHeight="1" x14ac:dyDescent="0.2">
      <c r="B36" s="1441"/>
      <c r="C36" s="1442"/>
      <c r="D36" s="1267"/>
    </row>
    <row r="37" spans="2:9" ht="17.25" customHeight="1" x14ac:dyDescent="0.2">
      <c r="B37" s="1443" t="s">
        <v>1851</v>
      </c>
      <c r="C37" s="2485" t="s">
        <v>1852</v>
      </c>
      <c r="D37" s="2486"/>
      <c r="E37" s="2486"/>
      <c r="F37" s="2487"/>
      <c r="G37" s="2485" t="s">
        <v>1674</v>
      </c>
      <c r="H37" s="2486"/>
      <c r="I37" s="2487"/>
    </row>
    <row r="38" spans="2:9" ht="16.5" customHeight="1" x14ac:dyDescent="0.2">
      <c r="B38" s="1444">
        <v>84.01</v>
      </c>
      <c r="C38" s="2473" t="s">
        <v>2208</v>
      </c>
      <c r="D38" s="2474"/>
      <c r="E38" s="2474"/>
      <c r="F38" s="2475"/>
      <c r="G38" s="2488">
        <v>640155</v>
      </c>
      <c r="H38" s="2489"/>
      <c r="I38" s="2490"/>
    </row>
    <row r="39" spans="2:9" ht="16.5" customHeight="1" x14ac:dyDescent="0.2">
      <c r="B39" s="1444" t="s">
        <v>2209</v>
      </c>
      <c r="C39" s="2473" t="s">
        <v>2210</v>
      </c>
      <c r="D39" s="2474"/>
      <c r="E39" s="2474"/>
      <c r="F39" s="2475"/>
      <c r="G39" s="2476">
        <v>723689</v>
      </c>
      <c r="H39" s="2476"/>
      <c r="I39" s="2476"/>
    </row>
    <row r="40" spans="2:9" ht="16.5" customHeight="1" x14ac:dyDescent="0.2">
      <c r="B40" s="1444"/>
      <c r="C40" s="2473"/>
      <c r="D40" s="2474"/>
      <c r="E40" s="2474"/>
      <c r="F40" s="2475"/>
      <c r="G40" s="2476"/>
      <c r="H40" s="2476"/>
      <c r="I40" s="2476"/>
    </row>
    <row r="41" spans="2:9" ht="16.5" customHeight="1" x14ac:dyDescent="0.2">
      <c r="B41" s="1444"/>
      <c r="C41" s="2473"/>
      <c r="D41" s="2474"/>
      <c r="E41" s="2474"/>
      <c r="F41" s="2475"/>
      <c r="G41" s="2476"/>
      <c r="H41" s="2476"/>
      <c r="I41" s="2476"/>
    </row>
    <row r="42" spans="2:9" ht="16.5" customHeight="1" x14ac:dyDescent="0.2">
      <c r="B42" s="1444"/>
      <c r="C42" s="2473"/>
      <c r="D42" s="2474"/>
      <c r="E42" s="2474"/>
      <c r="F42" s="2475"/>
      <c r="G42" s="2476"/>
      <c r="H42" s="2476"/>
      <c r="I42" s="2476"/>
    </row>
    <row r="43" spans="2:9" ht="16.5" customHeight="1" x14ac:dyDescent="0.2">
      <c r="B43" s="1444"/>
      <c r="C43" s="2466" t="s">
        <v>1675</v>
      </c>
      <c r="D43" s="2467"/>
      <c r="E43" s="2467"/>
      <c r="F43" s="2468"/>
      <c r="G43" s="2469">
        <f>SUM(G38:I42)</f>
        <v>1363844</v>
      </c>
      <c r="H43" s="2469"/>
      <c r="I43" s="2469"/>
    </row>
    <row r="44" spans="2:9" ht="12.75" customHeight="1" x14ac:dyDescent="0.2"/>
    <row r="45" spans="2:9" ht="12.75" customHeight="1" x14ac:dyDescent="0.2">
      <c r="B45" s="1435" t="s">
        <v>1949</v>
      </c>
      <c r="D45" s="2470">
        <v>1721074</v>
      </c>
      <c r="E45" s="2471"/>
    </row>
    <row r="46" spans="2:9" ht="5.25" customHeight="1" x14ac:dyDescent="0.2">
      <c r="B46" s="1445"/>
      <c r="D46" s="1446"/>
      <c r="E46" s="1447"/>
    </row>
    <row r="47" spans="2:9" ht="12.75" customHeight="1" x14ac:dyDescent="0.2">
      <c r="B47" s="1300" t="s">
        <v>1676</v>
      </c>
      <c r="C47" s="1300"/>
      <c r="D47" s="1448">
        <f>+G43/D45</f>
        <v>0.79243774526836153</v>
      </c>
      <c r="E47" s="1449"/>
      <c r="F47" s="1450"/>
      <c r="I47" s="1451"/>
    </row>
    <row r="48" spans="2:9" ht="9.9499999999999993" customHeight="1" x14ac:dyDescent="0.2"/>
    <row r="49" spans="1:9" x14ac:dyDescent="0.2">
      <c r="B49" s="1368" t="s">
        <v>1335</v>
      </c>
      <c r="C49" s="1282"/>
      <c r="D49" s="1282"/>
      <c r="E49" s="2472"/>
      <c r="F49" s="2472"/>
      <c r="G49" s="247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1853</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1854</v>
      </c>
      <c r="C58" s="1464"/>
      <c r="D58" s="1464"/>
    </row>
    <row r="59" spans="1:9" s="1461" customFormat="1" ht="3.95" customHeight="1" x14ac:dyDescent="0.2">
      <c r="A59" s="1458"/>
      <c r="B59" s="1463"/>
      <c r="C59" s="1464"/>
      <c r="D59" s="1464"/>
    </row>
    <row r="60" spans="1:9" s="1461" customFormat="1" ht="13.5" customHeight="1" x14ac:dyDescent="0.2">
      <c r="A60" s="1458"/>
      <c r="B60" s="1463" t="s">
        <v>1855</v>
      </c>
      <c r="C60" s="1464"/>
      <c r="D60" s="1464"/>
    </row>
    <row r="61" spans="1:9" s="1461" customFormat="1" ht="3.95" customHeight="1" x14ac:dyDescent="0.2">
      <c r="A61" s="1458"/>
      <c r="B61" s="1463"/>
      <c r="C61" s="1464"/>
      <c r="D61" s="1464"/>
    </row>
    <row r="62" spans="1:9" s="1461" customFormat="1" ht="12.75" customHeight="1" x14ac:dyDescent="0.2">
      <c r="A62" s="1458"/>
      <c r="B62" s="1463" t="s">
        <v>1856</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G10" sqref="G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Canton Union School District  66</v>
      </c>
      <c r="C1" s="2477"/>
      <c r="D1" s="2477"/>
      <c r="E1" s="2477"/>
      <c r="F1" s="2477"/>
      <c r="G1" s="2477"/>
      <c r="H1" s="2477"/>
      <c r="I1" s="2477"/>
      <c r="J1" s="2477"/>
      <c r="K1" s="2477"/>
      <c r="L1" s="1374"/>
      <c r="M1" s="1374"/>
    </row>
    <row r="2" spans="1:13" ht="12" customHeight="1" x14ac:dyDescent="0.2">
      <c r="B2" s="2479">
        <f>'Single Audit Cover'!E7</f>
        <v>26029066025</v>
      </c>
      <c r="C2" s="2479"/>
      <c r="D2" s="2479"/>
      <c r="E2" s="2479"/>
      <c r="F2" s="2479"/>
      <c r="G2" s="2479"/>
      <c r="H2" s="2479"/>
      <c r="I2" s="2479"/>
      <c r="J2" s="2479"/>
      <c r="K2" s="2479"/>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1843</v>
      </c>
      <c r="C10" s="1385" t="s">
        <v>1950</v>
      </c>
      <c r="D10" s="1386" t="s">
        <v>2131</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1844</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1845</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1846</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1847</v>
      </c>
      <c r="C38" s="1420"/>
    </row>
    <row r="39" spans="1:13" ht="9.6" customHeight="1" x14ac:dyDescent="0.2">
      <c r="B39" s="1300" t="s">
        <v>1348</v>
      </c>
      <c r="C39" s="1300"/>
      <c r="M39" s="1421"/>
    </row>
    <row r="40" spans="1:13" ht="12.6" customHeight="1" x14ac:dyDescent="0.2">
      <c r="B40" s="1420" t="s">
        <v>1848</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Canton Union School District  66</v>
      </c>
      <c r="C1" s="2500"/>
      <c r="D1" s="2500"/>
      <c r="E1" s="2500"/>
      <c r="F1" s="2500"/>
      <c r="G1" s="2500"/>
      <c r="H1" s="2500"/>
      <c r="I1" s="2500"/>
      <c r="J1" s="2500"/>
      <c r="K1" s="2500"/>
      <c r="L1" s="1465"/>
    </row>
    <row r="2" spans="1:12" ht="12.75" customHeight="1" x14ac:dyDescent="0.2">
      <c r="B2" s="2501">
        <f>'Single Audit Cover'!E7</f>
        <v>26029066025</v>
      </c>
      <c r="C2" s="2501"/>
      <c r="D2" s="2501"/>
      <c r="E2" s="2501"/>
      <c r="F2" s="2501"/>
      <c r="G2" s="2501"/>
      <c r="H2" s="2501"/>
      <c r="I2" s="2501"/>
      <c r="J2" s="2501"/>
      <c r="K2" s="2501"/>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1857</v>
      </c>
      <c r="C8" s="1467" t="s">
        <v>1950</v>
      </c>
      <c r="D8" s="1468" t="s">
        <v>2131</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4"/>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7"/>
      <c r="E14" s="2497"/>
      <c r="F14" s="2497"/>
      <c r="H14" s="1475" t="s">
        <v>1370</v>
      </c>
      <c r="I14" s="2498"/>
      <c r="J14" s="2498"/>
      <c r="K14" s="249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8"/>
      <c r="E16" s="2498"/>
      <c r="F16" s="2498"/>
      <c r="G16" s="2498"/>
      <c r="H16" s="2498"/>
      <c r="I16" s="2498"/>
      <c r="J16" s="2498"/>
      <c r="K16" s="2498"/>
      <c r="L16" s="322"/>
    </row>
    <row r="17" spans="2:12" ht="13.5" customHeight="1" x14ac:dyDescent="0.2">
      <c r="B17" s="1387" t="s">
        <v>1368</v>
      </c>
      <c r="C17" s="1387"/>
      <c r="D17" s="2499"/>
      <c r="E17" s="2499"/>
      <c r="F17" s="2499"/>
      <c r="G17" s="2499"/>
      <c r="H17" s="2499"/>
      <c r="I17" s="2499"/>
      <c r="J17" s="2499"/>
      <c r="K17" s="249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1858</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1859</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1860</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1861</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1862</v>
      </c>
      <c r="C48" s="1419"/>
      <c r="D48" s="322"/>
      <c r="E48" s="322"/>
      <c r="F48" s="322"/>
    </row>
    <row r="49" spans="2:3" s="317" customFormat="1" ht="10.5" customHeight="1" x14ac:dyDescent="0.2">
      <c r="B49" s="1420" t="s">
        <v>1863</v>
      </c>
      <c r="C49" s="1420"/>
    </row>
    <row r="50" spans="2:3" s="317" customFormat="1" ht="11.1" customHeight="1" x14ac:dyDescent="0.2">
      <c r="B50" s="1420" t="s">
        <v>1864</v>
      </c>
      <c r="C50" s="1420"/>
    </row>
    <row r="51" spans="2:3" s="317" customFormat="1" ht="11.1" customHeight="1" x14ac:dyDescent="0.2">
      <c r="B51" s="1420" t="s">
        <v>1865</v>
      </c>
      <c r="C51" s="1420"/>
    </row>
    <row r="52" spans="2:3" s="317" customFormat="1" ht="11.1" customHeight="1" x14ac:dyDescent="0.2">
      <c r="B52" s="1420" t="s">
        <v>1866</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Canton Union School District  66</v>
      </c>
      <c r="C1" s="2477"/>
      <c r="D1" s="2477"/>
      <c r="E1" s="1491"/>
    </row>
    <row r="2" spans="2:5" s="1282" customFormat="1" ht="12.75" customHeight="1" x14ac:dyDescent="0.2">
      <c r="B2" s="2479">
        <f>'Single Audit Cover'!E7</f>
        <v>26029066025</v>
      </c>
      <c r="C2" s="2479"/>
      <c r="D2" s="2479"/>
      <c r="E2" s="1492"/>
    </row>
    <row r="3" spans="2:5" ht="12.75" customHeight="1" x14ac:dyDescent="0.2">
      <c r="B3" s="2493" t="s">
        <v>1867</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1868</v>
      </c>
      <c r="C5" s="328"/>
      <c r="D5" s="328"/>
      <c r="E5" s="328"/>
    </row>
    <row r="6" spans="2:5" s="1282" customFormat="1" ht="13.5" customHeight="1" x14ac:dyDescent="0.2">
      <c r="B6" s="1495" t="s">
        <v>1382</v>
      </c>
      <c r="C6" s="1495" t="s">
        <v>1381</v>
      </c>
      <c r="D6" s="1495" t="s">
        <v>1869</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1870</v>
      </c>
    </row>
    <row r="46" spans="2:5" ht="12.2" customHeight="1" x14ac:dyDescent="0.2">
      <c r="B46" s="1505" t="s">
        <v>1871</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31" sqref="B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215460625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1.8332999999999999E-2</v>
      </c>
      <c r="E10" s="356" t="s">
        <v>1062</v>
      </c>
      <c r="F10" s="355">
        <v>5.0000000000000001E-3</v>
      </c>
      <c r="G10" s="356" t="s">
        <v>1062</v>
      </c>
      <c r="H10" s="355">
        <v>1.9959999999999999E-3</v>
      </c>
      <c r="I10" s="356" t="s">
        <v>1063</v>
      </c>
      <c r="J10" s="1754">
        <f>ROUND(D10+F10+H10,5)</f>
        <v>2.5329999999999998E-2</v>
      </c>
      <c r="K10" s="222"/>
      <c r="L10" s="355">
        <v>4.9899999999999999E-4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22286067</v>
      </c>
      <c r="E16" s="356"/>
      <c r="F16" s="1755">
        <f>SUM('Acct Summary 7-8'!C17,'Acct Summary 7-8'!D17,'Acct Summary 7-8'!F17)</f>
        <v>20712453</v>
      </c>
      <c r="G16" s="356"/>
      <c r="H16" s="1755">
        <f>SUM(D16-F16)</f>
        <v>1573614</v>
      </c>
      <c r="I16" s="222"/>
      <c r="J16" s="1755">
        <f>SUM('Acct Summary 7-8'!C81,'Acct Summary 7-8'!D81,'Acct Summary 7-8'!F81,'Acct Summary 7-8'!I81)</f>
        <v>12751321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29733566.250000004</v>
      </c>
      <c r="I31" s="368"/>
      <c r="J31" s="222"/>
      <c r="K31" s="222"/>
      <c r="L31" s="222"/>
      <c r="M31" s="222"/>
    </row>
    <row r="32" spans="1:13" ht="13.35" customHeight="1" x14ac:dyDescent="0.2">
      <c r="B32" s="369" t="s">
        <v>2079</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8538719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Canton Union School District  66</v>
      </c>
      <c r="E7" s="391"/>
      <c r="G7" s="252"/>
      <c r="H7" s="387"/>
      <c r="I7" s="387"/>
      <c r="J7" s="387"/>
      <c r="K7" s="387"/>
      <c r="L7" s="329"/>
      <c r="M7" s="329"/>
      <c r="N7" s="329"/>
      <c r="O7" s="329"/>
      <c r="P7" s="329"/>
    </row>
    <row r="8" spans="1:18" ht="12.75" x14ac:dyDescent="0.2">
      <c r="A8" s="329"/>
      <c r="B8" s="329"/>
      <c r="C8" s="389" t="s">
        <v>1187</v>
      </c>
      <c r="D8" s="392">
        <f>COVER!A13</f>
        <v>26029066025</v>
      </c>
      <c r="E8" s="393"/>
      <c r="G8" s="329"/>
      <c r="H8" s="329"/>
      <c r="I8" s="329"/>
      <c r="J8" s="329"/>
      <c r="K8" s="329"/>
      <c r="L8" s="329"/>
      <c r="M8" s="329"/>
      <c r="N8" s="329"/>
      <c r="O8" s="329"/>
      <c r="P8" s="329"/>
    </row>
    <row r="9" spans="1:18" ht="12.75" x14ac:dyDescent="0.2">
      <c r="A9" s="329"/>
      <c r="B9" s="329"/>
      <c r="C9" s="389" t="s">
        <v>737</v>
      </c>
      <c r="D9" s="394" t="str">
        <f>COVER!A15</f>
        <v>Fulton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12751321</v>
      </c>
      <c r="I12" s="404"/>
      <c r="J12" s="404"/>
      <c r="K12" s="405">
        <f>TRUNC((H12/H13*100000),5)/100000</f>
        <v>0.57216560459999999</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22286067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20712453</v>
      </c>
      <c r="I17" s="404"/>
      <c r="J17" s="416"/>
      <c r="K17" s="405">
        <f>TRUNC((H17/H18*100000),5)/100000</f>
        <v>0.9293902329</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22286067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12751321</v>
      </c>
      <c r="I24" s="422"/>
      <c r="J24" s="422"/>
      <c r="K24" s="423">
        <f>TRUNC(((H24/H25*100000)/100000),2)</f>
        <v>221.62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57534.591670000002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2068</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4638974.9865600001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8538719</v>
      </c>
      <c r="I32" s="420"/>
      <c r="J32" s="420"/>
      <c r="K32" s="423">
        <f>TRUNC(100-((((H32/H33*100))*100)/100),2)</f>
        <v>71.28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29733566.250000004</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5" activePane="bottomLeft" state="frozen"/>
      <selection activeCell="A47" sqref="A47"/>
      <selection pane="bottomLeft" activeCell="F50" sqref="F5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5238845</v>
      </c>
      <c r="D4" s="466">
        <v>623408</v>
      </c>
      <c r="E4" s="466">
        <v>526433</v>
      </c>
      <c r="F4" s="466">
        <v>820863</v>
      </c>
      <c r="G4" s="466">
        <v>663347</v>
      </c>
      <c r="H4" s="466">
        <v>889202</v>
      </c>
      <c r="I4" s="466">
        <v>1273150</v>
      </c>
      <c r="J4" s="467">
        <v>700070</v>
      </c>
      <c r="K4" s="466">
        <v>3070009</v>
      </c>
      <c r="L4" s="466">
        <v>859293</v>
      </c>
      <c r="M4" s="468"/>
      <c r="N4" s="469"/>
    </row>
    <row r="5" spans="1:14" x14ac:dyDescent="0.2">
      <c r="A5" s="463" t="s">
        <v>1049</v>
      </c>
      <c r="B5" s="470">
        <v>120</v>
      </c>
      <c r="C5" s="465">
        <v>4795055</v>
      </c>
      <c r="D5" s="466"/>
      <c r="E5" s="466"/>
      <c r="F5" s="466"/>
      <c r="G5" s="466"/>
      <c r="H5" s="466"/>
      <c r="I5" s="466"/>
      <c r="J5" s="467"/>
      <c r="K5" s="471"/>
      <c r="L5" s="472">
        <v>49892</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10033900</v>
      </c>
      <c r="D13" s="1759">
        <f t="shared" ref="D13:L13" si="0">SUM(D4:D12)</f>
        <v>623408</v>
      </c>
      <c r="E13" s="1759">
        <f t="shared" si="0"/>
        <v>526433</v>
      </c>
      <c r="F13" s="1759">
        <f t="shared" si="0"/>
        <v>820863</v>
      </c>
      <c r="G13" s="1759">
        <f t="shared" si="0"/>
        <v>663347</v>
      </c>
      <c r="H13" s="1759">
        <f t="shared" si="0"/>
        <v>889202</v>
      </c>
      <c r="I13" s="1759">
        <f t="shared" si="0"/>
        <v>1273150</v>
      </c>
      <c r="J13" s="1759">
        <f t="shared" si="0"/>
        <v>700070</v>
      </c>
      <c r="K13" s="1759">
        <f t="shared" si="0"/>
        <v>3070009</v>
      </c>
      <c r="L13" s="1759">
        <f t="shared" si="0"/>
        <v>909185</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253690</v>
      </c>
      <c r="N16" s="484"/>
    </row>
    <row r="17" spans="1:14" s="485" customFormat="1" ht="12.75" customHeight="1" x14ac:dyDescent="0.2">
      <c r="A17" s="482" t="s">
        <v>1470</v>
      </c>
      <c r="B17" s="483">
        <v>230</v>
      </c>
      <c r="C17" s="477"/>
      <c r="D17" s="477"/>
      <c r="E17" s="477"/>
      <c r="F17" s="477"/>
      <c r="G17" s="477"/>
      <c r="H17" s="477"/>
      <c r="I17" s="477"/>
      <c r="J17" s="477"/>
      <c r="K17" s="477"/>
      <c r="L17" s="477"/>
      <c r="M17" s="467">
        <v>24097103</v>
      </c>
      <c r="N17" s="484"/>
    </row>
    <row r="18" spans="1:14" s="485" customFormat="1" ht="12.75" customHeight="1" x14ac:dyDescent="0.2">
      <c r="A18" s="482" t="s">
        <v>1471</v>
      </c>
      <c r="B18" s="483">
        <v>240</v>
      </c>
      <c r="C18" s="477"/>
      <c r="D18" s="477"/>
      <c r="E18" s="477"/>
      <c r="F18" s="477"/>
      <c r="G18" s="477"/>
      <c r="H18" s="477"/>
      <c r="I18" s="477"/>
      <c r="J18" s="477"/>
      <c r="K18" s="477"/>
      <c r="L18" s="477"/>
      <c r="M18" s="467">
        <v>7267229</v>
      </c>
      <c r="N18" s="484"/>
    </row>
    <row r="19" spans="1:14" s="485" customFormat="1" ht="12.75" customHeight="1" x14ac:dyDescent="0.2">
      <c r="A19" s="482" t="s">
        <v>1472</v>
      </c>
      <c r="B19" s="483">
        <v>250</v>
      </c>
      <c r="C19" s="477"/>
      <c r="D19" s="477"/>
      <c r="E19" s="477"/>
      <c r="F19" s="477"/>
      <c r="G19" s="477"/>
      <c r="H19" s="477"/>
      <c r="I19" s="477"/>
      <c r="J19" s="477"/>
      <c r="K19" s="477"/>
      <c r="L19" s="477"/>
      <c r="M19" s="467">
        <v>5430969</v>
      </c>
      <c r="N19" s="484"/>
    </row>
    <row r="20" spans="1:14" s="485" customFormat="1" ht="12.75" customHeight="1" x14ac:dyDescent="0.2">
      <c r="A20" s="482" t="s">
        <v>1473</v>
      </c>
      <c r="B20" s="483">
        <v>260</v>
      </c>
      <c r="C20" s="477"/>
      <c r="D20" s="477"/>
      <c r="E20" s="477"/>
      <c r="F20" s="477"/>
      <c r="G20" s="477"/>
      <c r="H20" s="477"/>
      <c r="I20" s="477"/>
      <c r="J20" s="477"/>
      <c r="K20" s="477"/>
      <c r="L20" s="477"/>
      <c r="M20" s="467">
        <v>544772</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526433</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8012286</v>
      </c>
    </row>
    <row r="23" spans="1:14" ht="13.5" customHeight="1" thickBot="1" x14ac:dyDescent="0.25">
      <c r="A23" s="1758" t="s">
        <v>664</v>
      </c>
      <c r="B23" s="1763"/>
      <c r="C23" s="468"/>
      <c r="D23" s="468"/>
      <c r="E23" s="468"/>
      <c r="F23" s="468"/>
      <c r="G23" s="468"/>
      <c r="H23" s="468"/>
      <c r="I23" s="468"/>
      <c r="J23" s="468"/>
      <c r="K23" s="468"/>
      <c r="L23" s="468"/>
      <c r="M23" s="1710">
        <f>SUM(M15:M22)</f>
        <v>37593763</v>
      </c>
      <c r="N23" s="1710">
        <f>SUM(N21:N22)</f>
        <v>8538719</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441696</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441696</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8538719</v>
      </c>
    </row>
    <row r="37" spans="1:14" ht="13.5" thickBot="1" x14ac:dyDescent="0.25">
      <c r="A37" s="1758" t="s">
        <v>674</v>
      </c>
      <c r="B37" s="1763"/>
      <c r="C37" s="477"/>
      <c r="D37" s="477"/>
      <c r="E37" s="477"/>
      <c r="F37" s="477"/>
      <c r="G37" s="477"/>
      <c r="H37" s="477"/>
      <c r="I37" s="477"/>
      <c r="J37" s="477"/>
      <c r="K37" s="477"/>
      <c r="L37" s="480"/>
      <c r="M37" s="468"/>
      <c r="N37" s="1710">
        <f>SUM(N36:N36)</f>
        <v>8538719</v>
      </c>
    </row>
    <row r="38" spans="1:14" s="329" customFormat="1" ht="13.5" customHeight="1" thickTop="1" x14ac:dyDescent="0.2">
      <c r="A38" s="496" t="s">
        <v>440</v>
      </c>
      <c r="B38" s="483">
        <v>714</v>
      </c>
      <c r="C38" s="466">
        <v>1748595</v>
      </c>
      <c r="D38" s="466"/>
      <c r="E38" s="466"/>
      <c r="F38" s="466"/>
      <c r="G38" s="466">
        <v>451423</v>
      </c>
      <c r="H38" s="466">
        <v>486444</v>
      </c>
      <c r="I38" s="466"/>
      <c r="J38" s="467"/>
      <c r="K38" s="466"/>
      <c r="L38" s="481">
        <v>467489</v>
      </c>
      <c r="M38" s="497"/>
      <c r="N38" s="497"/>
    </row>
    <row r="39" spans="1:14" s="329" customFormat="1" ht="13.5" customHeight="1" x14ac:dyDescent="0.2">
      <c r="A39" s="496" t="s">
        <v>360</v>
      </c>
      <c r="B39" s="483">
        <v>730</v>
      </c>
      <c r="C39" s="466">
        <v>8285305</v>
      </c>
      <c r="D39" s="466">
        <v>623408</v>
      </c>
      <c r="E39" s="466">
        <v>526433</v>
      </c>
      <c r="F39" s="466">
        <v>820863</v>
      </c>
      <c r="G39" s="466">
        <v>211924</v>
      </c>
      <c r="H39" s="466">
        <v>402758</v>
      </c>
      <c r="I39" s="466">
        <v>1273150</v>
      </c>
      <c r="J39" s="467">
        <v>700070</v>
      </c>
      <c r="K39" s="466">
        <v>3070009</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37593763</v>
      </c>
      <c r="N40" s="497"/>
    </row>
    <row r="41" spans="1:14" ht="13.5" customHeight="1" thickBot="1" x14ac:dyDescent="0.25">
      <c r="A41" s="1758" t="s">
        <v>676</v>
      </c>
      <c r="B41" s="1728"/>
      <c r="C41" s="1710">
        <f>(SUM(C34,C37,C38,C39))</f>
        <v>10033900</v>
      </c>
      <c r="D41" s="1710">
        <f t="shared" ref="D41:L41" si="2">SUM(D34,D37,D38:D39)</f>
        <v>623408</v>
      </c>
      <c r="E41" s="1710">
        <f t="shared" si="2"/>
        <v>526433</v>
      </c>
      <c r="F41" s="1710">
        <f t="shared" si="2"/>
        <v>820863</v>
      </c>
      <c r="G41" s="1710">
        <f t="shared" si="2"/>
        <v>663347</v>
      </c>
      <c r="H41" s="1710">
        <f t="shared" si="2"/>
        <v>889202</v>
      </c>
      <c r="I41" s="1710">
        <f t="shared" si="2"/>
        <v>1273150</v>
      </c>
      <c r="J41" s="1710">
        <f t="shared" si="2"/>
        <v>700070</v>
      </c>
      <c r="K41" s="1710">
        <f t="shared" si="2"/>
        <v>3070009</v>
      </c>
      <c r="L41" s="1710">
        <f t="shared" si="2"/>
        <v>909185</v>
      </c>
      <c r="M41" s="1710">
        <f>SUM(M40)</f>
        <v>37593763</v>
      </c>
      <c r="N41" s="1710">
        <f>SUM(N37)</f>
        <v>8538719</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9" sqref="C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3" t="s">
        <v>1579</v>
      </c>
      <c r="B4" s="1954">
        <v>1000</v>
      </c>
      <c r="C4" s="1764">
        <f>'Revenues 9-14'!C109</f>
        <v>7461187</v>
      </c>
      <c r="D4" s="1764">
        <f>'Revenues 9-14'!D109</f>
        <v>1879474</v>
      </c>
      <c r="E4" s="1764">
        <f>'Revenues 9-14'!E109</f>
        <v>1115755</v>
      </c>
      <c r="F4" s="1764">
        <f>'Revenues 9-14'!F109</f>
        <v>568743</v>
      </c>
      <c r="G4" s="1764">
        <f>'Revenues 9-14'!G109</f>
        <v>908481</v>
      </c>
      <c r="H4" s="1764">
        <f>'Revenues 9-14'!H109</f>
        <v>1034899</v>
      </c>
      <c r="I4" s="1764">
        <f>'Revenues 9-14'!I109</f>
        <v>113562</v>
      </c>
      <c r="J4" s="1764">
        <f>'Revenues 9-14'!J109</f>
        <v>1047991</v>
      </c>
      <c r="K4" s="1764">
        <f>'Revenues 9-14'!K109</f>
        <v>129877</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9654151</v>
      </c>
      <c r="D6" s="1765">
        <f>'Revenues 9-14'!D173</f>
        <v>0</v>
      </c>
      <c r="E6" s="1765">
        <f>'Revenues 9-14'!E173</f>
        <v>0</v>
      </c>
      <c r="F6" s="1765">
        <f>'Revenues 9-14'!F173</f>
        <v>775644</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1833306</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18948644</v>
      </c>
      <c r="D8" s="1710">
        <f t="shared" ref="D8:K8" si="0">SUM(D4:D7)</f>
        <v>1879474</v>
      </c>
      <c r="E8" s="1710">
        <f t="shared" si="0"/>
        <v>1115755</v>
      </c>
      <c r="F8" s="1710">
        <f t="shared" si="0"/>
        <v>1344387</v>
      </c>
      <c r="G8" s="1710">
        <f t="shared" si="0"/>
        <v>908481</v>
      </c>
      <c r="H8" s="1710">
        <f t="shared" si="0"/>
        <v>1034899</v>
      </c>
      <c r="I8" s="1710">
        <f t="shared" si="0"/>
        <v>113562</v>
      </c>
      <c r="J8" s="1710">
        <f t="shared" si="0"/>
        <v>1047991</v>
      </c>
      <c r="K8" s="1710">
        <f t="shared" si="0"/>
        <v>129877</v>
      </c>
      <c r="L8" s="347"/>
    </row>
    <row r="9" spans="1:13" ht="15.75" thickTop="1" x14ac:dyDescent="0.2">
      <c r="A9" s="514" t="s">
        <v>1752</v>
      </c>
      <c r="B9" s="515">
        <v>3998</v>
      </c>
      <c r="C9" s="481">
        <v>1153231</v>
      </c>
      <c r="D9" s="516"/>
      <c r="E9" s="481"/>
      <c r="F9" s="481"/>
      <c r="G9" s="517"/>
      <c r="H9" s="481"/>
      <c r="I9" s="509" t="s">
        <v>1231</v>
      </c>
      <c r="J9" s="478"/>
      <c r="K9" s="481"/>
      <c r="L9" s="347"/>
    </row>
    <row r="10" spans="1:13" s="519" customFormat="1" ht="13.5" thickBot="1" x14ac:dyDescent="0.25">
      <c r="A10" s="1758" t="s">
        <v>1235</v>
      </c>
      <c r="B10" s="1731"/>
      <c r="C10" s="1710">
        <f>SUM(C8:C9)</f>
        <v>20101875</v>
      </c>
      <c r="D10" s="1710">
        <f t="shared" ref="D10:K10" si="1">SUM(D8:D9)</f>
        <v>1879474</v>
      </c>
      <c r="E10" s="1710">
        <f t="shared" si="1"/>
        <v>1115755</v>
      </c>
      <c r="F10" s="1710">
        <f t="shared" si="1"/>
        <v>1344387</v>
      </c>
      <c r="G10" s="1710">
        <f t="shared" si="1"/>
        <v>908481</v>
      </c>
      <c r="H10" s="1710">
        <f t="shared" si="1"/>
        <v>1034899</v>
      </c>
      <c r="I10" s="1710">
        <f t="shared" si="1"/>
        <v>113562</v>
      </c>
      <c r="J10" s="1710">
        <f t="shared" si="1"/>
        <v>1047991</v>
      </c>
      <c r="K10" s="1710">
        <f t="shared" si="1"/>
        <v>129877</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4">
        <f>'Expenditures 15-22'!K33</f>
        <v>12742140</v>
      </c>
      <c r="D12" s="520" t="s">
        <v>1231</v>
      </c>
      <c r="E12" s="468" t="s">
        <v>1231</v>
      </c>
      <c r="F12" s="468" t="s">
        <v>1231</v>
      </c>
      <c r="G12" s="1764">
        <f>'Expenditures 15-22'!K229</f>
        <v>386822</v>
      </c>
      <c r="H12" s="521"/>
      <c r="I12" s="468" t="s">
        <v>1231</v>
      </c>
      <c r="J12" s="468" t="s">
        <v>1231</v>
      </c>
      <c r="K12" s="521" t="s">
        <v>1231</v>
      </c>
      <c r="L12" s="347"/>
    </row>
    <row r="13" spans="1:13" ht="15.75" customHeight="1" x14ac:dyDescent="0.2">
      <c r="A13" s="1598" t="s">
        <v>477</v>
      </c>
      <c r="B13" s="1600">
        <v>2000</v>
      </c>
      <c r="C13" s="1765">
        <f>'Expenditures 15-22'!K74</f>
        <v>4205873</v>
      </c>
      <c r="D13" s="1765">
        <f>'Expenditures 15-22'!K129</f>
        <v>1774224</v>
      </c>
      <c r="E13" s="469" t="s">
        <v>1231</v>
      </c>
      <c r="F13" s="1765">
        <f>'Expenditures 15-22'!K184</f>
        <v>1076607</v>
      </c>
      <c r="G13" s="1765">
        <f>'Expenditures 15-22'!K279</f>
        <v>496068</v>
      </c>
      <c r="H13" s="1765">
        <f>'Expenditures 15-22'!K303</f>
        <v>943591</v>
      </c>
      <c r="I13" s="468" t="s">
        <v>1231</v>
      </c>
      <c r="J13" s="1765">
        <f>'Expenditures 15-22'!K330</f>
        <v>1028289</v>
      </c>
      <c r="K13" s="1769">
        <f>'Expenditures 15-22'!K352</f>
        <v>1625795</v>
      </c>
      <c r="L13" s="347"/>
    </row>
    <row r="14" spans="1:13" ht="15.75" customHeight="1" x14ac:dyDescent="0.2">
      <c r="A14" s="1598" t="s">
        <v>469</v>
      </c>
      <c r="B14" s="1600">
        <v>3000</v>
      </c>
      <c r="C14" s="1765">
        <f>'Expenditures 15-22'!K75</f>
        <v>17763</v>
      </c>
      <c r="D14" s="1765">
        <f>'Expenditures 15-22'!K130</f>
        <v>0</v>
      </c>
      <c r="E14" s="520" t="s">
        <v>1231</v>
      </c>
      <c r="F14" s="1765">
        <f>'Expenditures 15-22'!K185</f>
        <v>0</v>
      </c>
      <c r="G14" s="1765">
        <f>'Expenditures 15-22'!K280</f>
        <v>198</v>
      </c>
      <c r="H14" s="512"/>
      <c r="I14" s="468" t="s">
        <v>1231</v>
      </c>
      <c r="J14" s="468" t="s">
        <v>1231</v>
      </c>
      <c r="K14" s="512" t="s">
        <v>1231</v>
      </c>
      <c r="L14" s="347"/>
    </row>
    <row r="15" spans="1:13" ht="15.75" customHeight="1" x14ac:dyDescent="0.2">
      <c r="A15" s="1598" t="s">
        <v>109</v>
      </c>
      <c r="B15" s="1600">
        <v>4000</v>
      </c>
      <c r="C15" s="1765">
        <f>'Expenditures 15-22'!K102</f>
        <v>895846</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1107565</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17861622</v>
      </c>
      <c r="D17" s="1710">
        <f t="shared" si="2"/>
        <v>1774224</v>
      </c>
      <c r="E17" s="1710">
        <f t="shared" si="2"/>
        <v>1107565</v>
      </c>
      <c r="F17" s="1710">
        <f t="shared" si="2"/>
        <v>1076607</v>
      </c>
      <c r="G17" s="1710">
        <f t="shared" si="2"/>
        <v>883088</v>
      </c>
      <c r="H17" s="1710">
        <f t="shared" si="2"/>
        <v>943591</v>
      </c>
      <c r="I17" s="468"/>
      <c r="J17" s="1710">
        <f>SUM(J12:J16)</f>
        <v>1028289</v>
      </c>
      <c r="K17" s="1710">
        <f>SUM(K12:K16)</f>
        <v>1625795</v>
      </c>
      <c r="L17" s="347"/>
    </row>
    <row r="18" spans="1:12" ht="15" customHeight="1" thickTop="1" x14ac:dyDescent="0.2">
      <c r="A18" s="1766" t="s">
        <v>1753</v>
      </c>
      <c r="B18" s="1767">
        <v>4180</v>
      </c>
      <c r="C18" s="1764">
        <f t="shared" ref="C18:H18" si="3">C9</f>
        <v>1153231</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19014853</v>
      </c>
      <c r="D19" s="1710">
        <f t="shared" si="4"/>
        <v>1774224</v>
      </c>
      <c r="E19" s="1710">
        <f t="shared" si="4"/>
        <v>1107565</v>
      </c>
      <c r="F19" s="1710">
        <f t="shared" si="4"/>
        <v>1076607</v>
      </c>
      <c r="G19" s="1710">
        <f t="shared" si="4"/>
        <v>883088</v>
      </c>
      <c r="H19" s="1710">
        <f t="shared" si="4"/>
        <v>943591</v>
      </c>
      <c r="I19" s="468"/>
      <c r="J19" s="1710">
        <f>SUM(J17:J18)</f>
        <v>1028289</v>
      </c>
      <c r="K19" s="1710">
        <f>SUM(K17:K18)</f>
        <v>1625795</v>
      </c>
      <c r="L19" s="347"/>
    </row>
    <row r="20" spans="1:12" ht="16.5" thickTop="1" thickBot="1" x14ac:dyDescent="0.25">
      <c r="A20" s="2143" t="s">
        <v>1754</v>
      </c>
      <c r="B20" s="2144"/>
      <c r="C20" s="1768">
        <f>C8-C17</f>
        <v>1087022</v>
      </c>
      <c r="D20" s="1768">
        <f t="shared" ref="D20:K20" si="5">D8-D17</f>
        <v>105250</v>
      </c>
      <c r="E20" s="1768">
        <f t="shared" si="5"/>
        <v>8190</v>
      </c>
      <c r="F20" s="1768">
        <f t="shared" si="5"/>
        <v>267780</v>
      </c>
      <c r="G20" s="1768">
        <f t="shared" si="5"/>
        <v>25393</v>
      </c>
      <c r="H20" s="1768">
        <f t="shared" si="5"/>
        <v>91308</v>
      </c>
      <c r="I20" s="1768">
        <f t="shared" si="5"/>
        <v>113562</v>
      </c>
      <c r="J20" s="1768">
        <f t="shared" si="5"/>
        <v>19702</v>
      </c>
      <c r="K20" s="1768">
        <f t="shared" si="5"/>
        <v>-1495918</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1895</v>
      </c>
      <c r="B30" s="527">
        <v>7160</v>
      </c>
      <c r="C30" s="477"/>
      <c r="D30" s="467"/>
      <c r="E30" s="477"/>
      <c r="F30" s="477"/>
      <c r="G30" s="477"/>
      <c r="H30" s="477"/>
      <c r="I30" s="477"/>
      <c r="J30" s="477"/>
      <c r="K30" s="477"/>
      <c r="L30" s="524"/>
    </row>
    <row r="31" spans="1:12" s="485" customFormat="1" ht="26.25" x14ac:dyDescent="0.2">
      <c r="A31" s="1511" t="s">
        <v>1899</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1898</v>
      </c>
      <c r="B52" s="483">
        <v>8160</v>
      </c>
      <c r="C52" s="477"/>
      <c r="D52" s="477"/>
      <c r="E52" s="477"/>
      <c r="F52" s="477"/>
      <c r="G52" s="477"/>
      <c r="H52" s="477"/>
      <c r="I52" s="477"/>
      <c r="J52" s="477"/>
      <c r="K52" s="1765">
        <f>D30</f>
        <v>0</v>
      </c>
      <c r="L52" s="524"/>
    </row>
    <row r="53" spans="1:12" s="485" customFormat="1" ht="26.25" x14ac:dyDescent="0.2">
      <c r="A53" s="1512" t="s">
        <v>1897</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3" t="s">
        <v>460</v>
      </c>
      <c r="B76" s="2134"/>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5" t="s">
        <v>1239</v>
      </c>
      <c r="B77" s="2136"/>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39" t="s">
        <v>618</v>
      </c>
      <c r="B78" s="2140"/>
      <c r="C78" s="1724">
        <f t="shared" ref="C78:K78" si="9">C20+C77</f>
        <v>1087022</v>
      </c>
      <c r="D78" s="1724">
        <f t="shared" si="9"/>
        <v>105250</v>
      </c>
      <c r="E78" s="1724">
        <f t="shared" si="9"/>
        <v>8190</v>
      </c>
      <c r="F78" s="1724">
        <f t="shared" si="9"/>
        <v>267780</v>
      </c>
      <c r="G78" s="1724">
        <f t="shared" si="9"/>
        <v>25393</v>
      </c>
      <c r="H78" s="1724">
        <f t="shared" si="9"/>
        <v>91308</v>
      </c>
      <c r="I78" s="1724">
        <f t="shared" si="9"/>
        <v>113562</v>
      </c>
      <c r="J78" s="1724">
        <f t="shared" si="9"/>
        <v>19702</v>
      </c>
      <c r="K78" s="1724">
        <f t="shared" si="9"/>
        <v>-1495918</v>
      </c>
      <c r="L78" s="533"/>
    </row>
    <row r="79" spans="1:12" ht="13.5" thickTop="1" x14ac:dyDescent="0.2">
      <c r="A79" s="1516" t="s">
        <v>2069</v>
      </c>
      <c r="B79" s="534"/>
      <c r="C79" s="478">
        <v>8946878</v>
      </c>
      <c r="D79" s="535">
        <v>518158</v>
      </c>
      <c r="E79" s="535">
        <v>518243</v>
      </c>
      <c r="F79" s="535">
        <v>553083</v>
      </c>
      <c r="G79" s="535">
        <v>637954</v>
      </c>
      <c r="H79" s="535">
        <v>797894</v>
      </c>
      <c r="I79" s="535">
        <v>1159588</v>
      </c>
      <c r="J79" s="535">
        <v>680368</v>
      </c>
      <c r="K79" s="535">
        <v>4565927</v>
      </c>
      <c r="L79" s="347"/>
    </row>
    <row r="80" spans="1:12" x14ac:dyDescent="0.2">
      <c r="A80" s="2145" t="s">
        <v>1896</v>
      </c>
      <c r="B80" s="2146"/>
      <c r="C80" s="467"/>
      <c r="D80" s="467"/>
      <c r="E80" s="467"/>
      <c r="F80" s="467"/>
      <c r="G80" s="467"/>
      <c r="H80" s="467"/>
      <c r="I80" s="467"/>
      <c r="J80" s="467"/>
      <c r="K80" s="467"/>
      <c r="L80" s="347"/>
    </row>
    <row r="81" spans="1:12" ht="13.5" thickBot="1" x14ac:dyDescent="0.25">
      <c r="A81" s="2137" t="s">
        <v>2070</v>
      </c>
      <c r="B81" s="2138"/>
      <c r="C81" s="1710">
        <f>(SUM(C78:C80))</f>
        <v>10033900</v>
      </c>
      <c r="D81" s="1710">
        <f>SUM(D78:D80)</f>
        <v>623408</v>
      </c>
      <c r="E81" s="1710">
        <f t="shared" ref="E81:K81" si="10">SUM(E78:E80)</f>
        <v>526433</v>
      </c>
      <c r="F81" s="1710">
        <f t="shared" si="10"/>
        <v>820863</v>
      </c>
      <c r="G81" s="1710">
        <f t="shared" si="10"/>
        <v>663347</v>
      </c>
      <c r="H81" s="1710">
        <f t="shared" si="10"/>
        <v>889202</v>
      </c>
      <c r="I81" s="1710">
        <f t="shared" si="10"/>
        <v>1273150</v>
      </c>
      <c r="J81" s="1710">
        <f t="shared" si="10"/>
        <v>700070</v>
      </c>
      <c r="K81" s="1710">
        <f t="shared" si="10"/>
        <v>3070009</v>
      </c>
      <c r="L81" s="347"/>
    </row>
    <row r="82" spans="1:12" ht="0.75" customHeight="1" thickTop="1" thickBot="1" x14ac:dyDescent="0.25">
      <c r="A82" s="536" t="s">
        <v>361</v>
      </c>
      <c r="B82" s="537"/>
      <c r="C82" s="538">
        <f>(C81-C79)</f>
        <v>1087022</v>
      </c>
      <c r="D82" s="538">
        <f t="shared" ref="D82:K82" si="11">(D81-D79)</f>
        <v>105250</v>
      </c>
      <c r="E82" s="538">
        <f t="shared" si="11"/>
        <v>8190</v>
      </c>
      <c r="F82" s="538">
        <f t="shared" si="11"/>
        <v>267780</v>
      </c>
      <c r="G82" s="538">
        <f t="shared" si="11"/>
        <v>25393</v>
      </c>
      <c r="H82" s="538">
        <f t="shared" si="11"/>
        <v>91308</v>
      </c>
      <c r="I82" s="538">
        <f t="shared" si="11"/>
        <v>113562</v>
      </c>
      <c r="J82" s="538">
        <f t="shared" si="11"/>
        <v>19702</v>
      </c>
      <c r="K82" s="538">
        <f t="shared" si="11"/>
        <v>-1495918</v>
      </c>
    </row>
    <row r="83" spans="1:12" ht="14.25" hidden="1" thickTop="1" thickBot="1" x14ac:dyDescent="0.25">
      <c r="A83" s="539" t="s">
        <v>362</v>
      </c>
      <c r="B83" s="464"/>
      <c r="C83" s="540">
        <f>C82/C81</f>
        <v>0.10833494453801612</v>
      </c>
      <c r="D83" s="540">
        <f t="shared" ref="D83:K83" si="12">D82/D81</f>
        <v>0.16883004388779099</v>
      </c>
      <c r="E83" s="540">
        <f t="shared" si="12"/>
        <v>1.5557535336880477E-2</v>
      </c>
      <c r="F83" s="540">
        <f t="shared" si="12"/>
        <v>0.32621765142295367</v>
      </c>
      <c r="G83" s="540">
        <f t="shared" si="12"/>
        <v>3.8280115836809389E-2</v>
      </c>
      <c r="H83" s="540">
        <f t="shared" si="12"/>
        <v>0.10268532909282706</v>
      </c>
      <c r="I83" s="540">
        <f t="shared" si="12"/>
        <v>8.9197659348859135E-2</v>
      </c>
      <c r="J83" s="540">
        <f t="shared" si="12"/>
        <v>2.8142899995714715E-2</v>
      </c>
      <c r="K83" s="540">
        <f t="shared" si="12"/>
        <v>-0.48726827836661063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186" activePane="bottomLeft" state="frozen"/>
      <selection activeCell="A47" sqref="A47"/>
      <selection pane="bottomLeft" activeCell="C196" sqref="C196"/>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1903</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3872951</v>
      </c>
      <c r="D5" s="481">
        <v>1054617</v>
      </c>
      <c r="E5" s="466">
        <v>790895</v>
      </c>
      <c r="F5" s="548">
        <v>421367</v>
      </c>
      <c r="G5" s="466">
        <v>268360</v>
      </c>
      <c r="H5" s="466"/>
      <c r="I5" s="466">
        <v>105340</v>
      </c>
      <c r="J5" s="467">
        <v>1043565</v>
      </c>
      <c r="K5" s="466">
        <v>105340</v>
      </c>
    </row>
    <row r="6" spans="1:12" ht="15" x14ac:dyDescent="0.2">
      <c r="A6" s="463" t="s">
        <v>1761</v>
      </c>
      <c r="B6" s="470">
        <v>1130</v>
      </c>
      <c r="C6" s="466">
        <v>105340</v>
      </c>
      <c r="D6" s="466"/>
      <c r="E6" s="475"/>
      <c r="F6" s="475"/>
      <c r="G6" s="468"/>
      <c r="H6" s="468"/>
      <c r="I6" s="468"/>
      <c r="J6" s="468"/>
      <c r="K6" s="468"/>
    </row>
    <row r="7" spans="1:12" x14ac:dyDescent="0.2">
      <c r="A7" s="463" t="s">
        <v>112</v>
      </c>
      <c r="B7" s="549">
        <v>1140</v>
      </c>
      <c r="C7" s="466">
        <v>84370</v>
      </c>
      <c r="D7" s="466"/>
      <c r="E7" s="468"/>
      <c r="F7" s="467"/>
      <c r="G7" s="467"/>
      <c r="H7" s="467"/>
      <c r="I7" s="468"/>
      <c r="J7" s="468"/>
      <c r="K7" s="468"/>
    </row>
    <row r="8" spans="1:12" x14ac:dyDescent="0.2">
      <c r="A8" s="463" t="s">
        <v>433</v>
      </c>
      <c r="B8" s="470">
        <v>1150</v>
      </c>
      <c r="C8" s="475"/>
      <c r="D8" s="475"/>
      <c r="E8" s="477"/>
      <c r="F8" s="477"/>
      <c r="G8" s="481">
        <v>405712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4062661</v>
      </c>
      <c r="D12" s="1729">
        <f t="shared" si="0"/>
        <v>1054617</v>
      </c>
      <c r="E12" s="1729">
        <f t="shared" si="0"/>
        <v>790895</v>
      </c>
      <c r="F12" s="1729">
        <f t="shared" si="0"/>
        <v>421367</v>
      </c>
      <c r="G12" s="1729">
        <f t="shared" si="0"/>
        <v>674072</v>
      </c>
      <c r="H12" s="1729">
        <f t="shared" si="0"/>
        <v>0</v>
      </c>
      <c r="I12" s="1729">
        <f t="shared" si="0"/>
        <v>105340</v>
      </c>
      <c r="J12" s="1729">
        <f t="shared" si="0"/>
        <v>1043565</v>
      </c>
      <c r="K12" s="1710">
        <f t="shared" si="0"/>
        <v>105340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2315941</v>
      </c>
      <c r="D16" s="466">
        <v>700000</v>
      </c>
      <c r="E16" s="466"/>
      <c r="F16" s="466"/>
      <c r="G16" s="466">
        <v>230000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2315941</v>
      </c>
      <c r="D18" s="1732">
        <f t="shared" ref="D18:K18" si="1">SUM(D14:D17)</f>
        <v>700000</v>
      </c>
      <c r="E18" s="1732">
        <f t="shared" si="1"/>
        <v>0</v>
      </c>
      <c r="F18" s="1732">
        <f t="shared" si="1"/>
        <v>0</v>
      </c>
      <c r="G18" s="1732">
        <f t="shared" si="1"/>
        <v>230000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22554</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74828</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97382</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64117</v>
      </c>
      <c r="D65" s="466">
        <v>3158</v>
      </c>
      <c r="E65" s="466">
        <v>2259</v>
      </c>
      <c r="F65" s="467">
        <v>3852</v>
      </c>
      <c r="G65" s="466">
        <v>4409</v>
      </c>
      <c r="H65" s="466">
        <v>4046</v>
      </c>
      <c r="I65" s="466">
        <v>8222</v>
      </c>
      <c r="J65" s="467">
        <v>4426</v>
      </c>
      <c r="K65" s="466">
        <v>24537</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64117</v>
      </c>
      <c r="D67" s="1710">
        <f t="shared" ref="D67:K67" si="2">SUM(D65:D66)</f>
        <v>3158</v>
      </c>
      <c r="E67" s="1710">
        <f t="shared" si="2"/>
        <v>2259</v>
      </c>
      <c r="F67" s="1710">
        <f t="shared" si="2"/>
        <v>3852</v>
      </c>
      <c r="G67" s="1710">
        <f t="shared" si="2"/>
        <v>4409</v>
      </c>
      <c r="H67" s="1710">
        <f t="shared" si="2"/>
        <v>4046</v>
      </c>
      <c r="I67" s="1710">
        <f t="shared" si="2"/>
        <v>8222</v>
      </c>
      <c r="J67" s="1710">
        <f t="shared" si="2"/>
        <v>4426</v>
      </c>
      <c r="K67" s="1710">
        <f t="shared" si="2"/>
        <v>24537</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151107</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26893</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6063</v>
      </c>
      <c r="D73" s="468"/>
      <c r="E73" s="468"/>
      <c r="F73" s="468"/>
      <c r="G73" s="468"/>
      <c r="H73" s="468"/>
      <c r="I73" s="468"/>
      <c r="J73" s="468"/>
      <c r="K73" s="468"/>
    </row>
    <row r="74" spans="1:11" ht="12.75" customHeight="1" x14ac:dyDescent="0.2">
      <c r="A74" s="463" t="s">
        <v>25</v>
      </c>
      <c r="B74" s="470">
        <v>1690</v>
      </c>
      <c r="C74" s="551">
        <v>29997</v>
      </c>
      <c r="D74" s="468"/>
      <c r="E74" s="468"/>
      <c r="F74" s="468"/>
      <c r="G74" s="468"/>
      <c r="H74" s="468"/>
      <c r="I74" s="468"/>
      <c r="J74" s="468"/>
      <c r="K74" s="468"/>
    </row>
    <row r="75" spans="1:11" ht="12.75" customHeight="1" thickBot="1" x14ac:dyDescent="0.25">
      <c r="A75" s="1730" t="s">
        <v>569</v>
      </c>
      <c r="B75" s="1731"/>
      <c r="C75" s="1710">
        <f>SUM(C69:C74)</f>
        <v>214060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125514</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27715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2300</v>
      </c>
      <c r="D81" s="466"/>
      <c r="E81" s="468"/>
      <c r="F81" s="468"/>
      <c r="G81" s="468"/>
      <c r="H81" s="468"/>
      <c r="I81" s="468"/>
      <c r="J81" s="468"/>
      <c r="K81" s="468"/>
    </row>
    <row r="82" spans="1:11" ht="12.75" customHeight="1" thickBot="1" x14ac:dyDescent="0.25">
      <c r="A82" s="1730" t="s">
        <v>259</v>
      </c>
      <c r="B82" s="1731"/>
      <c r="C82" s="1729">
        <f>SUM(C77:C81)</f>
        <v>155529</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134018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v>4392</v>
      </c>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138410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55490</v>
      </c>
      <c r="E95" s="521"/>
      <c r="F95" s="521"/>
      <c r="G95" s="521"/>
      <c r="H95" s="521"/>
      <c r="I95" s="521"/>
      <c r="J95" s="521"/>
      <c r="K95" s="521"/>
    </row>
    <row r="96" spans="1:11" ht="12.75" customHeight="1" x14ac:dyDescent="0.2">
      <c r="A96" s="463" t="s">
        <v>409</v>
      </c>
      <c r="B96" s="470">
        <v>1920</v>
      </c>
      <c r="C96" s="551">
        <v>342534</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21939</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11290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250000</v>
      </c>
      <c r="F103" s="468"/>
      <c r="G103" s="468"/>
      <c r="H103" s="489">
        <v>736081</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37324</v>
      </c>
      <c r="D107" s="466">
        <f>5096+57056+4057</f>
        <v>66209</v>
      </c>
      <c r="E107" s="466">
        <v>72601</v>
      </c>
      <c r="F107" s="466">
        <f>3250+140274</f>
        <v>143524</v>
      </c>
      <c r="G107" s="466"/>
      <c r="H107" s="466">
        <v>294772</v>
      </c>
      <c r="I107" s="466"/>
      <c r="J107" s="467"/>
      <c r="K107" s="466"/>
    </row>
    <row r="108" spans="1:12" ht="12.75" customHeight="1" thickBot="1" x14ac:dyDescent="0.25">
      <c r="A108" s="1730" t="s">
        <v>508</v>
      </c>
      <c r="B108" s="1734"/>
      <c r="C108" s="1729">
        <f>SUM(C95:C107)</f>
        <v>413087</v>
      </c>
      <c r="D108" s="1729">
        <f t="shared" ref="D108:K108" si="3">SUM(D95:D107)</f>
        <v>121699</v>
      </c>
      <c r="E108" s="1729">
        <f t="shared" si="3"/>
        <v>322601</v>
      </c>
      <c r="F108" s="1729">
        <f t="shared" si="3"/>
        <v>143524</v>
      </c>
      <c r="G108" s="1729">
        <f t="shared" si="3"/>
        <v>0</v>
      </c>
      <c r="H108" s="1729">
        <f t="shared" si="3"/>
        <v>1030853</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7461187</v>
      </c>
      <c r="D109" s="1737">
        <f t="shared" si="4"/>
        <v>1879474</v>
      </c>
      <c r="E109" s="1737">
        <f t="shared" si="4"/>
        <v>1115755</v>
      </c>
      <c r="F109" s="1737">
        <f t="shared" si="4"/>
        <v>568743</v>
      </c>
      <c r="G109" s="1737">
        <f t="shared" si="4"/>
        <v>908481</v>
      </c>
      <c r="H109" s="1737">
        <f t="shared" si="4"/>
        <v>1034899</v>
      </c>
      <c r="I109" s="1737">
        <f t="shared" si="4"/>
        <v>113562</v>
      </c>
      <c r="J109" s="1737">
        <f t="shared" si="4"/>
        <v>1047991</v>
      </c>
      <c r="K109" s="1724">
        <f t="shared" si="4"/>
        <v>129877</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8480315</v>
      </c>
      <c r="D117" s="481"/>
      <c r="E117" s="466"/>
      <c r="F117" s="481"/>
      <c r="G117" s="481"/>
      <c r="H117" s="466"/>
      <c r="I117" s="468"/>
      <c r="J117" s="467"/>
      <c r="K117" s="466"/>
    </row>
    <row r="118" spans="1:11" ht="12.75" customHeight="1" x14ac:dyDescent="0.2">
      <c r="A118" s="463" t="s">
        <v>1900</v>
      </c>
      <c r="B118" s="562">
        <v>3002</v>
      </c>
      <c r="C118" s="551"/>
      <c r="D118" s="466"/>
      <c r="E118" s="466"/>
      <c r="F118" s="466"/>
      <c r="G118" s="466"/>
      <c r="H118" s="466"/>
      <c r="I118" s="468"/>
      <c r="J118" s="467"/>
      <c r="K118" s="466"/>
    </row>
    <row r="119" spans="1:11" ht="12.75" customHeight="1" x14ac:dyDescent="0.2">
      <c r="A119" s="463" t="s">
        <v>1901</v>
      </c>
      <c r="B119" s="562">
        <v>3005</v>
      </c>
      <c r="C119" s="551"/>
      <c r="D119" s="466"/>
      <c r="E119" s="466"/>
      <c r="F119" s="466"/>
      <c r="G119" s="466"/>
      <c r="H119" s="466"/>
      <c r="I119" s="468"/>
      <c r="J119" s="467"/>
      <c r="K119" s="466"/>
    </row>
    <row r="120" spans="1:11" x14ac:dyDescent="0.2">
      <c r="A120" s="1518" t="s">
        <v>1902</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8480315</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91957</v>
      </c>
      <c r="D124" s="561"/>
      <c r="E124" s="468"/>
      <c r="F124" s="548"/>
      <c r="G124" s="468"/>
      <c r="H124" s="468"/>
      <c r="I124" s="468"/>
      <c r="J124" s="468"/>
      <c r="K124" s="468"/>
    </row>
    <row r="125" spans="1:11" ht="12.75" customHeight="1" x14ac:dyDescent="0.2">
      <c r="A125" s="463" t="s">
        <v>1521</v>
      </c>
      <c r="B125" s="562">
        <v>3105</v>
      </c>
      <c r="C125" s="466">
        <v>171832</v>
      </c>
      <c r="D125" s="561"/>
      <c r="E125" s="468"/>
      <c r="F125" s="466"/>
      <c r="G125" s="468"/>
      <c r="H125" s="468"/>
      <c r="I125" s="468"/>
      <c r="J125" s="468"/>
      <c r="K125" s="468"/>
    </row>
    <row r="126" spans="1:11" ht="12.75" customHeight="1" x14ac:dyDescent="0.2">
      <c r="A126" s="463" t="s">
        <v>922</v>
      </c>
      <c r="B126" s="562">
        <v>3110</v>
      </c>
      <c r="C126" s="551">
        <v>236918</v>
      </c>
      <c r="D126" s="466"/>
      <c r="E126" s="468"/>
      <c r="F126" s="466"/>
      <c r="G126" s="468"/>
      <c r="H126" s="468"/>
      <c r="I126" s="468"/>
      <c r="J126" s="468"/>
      <c r="K126" s="468"/>
    </row>
    <row r="127" spans="1:11" ht="12.75" customHeight="1" x14ac:dyDescent="0.2">
      <c r="A127" s="463" t="s">
        <v>107</v>
      </c>
      <c r="B127" s="562">
        <v>3120</v>
      </c>
      <c r="C127" s="466">
        <v>276399</v>
      </c>
      <c r="D127" s="561"/>
      <c r="E127" s="468"/>
      <c r="F127" s="466">
        <v>3245</v>
      </c>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3177</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780283</v>
      </c>
      <c r="D131" s="1729">
        <f>SUM(D124:D130)</f>
        <v>0</v>
      </c>
      <c r="E131" s="469" t="s">
        <v>1231</v>
      </c>
      <c r="F131" s="1729">
        <f>SUM(F124:F130)</f>
        <v>3245</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25937</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1958</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27895</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3552</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3552</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9846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34863</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329170</v>
      </c>
      <c r="G151" s="467"/>
      <c r="H151" s="468"/>
      <c r="I151" s="468"/>
      <c r="J151" s="468"/>
      <c r="K151" s="468"/>
    </row>
    <row r="152" spans="1:11" ht="12.75" customHeight="1" x14ac:dyDescent="0.2">
      <c r="A152" s="463" t="s">
        <v>1117</v>
      </c>
      <c r="B152" s="562">
        <v>3510</v>
      </c>
      <c r="C152" s="551"/>
      <c r="D152" s="466"/>
      <c r="E152" s="561"/>
      <c r="F152" s="466">
        <v>443229</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772399</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313988</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3409</v>
      </c>
      <c r="D171" s="580"/>
      <c r="E171" s="580"/>
      <c r="F171" s="580"/>
      <c r="G171" s="581"/>
      <c r="H171" s="582"/>
      <c r="I171" s="581"/>
      <c r="J171" s="581"/>
      <c r="K171" s="582"/>
    </row>
    <row r="172" spans="1:11" ht="12.75" customHeight="1" thickTop="1" thickBot="1" x14ac:dyDescent="0.25">
      <c r="A172" s="2161" t="s">
        <v>418</v>
      </c>
      <c r="B172" s="2162"/>
      <c r="C172" s="1744">
        <f t="shared" ref="C172:K172" si="6">SUM(C131,C140,C144,C145:C149,C154,C155:C170,C171)</f>
        <v>1173836</v>
      </c>
      <c r="D172" s="1744">
        <f t="shared" si="6"/>
        <v>0</v>
      </c>
      <c r="E172" s="1744">
        <f t="shared" si="6"/>
        <v>0</v>
      </c>
      <c r="F172" s="1744">
        <f t="shared" si="6"/>
        <v>775644</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9654151</v>
      </c>
      <c r="D173" s="1737">
        <f>SUM(D121,D172)</f>
        <v>0</v>
      </c>
      <c r="E173" s="1737">
        <f>SUM(E121,E172)</f>
        <v>0</v>
      </c>
      <c r="F173" s="1737">
        <f t="shared" ref="F173:K173" si="7">SUM(F121,F172)</f>
        <v>775644</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9" t="s">
        <v>818</v>
      </c>
      <c r="B184" s="217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1904</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34544</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34544</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508644</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140483</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v>5272</v>
      </c>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654399</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604121</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604121</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4019</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4019</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146868</v>
      </c>
      <c r="D220" s="466"/>
      <c r="E220" s="468"/>
      <c r="F220" s="466"/>
      <c r="G220" s="466"/>
      <c r="H220" s="468"/>
      <c r="I220" s="468"/>
      <c r="J220" s="468"/>
      <c r="K220" s="468"/>
    </row>
    <row r="221" spans="1:11" ht="12.75" customHeight="1" x14ac:dyDescent="0.2">
      <c r="A221" s="463" t="s">
        <v>1114</v>
      </c>
      <c r="B221" s="470">
        <v>4625</v>
      </c>
      <c r="C221" s="551">
        <v>47960</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194828</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132415</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28504</v>
      </c>
      <c r="D270" s="576"/>
      <c r="E270" s="468"/>
      <c r="F270" s="576"/>
      <c r="G270" s="576"/>
      <c r="H270" s="468"/>
      <c r="I270" s="468"/>
      <c r="J270" s="468"/>
      <c r="K270" s="468"/>
    </row>
    <row r="271" spans="1:11" ht="12.75" customHeight="1" thickTop="1" thickBot="1" x14ac:dyDescent="0.25">
      <c r="A271" s="463" t="s">
        <v>395</v>
      </c>
      <c r="B271" s="470">
        <v>4992</v>
      </c>
      <c r="C271" s="575">
        <v>175477</v>
      </c>
      <c r="D271" s="576"/>
      <c r="E271" s="468"/>
      <c r="F271" s="576"/>
      <c r="G271" s="576"/>
      <c r="H271" s="468"/>
      <c r="I271" s="468"/>
      <c r="J271" s="468"/>
      <c r="K271" s="468"/>
    </row>
    <row r="272" spans="1:11" s="594" customFormat="1" ht="12.75" customHeight="1" thickTop="1" thickBot="1" x14ac:dyDescent="0.25">
      <c r="A272" s="563" t="s">
        <v>77</v>
      </c>
      <c r="B272" s="557">
        <v>4999</v>
      </c>
      <c r="C272" s="575">
        <v>4999</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1833306</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1833306</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18948644</v>
      </c>
      <c r="D275" s="1737">
        <f t="shared" si="12"/>
        <v>1879474</v>
      </c>
      <c r="E275" s="1737">
        <f t="shared" si="12"/>
        <v>1115755</v>
      </c>
      <c r="F275" s="1737">
        <f t="shared" si="12"/>
        <v>1344387</v>
      </c>
      <c r="G275" s="1737">
        <f t="shared" si="12"/>
        <v>908481</v>
      </c>
      <c r="H275" s="1737">
        <f t="shared" si="12"/>
        <v>1034899</v>
      </c>
      <c r="I275" s="1737">
        <f t="shared" si="12"/>
        <v>113562</v>
      </c>
      <c r="J275" s="1737">
        <f t="shared" si="12"/>
        <v>1047991</v>
      </c>
      <c r="K275" s="1724">
        <f t="shared" si="12"/>
        <v>129877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C5" sqref="C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1903</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9" t="s">
        <v>315</v>
      </c>
      <c r="B3" s="2180"/>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6142095</v>
      </c>
      <c r="D5" s="466">
        <v>899041</v>
      </c>
      <c r="E5" s="466">
        <v>175022</v>
      </c>
      <c r="F5" s="466">
        <v>204551</v>
      </c>
      <c r="G5" s="466">
        <v>100523</v>
      </c>
      <c r="H5" s="466">
        <v>3016</v>
      </c>
      <c r="I5" s="467"/>
      <c r="J5" s="467">
        <v>1000</v>
      </c>
      <c r="K5" s="1693">
        <f>SUM(C5:J5)</f>
        <v>7525248</v>
      </c>
      <c r="L5" s="466">
        <v>7994300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134186</v>
      </c>
      <c r="D7" s="467">
        <v>23983</v>
      </c>
      <c r="E7" s="467"/>
      <c r="F7" s="467"/>
      <c r="G7" s="467"/>
      <c r="H7" s="467"/>
      <c r="I7" s="467"/>
      <c r="J7" s="467"/>
      <c r="K7" s="1693">
        <f t="shared" ref="K7:K32" si="0">SUM(C7:J7)</f>
        <v>158169</v>
      </c>
      <c r="L7" s="466">
        <v>156900</v>
      </c>
    </row>
    <row r="8" spans="1:14" x14ac:dyDescent="0.2">
      <c r="A8" s="1526" t="s">
        <v>166</v>
      </c>
      <c r="B8" s="615">
        <v>1200</v>
      </c>
      <c r="C8" s="466">
        <v>2569384</v>
      </c>
      <c r="D8" s="466">
        <v>438775</v>
      </c>
      <c r="E8" s="466">
        <v>6432</v>
      </c>
      <c r="F8" s="466">
        <v>7696</v>
      </c>
      <c r="G8" s="466"/>
      <c r="H8" s="466">
        <v>430</v>
      </c>
      <c r="I8" s="467"/>
      <c r="J8" s="467"/>
      <c r="K8" s="1693">
        <f t="shared" si="0"/>
        <v>3022717</v>
      </c>
      <c r="L8" s="466">
        <v>3162200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574161</v>
      </c>
      <c r="D10" s="466">
        <v>114327</v>
      </c>
      <c r="E10" s="466">
        <v>181740</v>
      </c>
      <c r="F10" s="466">
        <v>31436</v>
      </c>
      <c r="G10" s="466">
        <v>10900</v>
      </c>
      <c r="H10" s="466"/>
      <c r="I10" s="467"/>
      <c r="J10" s="467"/>
      <c r="K10" s="1693">
        <f t="shared" si="0"/>
        <v>912564</v>
      </c>
      <c r="L10" s="466">
        <v>920300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373606</v>
      </c>
      <c r="D13" s="466">
        <v>49979</v>
      </c>
      <c r="E13" s="466"/>
      <c r="F13" s="466">
        <v>37460</v>
      </c>
      <c r="G13" s="466">
        <v>55716</v>
      </c>
      <c r="H13" s="466">
        <v>72</v>
      </c>
      <c r="I13" s="467"/>
      <c r="J13" s="467">
        <v>1000</v>
      </c>
      <c r="K13" s="1693">
        <f t="shared" si="0"/>
        <v>517833</v>
      </c>
      <c r="L13" s="466">
        <v>494900</v>
      </c>
    </row>
    <row r="14" spans="1:14" x14ac:dyDescent="0.2">
      <c r="A14" s="1526" t="s">
        <v>1020</v>
      </c>
      <c r="B14" s="615">
        <v>1500</v>
      </c>
      <c r="C14" s="466">
        <v>304576</v>
      </c>
      <c r="D14" s="466">
        <v>15395</v>
      </c>
      <c r="E14" s="466">
        <v>79551</v>
      </c>
      <c r="F14" s="466">
        <v>47380</v>
      </c>
      <c r="G14" s="466">
        <v>28712</v>
      </c>
      <c r="H14" s="466">
        <v>4420</v>
      </c>
      <c r="I14" s="467"/>
      <c r="J14" s="467"/>
      <c r="K14" s="1693">
        <f t="shared" si="0"/>
        <v>480034</v>
      </c>
      <c r="L14" s="466">
        <v>523900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59290</v>
      </c>
      <c r="D17" s="467">
        <v>14504</v>
      </c>
      <c r="E17" s="467">
        <v>698</v>
      </c>
      <c r="F17" s="467">
        <v>1436</v>
      </c>
      <c r="G17" s="467"/>
      <c r="H17" s="467"/>
      <c r="I17" s="467"/>
      <c r="J17" s="467"/>
      <c r="K17" s="1693">
        <f t="shared" si="0"/>
        <v>75928</v>
      </c>
      <c r="L17" s="466">
        <v>77500</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v>3630</v>
      </c>
      <c r="I21" s="617"/>
      <c r="J21" s="477"/>
      <c r="K21" s="1693">
        <f t="shared" si="0"/>
        <v>3630</v>
      </c>
      <c r="L21" s="471">
        <v>20000</v>
      </c>
    </row>
    <row r="22" spans="1:12" x14ac:dyDescent="0.2">
      <c r="A22" s="1527" t="s">
        <v>764</v>
      </c>
      <c r="B22" s="603" t="s">
        <v>751</v>
      </c>
      <c r="C22" s="477"/>
      <c r="D22" s="477"/>
      <c r="E22" s="477"/>
      <c r="F22" s="477"/>
      <c r="G22" s="477"/>
      <c r="H22" s="474">
        <v>46017</v>
      </c>
      <c r="I22" s="617"/>
      <c r="J22" s="477"/>
      <c r="K22" s="1693">
        <f t="shared" si="0"/>
        <v>46017</v>
      </c>
      <c r="L22" s="471">
        <v>160000</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10157298</v>
      </c>
      <c r="D33" s="1692">
        <f t="shared" ref="D33:L33" si="1">SUM(D5:D32)</f>
        <v>1556004</v>
      </c>
      <c r="E33" s="1692">
        <f t="shared" si="1"/>
        <v>443443</v>
      </c>
      <c r="F33" s="1692">
        <f t="shared" si="1"/>
        <v>329959</v>
      </c>
      <c r="G33" s="1692">
        <f t="shared" si="1"/>
        <v>195851</v>
      </c>
      <c r="H33" s="1692">
        <f t="shared" si="1"/>
        <v>57585</v>
      </c>
      <c r="I33" s="1692">
        <f t="shared" si="1"/>
        <v>0</v>
      </c>
      <c r="J33" s="1692">
        <f t="shared" si="1"/>
        <v>2000</v>
      </c>
      <c r="K33" s="1692">
        <f t="shared" si="1"/>
        <v>12742140</v>
      </c>
      <c r="L33" s="1692">
        <f t="shared" si="1"/>
        <v>13510000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92857</v>
      </c>
      <c r="D36" s="481">
        <v>9306</v>
      </c>
      <c r="E36" s="481"/>
      <c r="F36" s="481">
        <v>982</v>
      </c>
      <c r="G36" s="481"/>
      <c r="H36" s="481"/>
      <c r="I36" s="467"/>
      <c r="J36" s="467"/>
      <c r="K36" s="1693">
        <f t="shared" ref="K36:K41" si="2">SUM(C36:J36)</f>
        <v>103145</v>
      </c>
      <c r="L36" s="466">
        <v>116100</v>
      </c>
    </row>
    <row r="37" spans="1:14" x14ac:dyDescent="0.2">
      <c r="A37" s="1526" t="s">
        <v>1151</v>
      </c>
      <c r="B37" s="615">
        <v>2120</v>
      </c>
      <c r="C37" s="466">
        <v>311260</v>
      </c>
      <c r="D37" s="466">
        <v>25608</v>
      </c>
      <c r="E37" s="466">
        <v>422</v>
      </c>
      <c r="F37" s="466">
        <v>203</v>
      </c>
      <c r="G37" s="466"/>
      <c r="H37" s="466"/>
      <c r="I37" s="467"/>
      <c r="J37" s="467"/>
      <c r="K37" s="1693">
        <f t="shared" si="2"/>
        <v>337493</v>
      </c>
      <c r="L37" s="466">
        <v>346000</v>
      </c>
    </row>
    <row r="38" spans="1:14" x14ac:dyDescent="0.2">
      <c r="A38" s="1526" t="s">
        <v>207</v>
      </c>
      <c r="B38" s="615">
        <v>2130</v>
      </c>
      <c r="C38" s="466"/>
      <c r="D38" s="466"/>
      <c r="E38" s="466">
        <v>9380</v>
      </c>
      <c r="F38" s="466"/>
      <c r="G38" s="466"/>
      <c r="H38" s="466"/>
      <c r="I38" s="467"/>
      <c r="J38" s="467"/>
      <c r="K38" s="1693">
        <f t="shared" si="2"/>
        <v>9380</v>
      </c>
      <c r="L38" s="466">
        <v>15000</v>
      </c>
    </row>
    <row r="39" spans="1:14" x14ac:dyDescent="0.2">
      <c r="A39" s="1526" t="s">
        <v>208</v>
      </c>
      <c r="B39" s="615">
        <v>2140</v>
      </c>
      <c r="C39" s="466">
        <v>159935</v>
      </c>
      <c r="D39" s="466">
        <v>9848</v>
      </c>
      <c r="E39" s="466"/>
      <c r="F39" s="466">
        <v>1231</v>
      </c>
      <c r="G39" s="466"/>
      <c r="H39" s="466"/>
      <c r="I39" s="467"/>
      <c r="J39" s="467"/>
      <c r="K39" s="1693">
        <f t="shared" si="2"/>
        <v>171014</v>
      </c>
      <c r="L39" s="466">
        <v>181100</v>
      </c>
    </row>
    <row r="40" spans="1:14" x14ac:dyDescent="0.2">
      <c r="A40" s="1526" t="s">
        <v>209</v>
      </c>
      <c r="B40" s="615">
        <v>2150</v>
      </c>
      <c r="C40" s="466">
        <v>228042</v>
      </c>
      <c r="D40" s="466">
        <v>26805</v>
      </c>
      <c r="E40" s="466"/>
      <c r="F40" s="466"/>
      <c r="G40" s="466"/>
      <c r="H40" s="466"/>
      <c r="I40" s="467"/>
      <c r="J40" s="467"/>
      <c r="K40" s="1693">
        <f t="shared" si="2"/>
        <v>254847</v>
      </c>
      <c r="L40" s="466">
        <v>258800</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792094</v>
      </c>
      <c r="D42" s="1692">
        <f t="shared" ref="D42:L42" si="3">SUM(D36:D41)</f>
        <v>71567</v>
      </c>
      <c r="E42" s="1692">
        <f t="shared" si="3"/>
        <v>9802</v>
      </c>
      <c r="F42" s="1692">
        <f t="shared" si="3"/>
        <v>2416</v>
      </c>
      <c r="G42" s="1692">
        <f t="shared" si="3"/>
        <v>0</v>
      </c>
      <c r="H42" s="1692">
        <f t="shared" si="3"/>
        <v>0</v>
      </c>
      <c r="I42" s="1692">
        <f t="shared" si="3"/>
        <v>0</v>
      </c>
      <c r="J42" s="1692">
        <f t="shared" si="3"/>
        <v>0</v>
      </c>
      <c r="K42" s="1692">
        <f t="shared" si="3"/>
        <v>875879</v>
      </c>
      <c r="L42" s="1692">
        <f t="shared" si="3"/>
        <v>917000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115518</v>
      </c>
      <c r="D44" s="481">
        <v>38192</v>
      </c>
      <c r="E44" s="481">
        <v>60872</v>
      </c>
      <c r="F44" s="481">
        <v>4596</v>
      </c>
      <c r="G44" s="481"/>
      <c r="H44" s="481">
        <v>20</v>
      </c>
      <c r="I44" s="467"/>
      <c r="J44" s="467"/>
      <c r="K44" s="1694">
        <f>SUM(C44:J44)</f>
        <v>219198</v>
      </c>
      <c r="L44" s="481">
        <v>252400</v>
      </c>
    </row>
    <row r="45" spans="1:14" x14ac:dyDescent="0.2">
      <c r="A45" s="1526" t="s">
        <v>869</v>
      </c>
      <c r="B45" s="615">
        <v>2220</v>
      </c>
      <c r="C45" s="466">
        <v>441611</v>
      </c>
      <c r="D45" s="466">
        <v>45303</v>
      </c>
      <c r="E45" s="466">
        <v>218219</v>
      </c>
      <c r="F45" s="466">
        <v>53321</v>
      </c>
      <c r="G45" s="466">
        <v>18424</v>
      </c>
      <c r="H45" s="466">
        <v>2664</v>
      </c>
      <c r="I45" s="467"/>
      <c r="J45" s="467"/>
      <c r="K45" s="1694">
        <f>SUM(C45:J45)</f>
        <v>779542</v>
      </c>
      <c r="L45" s="466">
        <v>879800</v>
      </c>
    </row>
    <row r="46" spans="1:14" x14ac:dyDescent="0.2">
      <c r="A46" s="1526" t="s">
        <v>870</v>
      </c>
      <c r="B46" s="615">
        <v>2230</v>
      </c>
      <c r="C46" s="466"/>
      <c r="D46" s="466"/>
      <c r="E46" s="466">
        <v>10143</v>
      </c>
      <c r="F46" s="466">
        <v>2040</v>
      </c>
      <c r="G46" s="466"/>
      <c r="H46" s="466"/>
      <c r="I46" s="467"/>
      <c r="J46" s="467"/>
      <c r="K46" s="1694">
        <f>SUM(C46:J46)</f>
        <v>12183</v>
      </c>
      <c r="L46" s="466">
        <v>12500</v>
      </c>
    </row>
    <row r="47" spans="1:14" ht="12.75" customHeight="1" thickBot="1" x14ac:dyDescent="0.25">
      <c r="A47" s="1690" t="s">
        <v>582</v>
      </c>
      <c r="B47" s="1691" t="s">
        <v>32</v>
      </c>
      <c r="C47" s="1692">
        <f>SUM(C44:C46)</f>
        <v>557129</v>
      </c>
      <c r="D47" s="1692">
        <f t="shared" ref="D47:K47" si="4">SUM(D44:D46)</f>
        <v>83495</v>
      </c>
      <c r="E47" s="1692">
        <f t="shared" si="4"/>
        <v>289234</v>
      </c>
      <c r="F47" s="1692">
        <f t="shared" si="4"/>
        <v>59957</v>
      </c>
      <c r="G47" s="1692">
        <f t="shared" si="4"/>
        <v>18424</v>
      </c>
      <c r="H47" s="1692">
        <f t="shared" si="4"/>
        <v>2684</v>
      </c>
      <c r="I47" s="1692">
        <f t="shared" si="4"/>
        <v>0</v>
      </c>
      <c r="J47" s="1692">
        <f t="shared" si="4"/>
        <v>0</v>
      </c>
      <c r="K47" s="1692">
        <f t="shared" si="4"/>
        <v>1010923</v>
      </c>
      <c r="L47" s="1692">
        <f>SUM(L44:L46)</f>
        <v>1144700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11640</v>
      </c>
      <c r="D49" s="481">
        <v>23887</v>
      </c>
      <c r="E49" s="481">
        <v>60713</v>
      </c>
      <c r="F49" s="481">
        <v>10027</v>
      </c>
      <c r="G49" s="481"/>
      <c r="H49" s="481">
        <v>11342</v>
      </c>
      <c r="I49" s="467"/>
      <c r="J49" s="467"/>
      <c r="K49" s="1694">
        <f>SUM(C49:J49)</f>
        <v>117609</v>
      </c>
      <c r="L49" s="481">
        <v>185000</v>
      </c>
    </row>
    <row r="50" spans="1:14" x14ac:dyDescent="0.2">
      <c r="A50" s="1526" t="s">
        <v>872</v>
      </c>
      <c r="B50" s="615">
        <v>2320</v>
      </c>
      <c r="C50" s="466">
        <v>156979</v>
      </c>
      <c r="D50" s="466">
        <v>32761</v>
      </c>
      <c r="E50" s="466">
        <v>6273</v>
      </c>
      <c r="F50" s="466">
        <v>4470</v>
      </c>
      <c r="G50" s="466"/>
      <c r="H50" s="466">
        <v>604</v>
      </c>
      <c r="I50" s="467"/>
      <c r="J50" s="467"/>
      <c r="K50" s="1694">
        <f>SUM(C50:J50)</f>
        <v>201087</v>
      </c>
      <c r="L50" s="466">
        <v>224200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168619</v>
      </c>
      <c r="D53" s="1692">
        <f t="shared" ref="D53:L53" si="5">SUM(D49:D52)</f>
        <v>56648</v>
      </c>
      <c r="E53" s="1692">
        <f t="shared" si="5"/>
        <v>66986</v>
      </c>
      <c r="F53" s="1692">
        <f t="shared" si="5"/>
        <v>14497</v>
      </c>
      <c r="G53" s="1692">
        <f t="shared" si="5"/>
        <v>0</v>
      </c>
      <c r="H53" s="1692">
        <f t="shared" si="5"/>
        <v>11946</v>
      </c>
      <c r="I53" s="1692">
        <f t="shared" si="5"/>
        <v>0</v>
      </c>
      <c r="J53" s="1692">
        <f t="shared" si="5"/>
        <v>0</v>
      </c>
      <c r="K53" s="1692">
        <f t="shared" si="5"/>
        <v>318696</v>
      </c>
      <c r="L53" s="1692">
        <f t="shared" si="5"/>
        <v>409200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699306</v>
      </c>
      <c r="D55" s="481">
        <v>141076</v>
      </c>
      <c r="E55" s="481">
        <v>1424</v>
      </c>
      <c r="F55" s="481">
        <v>794</v>
      </c>
      <c r="G55" s="481">
        <v>200</v>
      </c>
      <c r="H55" s="481"/>
      <c r="I55" s="467"/>
      <c r="J55" s="467">
        <v>5000</v>
      </c>
      <c r="K55" s="1694">
        <f>SUM(C55:J55)</f>
        <v>847800</v>
      </c>
      <c r="L55" s="481">
        <v>921600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699306</v>
      </c>
      <c r="D57" s="1696">
        <f t="shared" ref="D57:K57" si="6">SUM(D55:D56)</f>
        <v>141076</v>
      </c>
      <c r="E57" s="1696">
        <f t="shared" si="6"/>
        <v>1424</v>
      </c>
      <c r="F57" s="1696">
        <f t="shared" si="6"/>
        <v>794</v>
      </c>
      <c r="G57" s="1696">
        <f t="shared" si="6"/>
        <v>200</v>
      </c>
      <c r="H57" s="1696">
        <f t="shared" si="6"/>
        <v>0</v>
      </c>
      <c r="I57" s="1696">
        <f t="shared" si="6"/>
        <v>0</v>
      </c>
      <c r="J57" s="1696">
        <f t="shared" si="6"/>
        <v>5000</v>
      </c>
      <c r="K57" s="1696">
        <f t="shared" si="6"/>
        <v>847800</v>
      </c>
      <c r="L57" s="1692">
        <f>SUM(L55:L56)</f>
        <v>921600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v>72122</v>
      </c>
      <c r="F59" s="481">
        <v>1856</v>
      </c>
      <c r="G59" s="481"/>
      <c r="H59" s="481">
        <v>370</v>
      </c>
      <c r="I59" s="467"/>
      <c r="J59" s="467"/>
      <c r="K59" s="1694">
        <f t="shared" ref="K59:K64" si="7">SUM(C59:J59)</f>
        <v>74348</v>
      </c>
      <c r="L59" s="481">
        <v>56500</v>
      </c>
      <c r="M59" s="610"/>
      <c r="N59" s="610"/>
    </row>
    <row r="60" spans="1:14" s="343" customFormat="1" x14ac:dyDescent="0.2">
      <c r="A60" s="1526" t="s">
        <v>483</v>
      </c>
      <c r="B60" s="615">
        <v>2520</v>
      </c>
      <c r="C60" s="466">
        <v>154545</v>
      </c>
      <c r="D60" s="466">
        <v>24713</v>
      </c>
      <c r="E60" s="466">
        <v>9025</v>
      </c>
      <c r="F60" s="466">
        <v>429</v>
      </c>
      <c r="G60" s="466">
        <v>742</v>
      </c>
      <c r="H60" s="466">
        <v>20</v>
      </c>
      <c r="I60" s="467"/>
      <c r="J60" s="467"/>
      <c r="K60" s="1694">
        <f t="shared" si="7"/>
        <v>189474</v>
      </c>
      <c r="L60" s="466">
        <v>255100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v>99746</v>
      </c>
      <c r="D62" s="466">
        <v>20989</v>
      </c>
      <c r="E62" s="466"/>
      <c r="F62" s="466"/>
      <c r="G62" s="466"/>
      <c r="H62" s="466"/>
      <c r="I62" s="467"/>
      <c r="J62" s="467"/>
      <c r="K62" s="1694">
        <f t="shared" si="7"/>
        <v>120735</v>
      </c>
      <c r="L62" s="466">
        <v>87000</v>
      </c>
      <c r="M62" s="610"/>
      <c r="N62" s="610"/>
    </row>
    <row r="63" spans="1:14" s="610" customFormat="1" x14ac:dyDescent="0.2">
      <c r="A63" s="1526" t="s">
        <v>102</v>
      </c>
      <c r="B63" s="615">
        <v>2560</v>
      </c>
      <c r="C63" s="466">
        <v>70029</v>
      </c>
      <c r="D63" s="466">
        <v>18468</v>
      </c>
      <c r="E63" s="466">
        <v>630000</v>
      </c>
      <c r="F63" s="466">
        <v>8349</v>
      </c>
      <c r="G63" s="466"/>
      <c r="H63" s="466"/>
      <c r="I63" s="467"/>
      <c r="J63" s="467"/>
      <c r="K63" s="1694">
        <f t="shared" si="7"/>
        <v>726846</v>
      </c>
      <c r="L63" s="466">
        <v>910000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324320</v>
      </c>
      <c r="D65" s="1692">
        <f t="shared" ref="D65:L65" si="8">SUM(D59:D64)</f>
        <v>64170</v>
      </c>
      <c r="E65" s="1692">
        <f t="shared" si="8"/>
        <v>711147</v>
      </c>
      <c r="F65" s="1692">
        <f t="shared" si="8"/>
        <v>10634</v>
      </c>
      <c r="G65" s="1692">
        <f t="shared" si="8"/>
        <v>742</v>
      </c>
      <c r="H65" s="1692">
        <f t="shared" si="8"/>
        <v>390</v>
      </c>
      <c r="I65" s="1692">
        <f t="shared" si="8"/>
        <v>0</v>
      </c>
      <c r="J65" s="1692">
        <f t="shared" si="8"/>
        <v>0</v>
      </c>
      <c r="K65" s="1692">
        <f t="shared" si="8"/>
        <v>1111403</v>
      </c>
      <c r="L65" s="1692">
        <f t="shared" si="8"/>
        <v>1308600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v>36000</v>
      </c>
      <c r="D70" s="466">
        <v>5172</v>
      </c>
      <c r="E70" s="466"/>
      <c r="F70" s="466"/>
      <c r="G70" s="466"/>
      <c r="H70" s="466"/>
      <c r="I70" s="467"/>
      <c r="J70" s="467"/>
      <c r="K70" s="1694">
        <f>SUM(C70:J70)</f>
        <v>41172</v>
      </c>
      <c r="L70" s="466">
        <v>32100</v>
      </c>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36000</v>
      </c>
      <c r="D72" s="1692">
        <f t="shared" ref="D72:K72" si="9">SUM(D67:D71)</f>
        <v>5172</v>
      </c>
      <c r="E72" s="1692">
        <f t="shared" si="9"/>
        <v>0</v>
      </c>
      <c r="F72" s="1692">
        <f t="shared" si="9"/>
        <v>0</v>
      </c>
      <c r="G72" s="1692">
        <f t="shared" si="9"/>
        <v>0</v>
      </c>
      <c r="H72" s="1692">
        <f t="shared" si="9"/>
        <v>0</v>
      </c>
      <c r="I72" s="1692">
        <f t="shared" si="9"/>
        <v>0</v>
      </c>
      <c r="J72" s="1692">
        <f t="shared" si="9"/>
        <v>0</v>
      </c>
      <c r="K72" s="1692">
        <f t="shared" si="9"/>
        <v>41172</v>
      </c>
      <c r="L72" s="1692">
        <f>SUM(L67:L71)</f>
        <v>32100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2577468</v>
      </c>
      <c r="D74" s="1699">
        <f t="shared" ref="D74:K74" si="10">SUM(D42,D47,D53,D57,D65,D72,D73)</f>
        <v>422128</v>
      </c>
      <c r="E74" s="1699">
        <f t="shared" si="10"/>
        <v>1078593</v>
      </c>
      <c r="F74" s="1699">
        <f t="shared" si="10"/>
        <v>88298</v>
      </c>
      <c r="G74" s="1699">
        <f t="shared" si="10"/>
        <v>19366</v>
      </c>
      <c r="H74" s="1699">
        <f t="shared" si="10"/>
        <v>15020</v>
      </c>
      <c r="I74" s="1699">
        <f t="shared" si="10"/>
        <v>0</v>
      </c>
      <c r="J74" s="1699">
        <f t="shared" si="10"/>
        <v>5000</v>
      </c>
      <c r="K74" s="1699">
        <f t="shared" si="10"/>
        <v>4205873</v>
      </c>
      <c r="L74" s="1699">
        <f>SUM(L42,L47,L53,L57,L65,L72,L73)</f>
        <v>4733200</v>
      </c>
    </row>
    <row r="75" spans="1:14" s="259" customFormat="1" ht="15.75" customHeight="1" thickTop="1" thickBot="1" x14ac:dyDescent="0.25">
      <c r="A75" s="1632" t="s">
        <v>49</v>
      </c>
      <c r="B75" s="1633" t="s">
        <v>596</v>
      </c>
      <c r="C75" s="573">
        <v>2725</v>
      </c>
      <c r="D75" s="573">
        <v>34</v>
      </c>
      <c r="E75" s="573">
        <v>9758</v>
      </c>
      <c r="F75" s="573">
        <v>5246</v>
      </c>
      <c r="G75" s="573"/>
      <c r="H75" s="573"/>
      <c r="I75" s="531"/>
      <c r="J75" s="531"/>
      <c r="K75" s="1692">
        <f>SUM(C75:J75)</f>
        <v>17763</v>
      </c>
      <c r="L75" s="576">
        <v>16700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60456</v>
      </c>
      <c r="F78" s="617"/>
      <c r="G78" s="617"/>
      <c r="H78" s="635">
        <v>36147</v>
      </c>
      <c r="I78" s="477"/>
      <c r="J78" s="477"/>
      <c r="K78" s="1693">
        <f t="shared" ref="K78:K83" si="11">SUM(C78:J78)</f>
        <v>96603</v>
      </c>
      <c r="L78" s="481">
        <v>175000</v>
      </c>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v>2500</v>
      </c>
      <c r="I81" s="477"/>
      <c r="J81" s="477"/>
      <c r="K81" s="1693">
        <f t="shared" si="11"/>
        <v>2500</v>
      </c>
      <c r="L81" s="466">
        <v>3000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v>56964</v>
      </c>
      <c r="F83" s="617"/>
      <c r="G83" s="617"/>
      <c r="H83" s="466"/>
      <c r="I83" s="477"/>
      <c r="J83" s="477"/>
      <c r="K83" s="1693">
        <f t="shared" si="11"/>
        <v>56964</v>
      </c>
      <c r="L83" s="466">
        <v>30000</v>
      </c>
    </row>
    <row r="84" spans="1:12" ht="13.5" thickBot="1" x14ac:dyDescent="0.25">
      <c r="A84" s="1690" t="s">
        <v>1565</v>
      </c>
      <c r="B84" s="1700">
        <v>4100</v>
      </c>
      <c r="C84" s="617"/>
      <c r="D84" s="617"/>
      <c r="E84" s="1692">
        <f>SUM(E78:E83)</f>
        <v>117420</v>
      </c>
      <c r="F84" s="617"/>
      <c r="G84" s="617"/>
      <c r="H84" s="1692">
        <f>SUM(H78:H83)</f>
        <v>38647</v>
      </c>
      <c r="I84" s="477"/>
      <c r="J84" s="477"/>
      <c r="K84" s="1692">
        <f>SUM(K78:K83)</f>
        <v>156067</v>
      </c>
      <c r="L84" s="1692">
        <f>SUM(L78:L83)</f>
        <v>208000</v>
      </c>
    </row>
    <row r="85" spans="1:12" ht="12.75" customHeight="1" thickTop="1" thickBot="1" x14ac:dyDescent="0.25">
      <c r="A85" s="1533" t="s">
        <v>273</v>
      </c>
      <c r="B85" s="636">
        <v>4210</v>
      </c>
      <c r="C85" s="617"/>
      <c r="D85" s="617"/>
      <c r="E85" s="637"/>
      <c r="F85" s="617"/>
      <c r="G85" s="617"/>
      <c r="H85" s="535">
        <v>7970</v>
      </c>
      <c r="I85" s="477"/>
      <c r="J85" s="477"/>
      <c r="K85" s="1699">
        <f>H85</f>
        <v>7970</v>
      </c>
      <c r="L85" s="530">
        <v>35000</v>
      </c>
    </row>
    <row r="86" spans="1:12" ht="12.75" customHeight="1" thickTop="1" thickBot="1" x14ac:dyDescent="0.25">
      <c r="A86" s="1534" t="s">
        <v>723</v>
      </c>
      <c r="B86" s="638">
        <v>4220</v>
      </c>
      <c r="C86" s="617"/>
      <c r="D86" s="617"/>
      <c r="E86" s="639"/>
      <c r="F86" s="617"/>
      <c r="G86" s="617"/>
      <c r="H86" s="467">
        <v>725729</v>
      </c>
      <c r="I86" s="477"/>
      <c r="J86" s="477"/>
      <c r="K86" s="1699">
        <f t="shared" ref="K86:K98" si="12">H86</f>
        <v>725729</v>
      </c>
      <c r="L86" s="530">
        <v>600000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v>6080</v>
      </c>
      <c r="I88" s="477"/>
      <c r="J88" s="477"/>
      <c r="K88" s="1699">
        <f t="shared" si="12"/>
        <v>6080</v>
      </c>
      <c r="L88" s="530">
        <v>30000</v>
      </c>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739779</v>
      </c>
      <c r="I92" s="477"/>
      <c r="J92" s="477"/>
      <c r="K92" s="1699">
        <f t="shared" si="12"/>
        <v>739779</v>
      </c>
      <c r="L92" s="1692">
        <f>SUM(L85:L91)</f>
        <v>665000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117420</v>
      </c>
      <c r="F102" s="617"/>
      <c r="G102" s="617"/>
      <c r="H102" s="1699">
        <f>SUM(H84,H92,H100,H101)</f>
        <v>778426</v>
      </c>
      <c r="I102" s="477"/>
      <c r="J102" s="477"/>
      <c r="K102" s="1699">
        <f>SUM(K84,K92,K100,K101)</f>
        <v>895846</v>
      </c>
      <c r="L102" s="1699">
        <f>SUM(L84,L92,L100,L101)</f>
        <v>873000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12737491</v>
      </c>
      <c r="D114" s="1692">
        <f t="shared" ref="D114:K114" si="13">SUM(D33,D74,D75,D102,D112,D113)</f>
        <v>1978166</v>
      </c>
      <c r="E114" s="1692">
        <f t="shared" si="13"/>
        <v>1649214</v>
      </c>
      <c r="F114" s="1692">
        <f t="shared" si="13"/>
        <v>423503</v>
      </c>
      <c r="G114" s="1692">
        <f t="shared" si="13"/>
        <v>215217</v>
      </c>
      <c r="H114" s="1692">
        <f>SUM(H33,H74,H75,H102,H112,H113)</f>
        <v>851031</v>
      </c>
      <c r="I114" s="1692">
        <f t="shared" si="13"/>
        <v>0</v>
      </c>
      <c r="J114" s="1692">
        <f t="shared" si="13"/>
        <v>7000</v>
      </c>
      <c r="K114" s="1692">
        <f t="shared" si="13"/>
        <v>17861622</v>
      </c>
      <c r="L114" s="1692">
        <f>SUM(L33,L74,L75,L102,L112,L113)</f>
        <v>19132900</v>
      </c>
    </row>
    <row r="115" spans="1:14" ht="13.5" thickTop="1" x14ac:dyDescent="0.2">
      <c r="A115" s="2198" t="s">
        <v>1053</v>
      </c>
      <c r="B115" s="2199"/>
      <c r="C115" s="619"/>
      <c r="D115" s="619"/>
      <c r="E115" s="619"/>
      <c r="F115" s="619"/>
      <c r="G115" s="619"/>
      <c r="H115" s="619"/>
      <c r="I115" s="619"/>
      <c r="J115" s="619"/>
      <c r="K115" s="1706">
        <f>'Revenues 9-14'!C275-'Expenditures 15-22'!K114</f>
        <v>1087022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314</v>
      </c>
      <c r="B117" s="2177"/>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912890</v>
      </c>
      <c r="D124" s="466">
        <v>79552</v>
      </c>
      <c r="E124" s="466">
        <v>228530</v>
      </c>
      <c r="F124" s="466">
        <v>526750</v>
      </c>
      <c r="G124" s="466">
        <v>26502</v>
      </c>
      <c r="H124" s="466"/>
      <c r="I124" s="467"/>
      <c r="J124" s="467"/>
      <c r="K124" s="1692">
        <f>SUM(C124:J124)</f>
        <v>1774224</v>
      </c>
      <c r="L124" s="466">
        <v>1872100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912890</v>
      </c>
      <c r="D127" s="1692">
        <f t="shared" ref="D127:L127" si="14">SUM(D122:D126)</f>
        <v>79552</v>
      </c>
      <c r="E127" s="1692">
        <f t="shared" si="14"/>
        <v>228530</v>
      </c>
      <c r="F127" s="1692">
        <f t="shared" si="14"/>
        <v>526750</v>
      </c>
      <c r="G127" s="1692">
        <f t="shared" si="14"/>
        <v>26502</v>
      </c>
      <c r="H127" s="1692">
        <f t="shared" si="14"/>
        <v>0</v>
      </c>
      <c r="I127" s="1692">
        <f t="shared" si="14"/>
        <v>0</v>
      </c>
      <c r="J127" s="1692">
        <f t="shared" si="14"/>
        <v>0</v>
      </c>
      <c r="K127" s="1692">
        <f t="shared" si="14"/>
        <v>1774224</v>
      </c>
      <c r="L127" s="1692">
        <f t="shared" si="14"/>
        <v>1872100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912890</v>
      </c>
      <c r="D129" s="1699">
        <f t="shared" ref="D129:L129" si="15">SUM(D120,D127,D128)</f>
        <v>79552</v>
      </c>
      <c r="E129" s="1699">
        <f t="shared" si="15"/>
        <v>228530</v>
      </c>
      <c r="F129" s="1699">
        <f t="shared" si="15"/>
        <v>526750</v>
      </c>
      <c r="G129" s="1699">
        <f t="shared" si="15"/>
        <v>26502</v>
      </c>
      <c r="H129" s="1699">
        <f t="shared" si="15"/>
        <v>0</v>
      </c>
      <c r="I129" s="1699">
        <f t="shared" si="15"/>
        <v>0</v>
      </c>
      <c r="J129" s="1699">
        <f t="shared" si="15"/>
        <v>0</v>
      </c>
      <c r="K129" s="1699">
        <f t="shared" si="15"/>
        <v>1774224</v>
      </c>
      <c r="L129" s="1699">
        <f t="shared" si="15"/>
        <v>1872100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8" t="s">
        <v>641</v>
      </c>
      <c r="B151" s="2170"/>
      <c r="C151" s="1692">
        <f>SUM(C129,C130,C139,C149,C150)</f>
        <v>912890</v>
      </c>
      <c r="D151" s="1692">
        <f t="shared" ref="D151:K151" si="16">SUM(D129,D130,D139,D149,D150)</f>
        <v>79552</v>
      </c>
      <c r="E151" s="1692">
        <f t="shared" si="16"/>
        <v>228530</v>
      </c>
      <c r="F151" s="1692">
        <f t="shared" si="16"/>
        <v>526750</v>
      </c>
      <c r="G151" s="1692">
        <f t="shared" si="16"/>
        <v>26502</v>
      </c>
      <c r="H151" s="1692">
        <f t="shared" si="16"/>
        <v>0</v>
      </c>
      <c r="I151" s="1692">
        <f t="shared" si="16"/>
        <v>0</v>
      </c>
      <c r="J151" s="1692">
        <f t="shared" si="16"/>
        <v>0</v>
      </c>
      <c r="K151" s="1692">
        <f t="shared" si="16"/>
        <v>1774224</v>
      </c>
      <c r="L151" s="1692">
        <f>SUM(L129,L130,L139,L149,L150)</f>
        <v>1872100</v>
      </c>
    </row>
    <row r="152" spans="1:14" ht="12.75" customHeight="1" thickTop="1" x14ac:dyDescent="0.2">
      <c r="A152" s="2191" t="s">
        <v>1240</v>
      </c>
      <c r="B152" s="2192"/>
      <c r="C152" s="619"/>
      <c r="D152" s="619"/>
      <c r="E152" s="619"/>
      <c r="F152" s="619"/>
      <c r="G152" s="619"/>
      <c r="H152" s="619"/>
      <c r="I152" s="619"/>
      <c r="J152" s="617"/>
      <c r="K152" s="1706">
        <f>'Revenues 9-14'!D275-'Expenditures 15-22'!K151</f>
        <v>105250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642</v>
      </c>
      <c r="B154" s="217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1956</v>
      </c>
      <c r="C158" s="617"/>
      <c r="D158" s="617"/>
      <c r="E158" s="617"/>
      <c r="F158" s="617"/>
      <c r="G158" s="617"/>
      <c r="H158" s="467"/>
      <c r="I158" s="617"/>
      <c r="J158" s="617"/>
      <c r="K158" s="1693">
        <f>H158</f>
        <v>0</v>
      </c>
      <c r="L158" s="467"/>
      <c r="M158" s="620"/>
      <c r="N158" s="620"/>
    </row>
    <row r="159" spans="1:14" s="621" customFormat="1" ht="12" x14ac:dyDescent="0.2">
      <c r="A159" s="1849" t="s">
        <v>1957</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284207</v>
      </c>
      <c r="I169" s="617"/>
      <c r="J169" s="617"/>
      <c r="K169" s="1693">
        <f>SUM(C169:H169)</f>
        <v>284207</v>
      </c>
      <c r="L169" s="657">
        <v>1055000</v>
      </c>
    </row>
    <row r="170" spans="1:14" ht="33.75" customHeight="1" x14ac:dyDescent="0.2">
      <c r="A170" s="670" t="s">
        <v>1769</v>
      </c>
      <c r="B170" s="672" t="s">
        <v>31</v>
      </c>
      <c r="C170" s="617"/>
      <c r="D170" s="617"/>
      <c r="E170" s="617"/>
      <c r="F170" s="617"/>
      <c r="G170" s="617"/>
      <c r="H170" s="569">
        <v>822358</v>
      </c>
      <c r="I170" s="617"/>
      <c r="J170" s="617"/>
      <c r="K170" s="1693">
        <f>SUM(C170:J170)</f>
        <v>822358</v>
      </c>
      <c r="L170" s="569">
        <v>73000</v>
      </c>
    </row>
    <row r="171" spans="1:14" ht="15.75" customHeight="1" x14ac:dyDescent="0.2">
      <c r="A171" s="622" t="s">
        <v>790</v>
      </c>
      <c r="B171" s="673" t="s">
        <v>86</v>
      </c>
      <c r="C171" s="617"/>
      <c r="D171" s="617"/>
      <c r="E171" s="466">
        <v>1000</v>
      </c>
      <c r="F171" s="617"/>
      <c r="G171" s="617"/>
      <c r="H171" s="569"/>
      <c r="I171" s="477"/>
      <c r="J171" s="617"/>
      <c r="K171" s="1693">
        <f>SUM(C171:J171)</f>
        <v>1000</v>
      </c>
      <c r="L171" s="569"/>
    </row>
    <row r="172" spans="1:14" ht="12.75" customHeight="1" thickBot="1" x14ac:dyDescent="0.25">
      <c r="A172" s="1690" t="s">
        <v>659</v>
      </c>
      <c r="B172" s="1691" t="s">
        <v>513</v>
      </c>
      <c r="C172" s="617"/>
      <c r="D172" s="617"/>
      <c r="E172" s="1699">
        <f>SUM(E168,E169,E170,E171)</f>
        <v>1000</v>
      </c>
      <c r="F172" s="617"/>
      <c r="G172" s="617"/>
      <c r="H172" s="1699">
        <f>SUM(H168,H169,H170,H171)</f>
        <v>1106565</v>
      </c>
      <c r="I172" s="639"/>
      <c r="J172" s="617"/>
      <c r="K172" s="1699">
        <f>SUM(K168,K169,K170,K171)</f>
        <v>1107565</v>
      </c>
      <c r="L172" s="1699">
        <f>SUM(L168,L169,L170,L171)</f>
        <v>1128000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1000</v>
      </c>
      <c r="F174" s="617"/>
      <c r="G174" s="617"/>
      <c r="H174" s="1699">
        <f>SUM(H160,H172,H173)</f>
        <v>1106565</v>
      </c>
      <c r="I174" s="639"/>
      <c r="J174" s="617"/>
      <c r="K174" s="1699">
        <f>SUM(K160,K172,K173)</f>
        <v>1107565</v>
      </c>
      <c r="L174" s="1699">
        <f>SUM(L160,L172,L173)</f>
        <v>1128000</v>
      </c>
    </row>
    <row r="175" spans="1:14" ht="13.5" thickTop="1" x14ac:dyDescent="0.2">
      <c r="A175" s="2198" t="s">
        <v>1053</v>
      </c>
      <c r="B175" s="2199"/>
      <c r="C175" s="617"/>
      <c r="D175" s="617"/>
      <c r="E175" s="617"/>
      <c r="F175" s="617"/>
      <c r="G175" s="617"/>
      <c r="H175" s="619"/>
      <c r="I175" s="617"/>
      <c r="J175" s="617"/>
      <c r="K175" s="1706">
        <f>'Revenues 9-14'!E275-'Expenditures 15-22'!K174</f>
        <v>8190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738208</v>
      </c>
      <c r="D182" s="466">
        <v>50894</v>
      </c>
      <c r="E182" s="466">
        <v>75813</v>
      </c>
      <c r="F182" s="466">
        <v>127155</v>
      </c>
      <c r="G182" s="466">
        <v>84537</v>
      </c>
      <c r="H182" s="466"/>
      <c r="I182" s="467"/>
      <c r="J182" s="467"/>
      <c r="K182" s="1693">
        <f>SUM(C182:J182)</f>
        <v>1076607</v>
      </c>
      <c r="L182" s="466">
        <v>1116500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738208</v>
      </c>
      <c r="D184" s="1699">
        <f t="shared" ref="D184:J184" si="17">SUM(D180,D182,D183)</f>
        <v>50894</v>
      </c>
      <c r="E184" s="1699">
        <f t="shared" si="17"/>
        <v>75813</v>
      </c>
      <c r="F184" s="1699">
        <f t="shared" si="17"/>
        <v>127155</v>
      </c>
      <c r="G184" s="1699">
        <f t="shared" si="17"/>
        <v>84537</v>
      </c>
      <c r="H184" s="1699">
        <f t="shared" si="17"/>
        <v>0</v>
      </c>
      <c r="I184" s="1699">
        <f t="shared" si="17"/>
        <v>0</v>
      </c>
      <c r="J184" s="1699">
        <f t="shared" si="17"/>
        <v>0</v>
      </c>
      <c r="K184" s="1699">
        <f>SUM(K180,K182,K183)</f>
        <v>1076607</v>
      </c>
      <c r="L184" s="1699">
        <f>SUM(L180, L182:L183)</f>
        <v>1116500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738208</v>
      </c>
      <c r="D210" s="1692">
        <f>SUM(D184,D185)</f>
        <v>50894</v>
      </c>
      <c r="E210" s="1692">
        <f>SUM(E184,E185,E196)</f>
        <v>75813</v>
      </c>
      <c r="F210" s="1692">
        <f>SUM(F184,F185)</f>
        <v>127155</v>
      </c>
      <c r="G210" s="1692">
        <f>SUM(G184,G185)</f>
        <v>84537</v>
      </c>
      <c r="H210" s="1692">
        <f>SUM(H184,H185,H196,H208,H209)</f>
        <v>0</v>
      </c>
      <c r="I210" s="1692">
        <f>SUM(I184,I185)</f>
        <v>0</v>
      </c>
      <c r="J210" s="1692">
        <f>SUM(J184,J185)</f>
        <v>0</v>
      </c>
      <c r="K210" s="1693">
        <f>SUM(K184,K185,K196,K208,K209)</f>
        <v>1076607</v>
      </c>
      <c r="L210" s="1692">
        <f>SUM(L184,L185,L196,L208,L209)</f>
        <v>1116500</v>
      </c>
    </row>
    <row r="211" spans="1:14" ht="13.5" thickTop="1" x14ac:dyDescent="0.2">
      <c r="A211" s="2198" t="s">
        <v>1053</v>
      </c>
      <c r="B211" s="2199"/>
      <c r="C211" s="619"/>
      <c r="D211" s="619"/>
      <c r="E211" s="619"/>
      <c r="F211" s="619"/>
      <c r="G211" s="619"/>
      <c r="H211" s="619"/>
      <c r="I211" s="617"/>
      <c r="J211" s="617"/>
      <c r="K211" s="1706">
        <f>'Revenues 9-14'!F275-'Expenditures 15-22'!K210</f>
        <v>267780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1022</v>
      </c>
      <c r="B213" s="2194"/>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95186</v>
      </c>
      <c r="E215" s="617"/>
      <c r="F215" s="617"/>
      <c r="G215" s="617"/>
      <c r="H215" s="617"/>
      <c r="I215" s="617"/>
      <c r="J215" s="617"/>
      <c r="K215" s="1693">
        <f>D215</f>
        <v>95186</v>
      </c>
      <c r="L215" s="466">
        <v>106300</v>
      </c>
    </row>
    <row r="216" spans="1:14" x14ac:dyDescent="0.2">
      <c r="A216" s="1526" t="s">
        <v>165</v>
      </c>
      <c r="B216" s="615" t="s">
        <v>1024</v>
      </c>
      <c r="C216" s="617"/>
      <c r="D216" s="467">
        <v>9957</v>
      </c>
      <c r="E216" s="617"/>
      <c r="F216" s="617"/>
      <c r="G216" s="617"/>
      <c r="H216" s="617"/>
      <c r="I216" s="617"/>
      <c r="J216" s="617"/>
      <c r="K216" s="1693">
        <f t="shared" ref="K216:K228" si="19">D216</f>
        <v>9957</v>
      </c>
      <c r="L216" s="466">
        <v>10800</v>
      </c>
    </row>
    <row r="217" spans="1:14" x14ac:dyDescent="0.2">
      <c r="A217" s="1526" t="s">
        <v>166</v>
      </c>
      <c r="B217" s="615">
        <v>1200</v>
      </c>
      <c r="C217" s="617"/>
      <c r="D217" s="466">
        <v>225722</v>
      </c>
      <c r="E217" s="617"/>
      <c r="F217" s="617"/>
      <c r="G217" s="617"/>
      <c r="H217" s="617"/>
      <c r="I217" s="617"/>
      <c r="J217" s="617"/>
      <c r="K217" s="1693">
        <f t="shared" si="19"/>
        <v>225722</v>
      </c>
      <c r="L217" s="466">
        <v>224700</v>
      </c>
    </row>
    <row r="218" spans="1:14" x14ac:dyDescent="0.2">
      <c r="A218" s="1526" t="s">
        <v>296</v>
      </c>
      <c r="B218" s="615" t="s">
        <v>1025</v>
      </c>
      <c r="C218" s="617"/>
      <c r="D218" s="467">
        <v>36708</v>
      </c>
      <c r="E218" s="617"/>
      <c r="F218" s="617"/>
      <c r="G218" s="617"/>
      <c r="H218" s="617"/>
      <c r="I218" s="617"/>
      <c r="J218" s="617"/>
      <c r="K218" s="1693">
        <f t="shared" si="19"/>
        <v>36708</v>
      </c>
      <c r="L218" s="466">
        <v>40900</v>
      </c>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5213</v>
      </c>
      <c r="E222" s="617"/>
      <c r="F222" s="617"/>
      <c r="G222" s="617"/>
      <c r="H222" s="617"/>
      <c r="I222" s="617"/>
      <c r="J222" s="617"/>
      <c r="K222" s="1693">
        <f t="shared" si="19"/>
        <v>5213</v>
      </c>
      <c r="L222" s="466">
        <v>7200</v>
      </c>
    </row>
    <row r="223" spans="1:14" x14ac:dyDescent="0.2">
      <c r="A223" s="1526" t="s">
        <v>1020</v>
      </c>
      <c r="B223" s="615">
        <v>1500</v>
      </c>
      <c r="C223" s="617"/>
      <c r="D223" s="466">
        <v>13280</v>
      </c>
      <c r="E223" s="617"/>
      <c r="F223" s="617"/>
      <c r="G223" s="617"/>
      <c r="H223" s="617"/>
      <c r="I223" s="617"/>
      <c r="J223" s="617"/>
      <c r="K223" s="1693">
        <f t="shared" si="19"/>
        <v>13280</v>
      </c>
      <c r="L223" s="466">
        <v>15300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756</v>
      </c>
      <c r="E226" s="617"/>
      <c r="F226" s="617"/>
      <c r="G226" s="617"/>
      <c r="H226" s="617"/>
      <c r="I226" s="617"/>
      <c r="J226" s="617"/>
      <c r="K226" s="1693">
        <f t="shared" si="19"/>
        <v>756</v>
      </c>
      <c r="L226" s="466">
        <v>900</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386822</v>
      </c>
      <c r="E229" s="617"/>
      <c r="F229" s="617"/>
      <c r="G229" s="617"/>
      <c r="H229" s="617"/>
      <c r="I229" s="617"/>
      <c r="J229" s="617"/>
      <c r="K229" s="1692">
        <f>SUM(K215:K228)</f>
        <v>386822</v>
      </c>
      <c r="L229" s="1692">
        <f>SUM(L215:L228)</f>
        <v>406100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1321</v>
      </c>
      <c r="E232" s="617"/>
      <c r="F232" s="617"/>
      <c r="G232" s="617"/>
      <c r="H232" s="617"/>
      <c r="I232" s="617"/>
      <c r="J232" s="617"/>
      <c r="K232" s="1693">
        <f t="shared" ref="K232:K237" si="20">D232</f>
        <v>1321</v>
      </c>
      <c r="L232" s="466">
        <v>1500</v>
      </c>
    </row>
    <row r="233" spans="1:12" x14ac:dyDescent="0.2">
      <c r="A233" s="1526" t="s">
        <v>1151</v>
      </c>
      <c r="B233" s="615">
        <v>2120</v>
      </c>
      <c r="C233" s="617"/>
      <c r="D233" s="466">
        <v>16288</v>
      </c>
      <c r="E233" s="617"/>
      <c r="F233" s="617"/>
      <c r="G233" s="617"/>
      <c r="H233" s="617"/>
      <c r="I233" s="617"/>
      <c r="J233" s="617"/>
      <c r="K233" s="1693">
        <f t="shared" si="20"/>
        <v>16288</v>
      </c>
      <c r="L233" s="466">
        <v>17700</v>
      </c>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v>8494</v>
      </c>
      <c r="E235" s="617"/>
      <c r="F235" s="617"/>
      <c r="G235" s="617"/>
      <c r="H235" s="617"/>
      <c r="I235" s="617"/>
      <c r="J235" s="617"/>
      <c r="K235" s="1693">
        <f t="shared" si="20"/>
        <v>8494</v>
      </c>
      <c r="L235" s="466">
        <v>9000</v>
      </c>
    </row>
    <row r="236" spans="1:12" x14ac:dyDescent="0.2">
      <c r="A236" s="1526" t="s">
        <v>209</v>
      </c>
      <c r="B236" s="615">
        <v>2150</v>
      </c>
      <c r="C236" s="617"/>
      <c r="D236" s="466">
        <v>3188</v>
      </c>
      <c r="E236" s="617"/>
      <c r="F236" s="617"/>
      <c r="G236" s="617"/>
      <c r="H236" s="617"/>
      <c r="I236" s="617"/>
      <c r="J236" s="617"/>
      <c r="K236" s="1693">
        <f t="shared" si="20"/>
        <v>3188</v>
      </c>
      <c r="L236" s="466">
        <v>3300</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29291</v>
      </c>
      <c r="E238" s="617"/>
      <c r="F238" s="617"/>
      <c r="G238" s="617"/>
      <c r="H238" s="617"/>
      <c r="I238" s="617"/>
      <c r="J238" s="617"/>
      <c r="K238" s="1692">
        <f>SUM(K232:K237)</f>
        <v>29291</v>
      </c>
      <c r="L238" s="1692">
        <f>SUM(L232:L237)</f>
        <v>31500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2960</v>
      </c>
      <c r="E240" s="617"/>
      <c r="F240" s="617"/>
      <c r="G240" s="617"/>
      <c r="H240" s="617"/>
      <c r="I240" s="617"/>
      <c r="J240" s="617"/>
      <c r="K240" s="1694">
        <f>D240</f>
        <v>2960</v>
      </c>
      <c r="L240" s="481">
        <v>4200</v>
      </c>
    </row>
    <row r="241" spans="1:12" x14ac:dyDescent="0.2">
      <c r="A241" s="1526" t="s">
        <v>869</v>
      </c>
      <c r="B241" s="615">
        <v>2220</v>
      </c>
      <c r="C241" s="617"/>
      <c r="D241" s="466">
        <v>62236</v>
      </c>
      <c r="E241" s="617"/>
      <c r="F241" s="617"/>
      <c r="G241" s="617"/>
      <c r="H241" s="617"/>
      <c r="I241" s="617"/>
      <c r="J241" s="617"/>
      <c r="K241" s="1694">
        <f>D241</f>
        <v>62236</v>
      </c>
      <c r="L241" s="466">
        <v>64900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65196</v>
      </c>
      <c r="E243" s="617"/>
      <c r="F243" s="617"/>
      <c r="G243" s="617"/>
      <c r="H243" s="617"/>
      <c r="I243" s="617"/>
      <c r="J243" s="617"/>
      <c r="K243" s="1692">
        <f>SUM(K240:K242)</f>
        <v>65196</v>
      </c>
      <c r="L243" s="1692">
        <f>SUM(L240:L242)</f>
        <v>69100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976</v>
      </c>
      <c r="E245" s="617"/>
      <c r="F245" s="617"/>
      <c r="G245" s="617"/>
      <c r="H245" s="617"/>
      <c r="I245" s="617"/>
      <c r="J245" s="617"/>
      <c r="K245" s="1694">
        <f>D245</f>
        <v>976</v>
      </c>
      <c r="L245" s="481">
        <v>300</v>
      </c>
    </row>
    <row r="246" spans="1:12" x14ac:dyDescent="0.2">
      <c r="A246" s="1526" t="s">
        <v>872</v>
      </c>
      <c r="B246" s="615">
        <v>2320</v>
      </c>
      <c r="C246" s="617"/>
      <c r="D246" s="466">
        <v>8901</v>
      </c>
      <c r="E246" s="617"/>
      <c r="F246" s="617"/>
      <c r="G246" s="617"/>
      <c r="H246" s="617"/>
      <c r="I246" s="617"/>
      <c r="J246" s="617"/>
      <c r="K246" s="1694">
        <f t="shared" ref="K246:K256" si="21">D246</f>
        <v>8901</v>
      </c>
      <c r="L246" s="466">
        <v>10200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1906</v>
      </c>
      <c r="B249" s="684" t="s">
        <v>300</v>
      </c>
      <c r="C249" s="617"/>
      <c r="D249" s="474"/>
      <c r="E249" s="617"/>
      <c r="F249" s="617"/>
      <c r="G249" s="617"/>
      <c r="H249" s="617"/>
      <c r="I249" s="617"/>
      <c r="J249" s="617"/>
      <c r="K249" s="1694">
        <f t="shared" si="21"/>
        <v>0</v>
      </c>
      <c r="L249" s="466"/>
    </row>
    <row r="250" spans="1:12" x14ac:dyDescent="0.2">
      <c r="A250" s="1527" t="s">
        <v>1907</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v>2604</v>
      </c>
      <c r="E252" s="617"/>
      <c r="F252" s="617"/>
      <c r="G252" s="617"/>
      <c r="H252" s="617"/>
      <c r="I252" s="617"/>
      <c r="J252" s="617"/>
      <c r="K252" s="1694">
        <f t="shared" si="21"/>
        <v>2604</v>
      </c>
      <c r="L252" s="466">
        <v>4000</v>
      </c>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9171</v>
      </c>
      <c r="E254" s="617"/>
      <c r="F254" s="617"/>
      <c r="G254" s="617"/>
      <c r="H254" s="617"/>
      <c r="I254" s="617"/>
      <c r="J254" s="617"/>
      <c r="K254" s="1694">
        <f t="shared" si="21"/>
        <v>9171</v>
      </c>
      <c r="L254" s="466">
        <v>12200</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21652</v>
      </c>
      <c r="E257" s="617"/>
      <c r="F257" s="617"/>
      <c r="G257" s="617"/>
      <c r="H257" s="617"/>
      <c r="I257" s="617"/>
      <c r="J257" s="617"/>
      <c r="K257" s="1692">
        <f>SUM(K245:K256)</f>
        <v>21652</v>
      </c>
      <c r="L257" s="1692">
        <f>SUM(L245:L256)</f>
        <v>26700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52639</v>
      </c>
      <c r="E259" s="617"/>
      <c r="F259" s="617"/>
      <c r="G259" s="617"/>
      <c r="H259" s="617"/>
      <c r="I259" s="617"/>
      <c r="J259" s="617"/>
      <c r="K259" s="1694">
        <f>D259</f>
        <v>52639</v>
      </c>
      <c r="L259" s="481">
        <v>66200</v>
      </c>
    </row>
    <row r="260" spans="1:14" s="598" customFormat="1" x14ac:dyDescent="0.2">
      <c r="A260" s="1544" t="s">
        <v>1905</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52639</v>
      </c>
      <c r="E261" s="617"/>
      <c r="F261" s="617"/>
      <c r="G261" s="617"/>
      <c r="H261" s="617"/>
      <c r="I261" s="617"/>
      <c r="J261" s="617"/>
      <c r="K261" s="1692">
        <f>SUM(K259:K260)</f>
        <v>52639</v>
      </c>
      <c r="L261" s="1692">
        <f>SUM(L259:L260)</f>
        <v>66200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8296</v>
      </c>
      <c r="E263" s="617"/>
      <c r="F263" s="617"/>
      <c r="G263" s="617"/>
      <c r="H263" s="617"/>
      <c r="I263" s="617"/>
      <c r="J263" s="617"/>
      <c r="K263" s="1694">
        <f>D263</f>
        <v>8296</v>
      </c>
      <c r="L263" s="481">
        <v>7000</v>
      </c>
    </row>
    <row r="264" spans="1:14" x14ac:dyDescent="0.2">
      <c r="A264" s="1526" t="s">
        <v>483</v>
      </c>
      <c r="B264" s="686">
        <v>2520</v>
      </c>
      <c r="C264" s="617"/>
      <c r="D264" s="466">
        <v>16071</v>
      </c>
      <c r="E264" s="617"/>
      <c r="F264" s="617"/>
      <c r="G264" s="617"/>
      <c r="H264" s="617"/>
      <c r="I264" s="617"/>
      <c r="J264" s="617"/>
      <c r="K264" s="1694">
        <f t="shared" ref="K264:K269" si="22">D264</f>
        <v>16071</v>
      </c>
      <c r="L264" s="466">
        <v>16800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162494</v>
      </c>
      <c r="E266" s="617"/>
      <c r="F266" s="617"/>
      <c r="G266" s="617"/>
      <c r="H266" s="617"/>
      <c r="I266" s="617"/>
      <c r="J266" s="617"/>
      <c r="K266" s="1694">
        <f t="shared" si="22"/>
        <v>162494</v>
      </c>
      <c r="L266" s="466">
        <v>172700</v>
      </c>
    </row>
    <row r="267" spans="1:14" x14ac:dyDescent="0.2">
      <c r="A267" s="1526" t="s">
        <v>1010</v>
      </c>
      <c r="B267" s="615">
        <v>2550</v>
      </c>
      <c r="C267" s="617"/>
      <c r="D267" s="466">
        <v>128091</v>
      </c>
      <c r="E267" s="617"/>
      <c r="F267" s="617"/>
      <c r="G267" s="617"/>
      <c r="H267" s="617"/>
      <c r="I267" s="617"/>
      <c r="J267" s="617"/>
      <c r="K267" s="1694">
        <f t="shared" si="22"/>
        <v>128091</v>
      </c>
      <c r="L267" s="466">
        <v>140000</v>
      </c>
    </row>
    <row r="268" spans="1:14" x14ac:dyDescent="0.2">
      <c r="A268" s="1526" t="s">
        <v>102</v>
      </c>
      <c r="B268" s="615">
        <v>2560</v>
      </c>
      <c r="C268" s="617"/>
      <c r="D268" s="466">
        <v>11833</v>
      </c>
      <c r="E268" s="617"/>
      <c r="F268" s="617"/>
      <c r="G268" s="617"/>
      <c r="H268" s="617"/>
      <c r="I268" s="617"/>
      <c r="J268" s="617"/>
      <c r="K268" s="1694">
        <f t="shared" si="22"/>
        <v>11833</v>
      </c>
      <c r="L268" s="466">
        <v>13200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326785</v>
      </c>
      <c r="E270" s="617"/>
      <c r="F270" s="617"/>
      <c r="G270" s="617"/>
      <c r="H270" s="617"/>
      <c r="I270" s="617"/>
      <c r="J270" s="617"/>
      <c r="K270" s="1692">
        <f>SUM(K263:K269)</f>
        <v>326785</v>
      </c>
      <c r="L270" s="1692">
        <f>SUM(L263:L269)</f>
        <v>349700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v>505</v>
      </c>
      <c r="E275" s="617"/>
      <c r="F275" s="617"/>
      <c r="G275" s="617"/>
      <c r="H275" s="617"/>
      <c r="I275" s="617"/>
      <c r="J275" s="617"/>
      <c r="K275" s="1694">
        <f>D275</f>
        <v>505</v>
      </c>
      <c r="L275" s="466">
        <v>100</v>
      </c>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505</v>
      </c>
      <c r="E277" s="617"/>
      <c r="F277" s="617"/>
      <c r="G277" s="617"/>
      <c r="H277" s="617"/>
      <c r="I277" s="617"/>
      <c r="J277" s="617"/>
      <c r="K277" s="1692">
        <f>SUM(K272:K276)</f>
        <v>505</v>
      </c>
      <c r="L277" s="1692">
        <f>SUM(L272:L276)</f>
        <v>100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496068</v>
      </c>
      <c r="E279" s="617"/>
      <c r="F279" s="617"/>
      <c r="G279" s="617"/>
      <c r="H279" s="617"/>
      <c r="I279" s="617"/>
      <c r="J279" s="617"/>
      <c r="K279" s="1699">
        <f>SUM(K238,K243,K257,K261,K270,K277,K278)</f>
        <v>496068</v>
      </c>
      <c r="L279" s="1699">
        <f>SUM(L238,L243,L257,L261,L270,L277,L278)</f>
        <v>543300</v>
      </c>
    </row>
    <row r="280" spans="1:12" ht="15.75" customHeight="1" thickTop="1" thickBot="1" x14ac:dyDescent="0.25">
      <c r="A280" s="1646" t="s">
        <v>930</v>
      </c>
      <c r="B280" s="1635">
        <v>3000</v>
      </c>
      <c r="C280" s="617"/>
      <c r="D280" s="576">
        <v>198</v>
      </c>
      <c r="E280" s="617"/>
      <c r="F280" s="617"/>
      <c r="G280" s="617"/>
      <c r="H280" s="617"/>
      <c r="I280" s="617"/>
      <c r="J280" s="617"/>
      <c r="K280" s="1701">
        <f>D280</f>
        <v>198</v>
      </c>
      <c r="L280" s="576">
        <v>300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9" t="s">
        <v>526</v>
      </c>
      <c r="B295" s="2190"/>
      <c r="C295" s="617"/>
      <c r="D295" s="1692">
        <f>SUM(D229,D279,D280,D285)</f>
        <v>883088</v>
      </c>
      <c r="E295" s="617"/>
      <c r="F295" s="617"/>
      <c r="G295" s="617"/>
      <c r="H295" s="1692">
        <f>H293</f>
        <v>0</v>
      </c>
      <c r="I295" s="617"/>
      <c r="J295" s="617"/>
      <c r="K295" s="1692">
        <f>SUM(K229,K279,K280,K285,K293,K294)</f>
        <v>883088</v>
      </c>
      <c r="L295" s="1692">
        <f>SUM(L229,L279,L280,L285,L293,L294)</f>
        <v>949700</v>
      </c>
    </row>
    <row r="296" spans="1:14" ht="13.5" thickTop="1" x14ac:dyDescent="0.2">
      <c r="A296" s="2198" t="s">
        <v>1053</v>
      </c>
      <c r="B296" s="2199"/>
      <c r="C296" s="617"/>
      <c r="D296" s="619"/>
      <c r="E296" s="617"/>
      <c r="F296" s="617"/>
      <c r="G296" s="617"/>
      <c r="H296" s="688"/>
      <c r="I296" s="617"/>
      <c r="J296" s="617"/>
      <c r="K296" s="1706">
        <f>'Revenues 9-14'!G275-'Expenditures 15-22'!K295</f>
        <v>25393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802600</v>
      </c>
      <c r="F301" s="466">
        <v>19187</v>
      </c>
      <c r="G301" s="466">
        <v>121804</v>
      </c>
      <c r="H301" s="466"/>
      <c r="I301" s="467"/>
      <c r="J301" s="467"/>
      <c r="K301" s="1693">
        <f>SUM(C301:J301)</f>
        <v>943591</v>
      </c>
      <c r="L301" s="467">
        <v>1177000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802600</v>
      </c>
      <c r="F303" s="1699">
        <f t="shared" si="23"/>
        <v>19187</v>
      </c>
      <c r="G303" s="1699">
        <f t="shared" si="23"/>
        <v>121804</v>
      </c>
      <c r="H303" s="1699">
        <f t="shared" si="23"/>
        <v>0</v>
      </c>
      <c r="I303" s="1699">
        <f t="shared" si="23"/>
        <v>0</v>
      </c>
      <c r="J303" s="1699">
        <f t="shared" si="23"/>
        <v>0</v>
      </c>
      <c r="K303" s="1699">
        <f t="shared" si="23"/>
        <v>943591</v>
      </c>
      <c r="L303" s="1699">
        <f t="shared" si="23"/>
        <v>1177000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6" t="s">
        <v>295</v>
      </c>
      <c r="B312" s="2187"/>
      <c r="C312" s="1692">
        <f>SUM(C303)</f>
        <v>0</v>
      </c>
      <c r="D312" s="1692">
        <f>SUM(D303)</f>
        <v>0</v>
      </c>
      <c r="E312" s="1692">
        <f>SUM(E303,E310)</f>
        <v>802600</v>
      </c>
      <c r="F312" s="1692">
        <f>SUM(F303)</f>
        <v>19187</v>
      </c>
      <c r="G312" s="1692">
        <f>SUM(G303)</f>
        <v>121804</v>
      </c>
      <c r="H312" s="1692">
        <f>SUM(H303,H310)</f>
        <v>0</v>
      </c>
      <c r="I312" s="1692">
        <f>SUM(I303)</f>
        <v>0</v>
      </c>
      <c r="J312" s="1692">
        <f>SUM(J303)</f>
        <v>0</v>
      </c>
      <c r="K312" s="1692">
        <f>SUM(K303,K310,K311)</f>
        <v>943591</v>
      </c>
      <c r="L312" s="1692">
        <f>SUM(L303,L310,L311)</f>
        <v>1177000</v>
      </c>
      <c r="M312" s="666"/>
      <c r="N312" s="666"/>
    </row>
    <row r="313" spans="1:14" ht="13.5" thickTop="1" x14ac:dyDescent="0.2">
      <c r="A313" s="2182" t="s">
        <v>1053</v>
      </c>
      <c r="B313" s="2183"/>
      <c r="C313" s="627"/>
      <c r="D313" s="627"/>
      <c r="E313" s="627"/>
      <c r="F313" s="627"/>
      <c r="G313" s="627"/>
      <c r="H313" s="627"/>
      <c r="I313" s="627"/>
      <c r="J313" s="627"/>
      <c r="K313" s="1707">
        <f>'Revenues 9-14'!H275-'Expenditures 15-22'!K312</f>
        <v>91308</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954</v>
      </c>
      <c r="B317" s="2196"/>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1906</v>
      </c>
      <c r="B320" s="699" t="s">
        <v>300</v>
      </c>
      <c r="C320" s="467"/>
      <c r="D320" s="467"/>
      <c r="E320" s="467">
        <v>276312</v>
      </c>
      <c r="F320" s="467"/>
      <c r="G320" s="467"/>
      <c r="H320" s="467"/>
      <c r="I320" s="467"/>
      <c r="J320" s="467"/>
      <c r="K320" s="1693">
        <f t="shared" ref="K320:K327" si="24">SUM(C320:J320)</f>
        <v>276312</v>
      </c>
      <c r="L320" s="467">
        <v>375000</v>
      </c>
      <c r="M320" s="666"/>
      <c r="N320" s="666"/>
    </row>
    <row r="321" spans="1:14" s="675" customFormat="1" x14ac:dyDescent="0.2">
      <c r="A321" s="1541" t="s">
        <v>318</v>
      </c>
      <c r="B321" s="698" t="s">
        <v>301</v>
      </c>
      <c r="C321" s="467"/>
      <c r="D321" s="467"/>
      <c r="E321" s="467">
        <v>8222</v>
      </c>
      <c r="F321" s="467"/>
      <c r="G321" s="467"/>
      <c r="H321" s="467"/>
      <c r="I321" s="467"/>
      <c r="J321" s="467"/>
      <c r="K321" s="1693">
        <f t="shared" si="24"/>
        <v>8222</v>
      </c>
      <c r="L321" s="467">
        <v>80000</v>
      </c>
      <c r="M321" s="666"/>
      <c r="N321" s="666"/>
    </row>
    <row r="322" spans="1:14" s="675" customFormat="1" x14ac:dyDescent="0.2">
      <c r="A322" s="1541" t="s">
        <v>256</v>
      </c>
      <c r="B322" s="698" t="s">
        <v>302</v>
      </c>
      <c r="C322" s="467"/>
      <c r="D322" s="467"/>
      <c r="E322" s="467">
        <v>162770</v>
      </c>
      <c r="F322" s="467"/>
      <c r="G322" s="467"/>
      <c r="H322" s="467"/>
      <c r="I322" s="467"/>
      <c r="J322" s="467"/>
      <c r="K322" s="1693">
        <f t="shared" si="24"/>
        <v>162770</v>
      </c>
      <c r="L322" s="467">
        <v>200000</v>
      </c>
      <c r="M322" s="666"/>
      <c r="N322" s="666"/>
    </row>
    <row r="323" spans="1:14" s="675" customFormat="1" x14ac:dyDescent="0.2">
      <c r="A323" s="1541" t="s">
        <v>726</v>
      </c>
      <c r="B323" s="698" t="s">
        <v>303</v>
      </c>
      <c r="C323" s="467">
        <v>58543</v>
      </c>
      <c r="D323" s="467">
        <v>10293</v>
      </c>
      <c r="E323" s="467"/>
      <c r="F323" s="467"/>
      <c r="G323" s="467"/>
      <c r="H323" s="467"/>
      <c r="I323" s="467"/>
      <c r="J323" s="467"/>
      <c r="K323" s="1693">
        <f t="shared" si="24"/>
        <v>68836</v>
      </c>
      <c r="L323" s="467">
        <v>117400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162836</v>
      </c>
      <c r="D325" s="467">
        <v>27141</v>
      </c>
      <c r="E325" s="467">
        <v>199232</v>
      </c>
      <c r="F325" s="467">
        <v>18254</v>
      </c>
      <c r="G325" s="467"/>
      <c r="H325" s="467"/>
      <c r="I325" s="467"/>
      <c r="J325" s="467"/>
      <c r="K325" s="1693">
        <f t="shared" si="24"/>
        <v>407463</v>
      </c>
      <c r="L325" s="467">
        <v>556100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104686</v>
      </c>
      <c r="F327" s="467"/>
      <c r="G327" s="467"/>
      <c r="H327" s="467"/>
      <c r="I327" s="467"/>
      <c r="J327" s="467"/>
      <c r="K327" s="1693">
        <f t="shared" si="24"/>
        <v>104686</v>
      </c>
      <c r="L327" s="467">
        <v>150000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221379</v>
      </c>
      <c r="D330" s="1692">
        <f t="shared" ref="D330:J330" si="25">SUM(D319:D329)</f>
        <v>37434</v>
      </c>
      <c r="E330" s="1692">
        <f t="shared" si="25"/>
        <v>751222</v>
      </c>
      <c r="F330" s="1692">
        <f t="shared" si="25"/>
        <v>18254</v>
      </c>
      <c r="G330" s="1692">
        <f t="shared" si="25"/>
        <v>0</v>
      </c>
      <c r="H330" s="1692">
        <f t="shared" si="25"/>
        <v>0</v>
      </c>
      <c r="I330" s="1692">
        <f t="shared" si="25"/>
        <v>0</v>
      </c>
      <c r="J330" s="1692">
        <f t="shared" si="25"/>
        <v>0</v>
      </c>
      <c r="K330" s="1692">
        <f>SUM(K319:K329)</f>
        <v>1028289</v>
      </c>
      <c r="L330" s="1692">
        <f>SUM(L319:L329)</f>
        <v>1478500</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1956</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221379</v>
      </c>
      <c r="D342" s="1692">
        <f>SUM(D330)</f>
        <v>37434</v>
      </c>
      <c r="E342" s="1692">
        <f>SUM(E330)</f>
        <v>751222</v>
      </c>
      <c r="F342" s="1692">
        <f>SUM(F330)</f>
        <v>18254</v>
      </c>
      <c r="G342" s="1692">
        <f>SUM(G330)</f>
        <v>0</v>
      </c>
      <c r="H342" s="1692">
        <f>SUM(H330,H334,H340)</f>
        <v>0</v>
      </c>
      <c r="I342" s="1692">
        <f>SUM(I330)</f>
        <v>0</v>
      </c>
      <c r="J342" s="1692">
        <f>SUM(J330)</f>
        <v>0</v>
      </c>
      <c r="K342" s="1692">
        <f>SUM(K330,K334,K340)</f>
        <v>1028289</v>
      </c>
      <c r="L342" s="1699">
        <f>SUM(L330,L340,L341)</f>
        <v>1478500</v>
      </c>
    </row>
    <row r="343" spans="1:14" ht="12.75" customHeight="1" thickTop="1" x14ac:dyDescent="0.2">
      <c r="A343" s="2184" t="s">
        <v>1053</v>
      </c>
      <c r="B343" s="2185"/>
      <c r="C343" s="617"/>
      <c r="D343" s="617"/>
      <c r="E343" s="617"/>
      <c r="F343" s="617"/>
      <c r="G343" s="617"/>
      <c r="H343" s="617"/>
      <c r="I343" s="617"/>
      <c r="J343" s="617"/>
      <c r="K343" s="1706">
        <f>'Revenues 9-14'!J275-'Expenditures 15-22'!K342</f>
        <v>19702</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1023</v>
      </c>
      <c r="B345" s="2175"/>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v>46116</v>
      </c>
      <c r="D349" s="466">
        <v>4033</v>
      </c>
      <c r="E349" s="466">
        <v>1558459</v>
      </c>
      <c r="F349" s="466">
        <v>15553</v>
      </c>
      <c r="G349" s="466">
        <v>1634</v>
      </c>
      <c r="H349" s="466"/>
      <c r="I349" s="467"/>
      <c r="J349" s="467"/>
      <c r="K349" s="1693">
        <f>SUM(C349:J349)</f>
        <v>1625795</v>
      </c>
      <c r="L349" s="466">
        <v>2710000</v>
      </c>
    </row>
    <row r="350" spans="1:14" ht="12.75" customHeight="1" thickBot="1" x14ac:dyDescent="0.25">
      <c r="A350" s="1690" t="s">
        <v>743</v>
      </c>
      <c r="B350" s="1691" t="s">
        <v>35</v>
      </c>
      <c r="C350" s="1692">
        <f>SUM(C348:C349)</f>
        <v>46116</v>
      </c>
      <c r="D350" s="1692">
        <f t="shared" ref="D350:L350" si="26">SUM(D348:D349)</f>
        <v>4033</v>
      </c>
      <c r="E350" s="1692">
        <f t="shared" si="26"/>
        <v>1558459</v>
      </c>
      <c r="F350" s="1692">
        <f t="shared" si="26"/>
        <v>15553</v>
      </c>
      <c r="G350" s="1692">
        <f t="shared" si="26"/>
        <v>1634</v>
      </c>
      <c r="H350" s="1692">
        <f t="shared" si="26"/>
        <v>0</v>
      </c>
      <c r="I350" s="1692">
        <f t="shared" si="26"/>
        <v>0</v>
      </c>
      <c r="J350" s="1692">
        <f t="shared" si="26"/>
        <v>0</v>
      </c>
      <c r="K350" s="1692">
        <f t="shared" si="26"/>
        <v>1625795</v>
      </c>
      <c r="L350" s="1692">
        <f t="shared" si="26"/>
        <v>2710000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46116</v>
      </c>
      <c r="D352" s="1692">
        <f t="shared" ref="D352:L352" si="27">SUM(D350:D351)</f>
        <v>4033</v>
      </c>
      <c r="E352" s="1692">
        <f t="shared" si="27"/>
        <v>1558459</v>
      </c>
      <c r="F352" s="1692">
        <f t="shared" si="27"/>
        <v>15553</v>
      </c>
      <c r="G352" s="1692">
        <f t="shared" si="27"/>
        <v>1634</v>
      </c>
      <c r="H352" s="1692">
        <f t="shared" si="27"/>
        <v>0</v>
      </c>
      <c r="I352" s="1692">
        <f t="shared" si="27"/>
        <v>0</v>
      </c>
      <c r="J352" s="1692">
        <f t="shared" si="27"/>
        <v>0</v>
      </c>
      <c r="K352" s="1692">
        <f t="shared" si="27"/>
        <v>1625795</v>
      </c>
      <c r="L352" s="1692">
        <f t="shared" si="27"/>
        <v>2710000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c r="I354" s="702"/>
      <c r="J354" s="617"/>
      <c r="K354" s="1721">
        <f>H354</f>
        <v>0</v>
      </c>
      <c r="L354" s="471"/>
    </row>
    <row r="355" spans="1:14" ht="12.75" customHeight="1" x14ac:dyDescent="0.2">
      <c r="A355" s="1535" t="s">
        <v>1963</v>
      </c>
      <c r="B355" s="691" t="s">
        <v>1956</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46116</v>
      </c>
      <c r="D367" s="1692">
        <f t="shared" si="28"/>
        <v>4033</v>
      </c>
      <c r="E367" s="1692">
        <f t="shared" si="28"/>
        <v>1558459</v>
      </c>
      <c r="F367" s="1692">
        <f t="shared" si="28"/>
        <v>15553</v>
      </c>
      <c r="G367" s="1692">
        <f t="shared" si="28"/>
        <v>1634</v>
      </c>
      <c r="H367" s="1692">
        <f t="shared" si="28"/>
        <v>0</v>
      </c>
      <c r="I367" s="1692">
        <f t="shared" si="28"/>
        <v>0</v>
      </c>
      <c r="J367" s="1692">
        <f t="shared" si="28"/>
        <v>0</v>
      </c>
      <c r="K367" s="1692">
        <f t="shared" si="28"/>
        <v>1625795</v>
      </c>
      <c r="L367" s="1692">
        <f t="shared" si="28"/>
        <v>2710000</v>
      </c>
    </row>
    <row r="368" spans="1:14" ht="13.5" thickTop="1" x14ac:dyDescent="0.2">
      <c r="A368" s="2198" t="s">
        <v>1053</v>
      </c>
      <c r="B368" s="2199"/>
      <c r="C368" s="655"/>
      <c r="D368" s="655"/>
      <c r="E368" s="627"/>
      <c r="F368" s="627"/>
      <c r="G368" s="627"/>
      <c r="H368" s="627"/>
      <c r="I368" s="627"/>
      <c r="J368" s="624"/>
      <c r="K368" s="1693">
        <f>'Revenues 9-14'!K275-'Expenditures 15-22'!K367</f>
        <v>-1495918</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schemas.microsoft.com/sharepoint/v3"/>
    <ds:schemaRef ds:uri="http://schemas.openxmlformats.org/package/2006/metadata/core-properties"/>
    <ds:schemaRef ds:uri="d21dc803-237d-4c68-8692-8d731fd29118"/>
    <ds:schemaRef ds:uri="http://schemas.microsoft.com/office/infopath/2007/PartnerControls"/>
    <ds:schemaRef ds:uri="6ce3111e-7420-4802-b50a-75d4e9a0b980"/>
    <ds:schemaRef ds:uri="http://www.w3.org/XML/1998/namespace"/>
    <ds:schemaRef ds:uri="http://schemas.microsoft.com/office/2006/documentManagement/types"/>
    <ds:schemaRef ds:uri="http://purl.org/dc/dcmitype/"/>
    <ds:schemaRef ds:uri="4d435f69-8686-490b-bd6d-b153bf22ab50"/>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 SEFA (4)</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2018-10-09T17:55:38Z</cp:lastPrinted>
  <dcterms:created xsi:type="dcterms:W3CDTF">2003-10-29T19:06:34Z</dcterms:created>
  <dcterms:modified xsi:type="dcterms:W3CDTF">2018-10-10T14:51:46Z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