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0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39" i="181" l="1"/>
  <c r="D31" i="181"/>
  <c r="D30" i="181"/>
  <c r="D21" i="181"/>
  <c r="D22" i="181"/>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c r="B5122" i="106"/>
  <c r="D5122" i="106" s="1"/>
  <c r="B5123" i="106"/>
  <c r="D5123" i="106"/>
  <c r="B5124" i="106"/>
  <c r="D5124" i="106" s="1"/>
  <c r="B5126" i="106"/>
  <c r="D5126" i="106"/>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1" i="106"/>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s="1"/>
  <c r="B6782" i="106"/>
  <c r="D6782" i="106" s="1"/>
  <c r="B6783" i="106"/>
  <c r="D6783" i="106"/>
  <c r="B6784" i="106"/>
  <c r="D6784" i="106" s="1"/>
  <c r="B6785" i="106"/>
  <c r="D6785" i="106" s="1"/>
  <c r="B6786" i="106"/>
  <c r="D6786" i="106" s="1"/>
  <c r="B6787" i="106"/>
  <c r="D6787" i="106" s="1"/>
  <c r="B6788" i="106"/>
  <c r="D6788" i="106" s="1"/>
  <c r="B6789" i="106"/>
  <c r="D6789" i="106" s="1"/>
  <c r="B6790" i="106"/>
  <c r="D6790" i="106" s="1"/>
  <c r="B6791" i="106"/>
  <c r="D6791" i="106"/>
  <c r="B6792" i="106"/>
  <c r="D6792" i="106" s="1"/>
  <c r="B6793" i="106"/>
  <c r="D6793" i="106" s="1"/>
  <c r="B6794" i="106"/>
  <c r="D6794" i="106" s="1"/>
  <c r="B6795" i="106"/>
  <c r="D6795" i="106"/>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c r="B6812" i="106"/>
  <c r="D6812" i="106" s="1"/>
  <c r="B6813" i="106"/>
  <c r="D6813" i="106" s="1"/>
  <c r="B6814" i="106"/>
  <c r="D6814" i="106" s="1"/>
  <c r="B6815" i="106"/>
  <c r="D6815" i="106"/>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c r="B6828" i="106"/>
  <c r="D6828" i="106" s="1"/>
  <c r="B6829" i="106"/>
  <c r="D6829" i="106" s="1"/>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F37" i="108"/>
  <c r="G28" i="108"/>
  <c r="E29" i="108"/>
  <c r="E30" i="108"/>
  <c r="G30" i="108"/>
  <c r="D31" i="108"/>
  <c r="D36" i="108"/>
  <c r="D37" i="108"/>
  <c r="E31" i="108"/>
  <c r="G31" i="108"/>
  <c r="E33" i="108"/>
  <c r="G33" i="108"/>
  <c r="E34" i="108"/>
  <c r="G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B5752" i="106" s="1"/>
  <c r="D5752" i="106" s="1"/>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4" i="7"/>
  <c r="B1760" i="106" s="1"/>
  <c r="D1760" i="106" s="1"/>
  <c r="F127" i="34"/>
  <c r="H109" i="5"/>
  <c r="B6025" i="106" s="1"/>
  <c r="D6025" i="106" s="1"/>
  <c r="D15" i="7"/>
  <c r="B1772" i="106" s="1"/>
  <c r="D1772" i="106" s="1"/>
  <c r="D7" i="7" l="1"/>
  <c r="B1763" i="106" s="1"/>
  <c r="D1763" i="106" s="1"/>
  <c r="C342" i="29"/>
  <c r="B7216" i="106" s="1"/>
  <c r="D7216" i="106" s="1"/>
  <c r="G5" i="4"/>
  <c r="B3409" i="106" s="1"/>
  <c r="D3409" i="106" s="1"/>
  <c r="F106" i="34"/>
  <c r="F136" i="34"/>
  <c r="F49" i="34"/>
  <c r="F44" i="34"/>
  <c r="B1308" i="106"/>
  <c r="D1308" i="106" s="1"/>
  <c r="E174" i="29"/>
  <c r="B1309" i="106" s="1"/>
  <c r="D1309" i="106" s="1"/>
  <c r="B4087" i="106"/>
  <c r="D4087" i="106" s="1"/>
  <c r="K184" i="29"/>
  <c r="F13" i="4" s="1"/>
  <c r="B2596" i="106" s="1"/>
  <c r="D2596" i="106" s="1"/>
  <c r="D11" i="7"/>
  <c r="B1768" i="106" s="1"/>
  <c r="D1768" i="106" s="1"/>
  <c r="L367" i="29"/>
  <c r="J352" i="29"/>
  <c r="J367" i="29" s="1"/>
  <c r="B7245" i="106" s="1"/>
  <c r="D7245" i="106" s="1"/>
  <c r="K24" i="12"/>
  <c r="B7733" i="106" s="1"/>
  <c r="D7733" i="106" s="1"/>
  <c r="J41" i="3"/>
  <c r="L13" i="11"/>
  <c r="B2060" i="106" s="1"/>
  <c r="D2060" i="106" s="1"/>
  <c r="B1995" i="106"/>
  <c r="D1995" i="106" s="1"/>
  <c r="D31" i="36"/>
  <c r="B4268" i="106"/>
  <c r="D4268" i="106" s="1"/>
  <c r="B3565" i="106"/>
  <c r="D3565" i="106" s="1"/>
  <c r="K41" i="3"/>
  <c r="H44" i="4"/>
  <c r="B6289" i="106"/>
  <c r="D6289" i="106" s="1"/>
  <c r="C129" i="29"/>
  <c r="B1225" i="106" s="1"/>
  <c r="D1225" i="106" s="1"/>
  <c r="B1223" i="106"/>
  <c r="D1223" i="106" s="1"/>
  <c r="E15" i="145"/>
  <c r="G15" i="145" s="1"/>
  <c r="B1126" i="106"/>
  <c r="D1126" i="106" s="1"/>
  <c r="C172" i="5"/>
  <c r="B5214" i="106" s="1"/>
  <c r="D5214" i="106" s="1"/>
  <c r="D5" i="4"/>
  <c r="B3406" i="106" s="1"/>
  <c r="D3406" i="106" s="1"/>
  <c r="J274" i="5"/>
  <c r="B7054" i="106" s="1"/>
  <c r="D7054" i="106" s="1"/>
  <c r="I173" i="5"/>
  <c r="B4216" i="106" s="1"/>
  <c r="D4216" i="106" s="1"/>
  <c r="E109" i="5"/>
  <c r="E4" i="4" s="1"/>
  <c r="B2630" i="106" s="1"/>
  <c r="D2630" i="106" s="1"/>
  <c r="F42" i="34"/>
  <c r="B3658" i="106"/>
  <c r="D3658" i="106" s="1"/>
  <c r="H365" i="29"/>
  <c r="B3619" i="106"/>
  <c r="D3619" i="106" s="1"/>
  <c r="C352" i="29"/>
  <c r="B3170" i="106"/>
  <c r="D3170" i="106" s="1"/>
  <c r="H76" i="4"/>
  <c r="B3298" i="106" s="1"/>
  <c r="D3298" i="106" s="1"/>
  <c r="D17" i="7"/>
  <c r="B4104" i="106" s="1"/>
  <c r="D4104" i="106" s="1"/>
  <c r="H4" i="4"/>
  <c r="B2655" i="106" s="1"/>
  <c r="D2655" i="106" s="1"/>
  <c r="F128" i="34"/>
  <c r="B5770" i="106"/>
  <c r="D5770" i="106" s="1"/>
  <c r="B1746" i="106"/>
  <c r="D1746" i="106" s="1"/>
  <c r="H173" i="5"/>
  <c r="F130" i="34"/>
  <c r="D9" i="7"/>
  <c r="B1767" i="106" s="1"/>
  <c r="D1767" i="106" s="1"/>
  <c r="D11" i="37"/>
  <c r="L312" i="29"/>
  <c r="F46" i="34"/>
  <c r="I342" i="29"/>
  <c r="B7222" i="106" s="1"/>
  <c r="D7222" i="106" s="1"/>
  <c r="K274" i="5"/>
  <c r="K7" i="4" s="1"/>
  <c r="B3718" i="106" s="1"/>
  <c r="D3718" i="106" s="1"/>
  <c r="F111" i="34"/>
  <c r="F131" i="34"/>
  <c r="D5" i="7"/>
  <c r="B1761" i="106" s="1"/>
  <c r="D1761" i="106" s="1"/>
  <c r="F172" i="5"/>
  <c r="B5644" i="106" s="1"/>
  <c r="D5644" i="106" s="1"/>
  <c r="B7235" i="106"/>
  <c r="D7235" i="106" s="1"/>
  <c r="F77" i="4"/>
  <c r="B3255" i="106" s="1"/>
  <c r="D3255" i="106" s="1"/>
  <c r="B3647" i="106"/>
  <c r="D3647" i="106" s="1"/>
  <c r="L15" i="11"/>
  <c r="B3459" i="106" s="1"/>
  <c r="D3459" i="106" s="1"/>
  <c r="G210" i="29"/>
  <c r="K285" i="29"/>
  <c r="L5" i="11"/>
  <c r="B2056" i="106" s="1"/>
  <c r="D2056" i="106" s="1"/>
  <c r="N22" i="3"/>
  <c r="B283" i="106" s="1"/>
  <c r="D283" i="106" s="1"/>
  <c r="F19" i="7"/>
  <c r="B1807" i="106" s="1"/>
  <c r="D1807" i="106" s="1"/>
  <c r="B3649" i="106"/>
  <c r="D3649" i="106" s="1"/>
  <c r="G367" i="29"/>
  <c r="B3650" i="106" s="1"/>
  <c r="D3650" i="106" s="1"/>
  <c r="K350" i="29"/>
  <c r="L342" i="29"/>
  <c r="B1410" i="106"/>
  <c r="D1410" i="106" s="1"/>
  <c r="G29" i="108"/>
  <c r="B1329" i="106"/>
  <c r="D1329" i="106" s="1"/>
  <c r="F61" i="34"/>
  <c r="G38" i="108"/>
  <c r="G35" i="108"/>
  <c r="E35" i="108"/>
  <c r="F28" i="108"/>
  <c r="E28" i="108"/>
  <c r="F27" i="108"/>
  <c r="C109" i="5"/>
  <c r="B5121" i="106" s="1"/>
  <c r="D5121" i="106" s="1"/>
  <c r="D109" i="5"/>
  <c r="D13" i="7"/>
  <c r="B3726" i="106" s="1"/>
  <c r="D3726" i="106" s="1"/>
  <c r="B5066" i="106"/>
  <c r="D5066" i="106" s="1"/>
  <c r="D12" i="7"/>
  <c r="B1769" i="106" s="1"/>
  <c r="D1769" i="106" s="1"/>
  <c r="G109" i="5"/>
  <c r="D54" i="36"/>
  <c r="H29" i="118"/>
  <c r="K28" i="118" s="1"/>
  <c r="O27" i="118" s="1"/>
  <c r="O29" i="118"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K26" i="12" l="1"/>
  <c r="B7743" i="106" s="1"/>
  <c r="D7743" i="106" s="1"/>
  <c r="C151" i="29"/>
  <c r="B1226" i="106" s="1"/>
  <c r="D1226" i="106" s="1"/>
  <c r="F173" i="5"/>
  <c r="B3628" i="106"/>
  <c r="D3628" i="106" s="1"/>
  <c r="B6022" i="106"/>
  <c r="D6022" i="106" s="1"/>
  <c r="C173" i="5"/>
  <c r="B1365" i="106"/>
  <c r="D1365" i="106" s="1"/>
  <c r="F65" i="34"/>
  <c r="B5906" i="106"/>
  <c r="D5906" i="106" s="1"/>
  <c r="H6" i="4"/>
  <c r="B3621" i="106"/>
  <c r="D3621" i="106" s="1"/>
  <c r="C367" i="29"/>
  <c r="B3622" i="106" s="1"/>
  <c r="D3622" i="106" s="1"/>
  <c r="B3568" i="106"/>
  <c r="D3568" i="106" s="1"/>
  <c r="D52" i="36"/>
  <c r="H367" i="29"/>
  <c r="B3660" i="106" s="1"/>
  <c r="D3660" i="106" s="1"/>
  <c r="B7242" i="106"/>
  <c r="D7242" i="106" s="1"/>
  <c r="L16" i="11"/>
  <c r="B2061" i="106" s="1"/>
  <c r="D2061" i="106" s="1"/>
  <c r="F73" i="34"/>
  <c r="G15" i="4"/>
  <c r="B6032" i="106" s="1"/>
  <c r="D6032" i="106" s="1"/>
  <c r="K367" i="29"/>
  <c r="B3670" i="106"/>
  <c r="D3670" i="106" s="1"/>
  <c r="K352" i="29"/>
  <c r="K342" i="29"/>
  <c r="F13" i="34" s="1"/>
  <c r="F41" i="108"/>
  <c r="G43" i="108" s="1"/>
  <c r="B1317" i="106"/>
  <c r="D1317" i="106" s="1"/>
  <c r="C114" i="29"/>
  <c r="B757" i="106" s="1"/>
  <c r="D757" i="106" s="1"/>
  <c r="C4" i="4"/>
  <c r="B2551" i="106" s="1"/>
  <c r="D2551" i="106" s="1"/>
  <c r="B5356" i="106"/>
  <c r="D5356" i="106" s="1"/>
  <c r="D4" i="4"/>
  <c r="B2564" i="106" s="1"/>
  <c r="D2564" i="106" s="1"/>
  <c r="D19" i="7"/>
  <c r="B1775" i="106" s="1"/>
  <c r="D1775"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F6" i="4" l="1"/>
  <c r="B2593" i="106" s="1"/>
  <c r="D2593" i="106" s="1"/>
  <c r="F275" i="5"/>
  <c r="B5720" i="106" s="1"/>
  <c r="D5720" i="106" s="1"/>
  <c r="B5653" i="106"/>
  <c r="D5653" i="106" s="1"/>
  <c r="B5223" i="106"/>
  <c r="D5223" i="106" s="1"/>
  <c r="C6" i="4"/>
  <c r="B2553" i="106" s="1"/>
  <c r="D2553" i="106" s="1"/>
  <c r="B2656" i="106"/>
  <c r="D2656" i="106" s="1"/>
  <c r="H8" i="4"/>
  <c r="K13" i="4"/>
  <c r="B3572" i="106" s="1"/>
  <c r="D3572" i="106" s="1"/>
  <c r="B3672" i="106"/>
  <c r="D3672" i="106" s="1"/>
  <c r="B7224" i="106"/>
  <c r="D7224" i="106" s="1"/>
  <c r="J17" i="4"/>
  <c r="B6227" i="106" s="1"/>
  <c r="D6227" i="106" s="1"/>
  <c r="G41" i="108"/>
  <c r="G44" i="108" s="1"/>
  <c r="G45" i="108" s="1"/>
  <c r="E41" i="108"/>
  <c r="E44" i="108" s="1"/>
  <c r="E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H10" i="4" l="1"/>
  <c r="B4127" i="106" s="1"/>
  <c r="D4127" i="106" s="1"/>
  <c r="B2658" i="106"/>
  <c r="D2658" i="106" s="1"/>
  <c r="J19" i="4"/>
  <c r="B6229" i="106" s="1"/>
  <c r="D6229" i="106" s="1"/>
  <c r="J20" i="4"/>
  <c r="J78" i="4" s="1"/>
  <c r="F76" i="34"/>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<sst xmlns="http://schemas.openxmlformats.org/spreadsheetml/2006/main" count="5159" uniqueCount="2166">
  <si>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</si>
  <si>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</si>
  <si>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</si>
  <si>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</si>
  <si>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</si>
  <si>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</si>
  <si>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</si>
  <si>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</si>
  <si>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</si>
  <si>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</si>
  <si>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</si>
  <si>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</si>
  <si>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</si>
  <si>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</si>
  <si>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</si>
  <si>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</si>
  <si>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</si>
  <si>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</si>
  <si>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</si>
  <si>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</si>
  <si>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</si>
  <si>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</si>
  <si>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</si>
  <si>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</si>
  <si>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</si>
  <si>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</si>
  <si>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</si>
  <si>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</si>
  <si>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</si>
  <si>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</si>
  <si>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</si>
  <si>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</si>
  <si>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</si>
  <si>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</si>
  <si>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</si>
  <si>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</si>
  <si>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</si>
  <si>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</si>
  <si>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</si>
  <si>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</si>
  <si>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</si>
  <si>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</si>
  <si>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</si>
  <si>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</si>
  <si>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</si>
  <si>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</si>
  <si>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</si>
  <si>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</si>
  <si>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</si>
  <si>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</si>
  <si>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</si>
  <si>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</si>
  <si>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</si>
  <si>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</si>
  <si>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</si>
  <si>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</si>
  <si>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</si>
  <si>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</si>
  <si>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</si>
  <si>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</si>
  <si>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</si>
  <si>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</si>
  <si>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</si>
  <si>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</si>
  <si>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</si>
  <si>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</si>
  <si>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</si>
  <si>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</si>
  <si>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</si>
  <si>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</si>
  <si>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</si>
  <si>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</si>
  <si>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</si>
  <si>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</si>
  <si>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</si>
  <si>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</si>
  <si>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</si>
  <si>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</si>
  <si>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</si>
  <si>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</si>
  <si>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</si>
  <si>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</si>
  <si>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</si>
  <si>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</si>
  <si>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</si>
  <si>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</si>
  <si>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</si>
  <si>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</si>
  <si>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</si>
  <si>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</si>
  <si>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</si>
  <si>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</si>
  <si>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</si>
  <si>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</si>
  <si>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</si>
  <si>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</si>
  <si>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</si>
  <si>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</si>
  <si>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</si>
  <si>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</si>
  <si>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</si>
  <si>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</si>
  <si>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</si>
  <si>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</si>
  <si>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</si>
  <si>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</si>
  <si>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</si>
  <si>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</si>
  <si>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</si>
  <si>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</si>
  <si>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</si>
  <si>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</si>
  <si>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</si>
  <si>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</si>
  <si>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</si>
  <si>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</si>
  <si>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</si>
  <si>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</si>
  <si>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</si>
  <si>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</si>
  <si>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</si>
  <si>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</si>
  <si>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</si>
  <si>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</si>
  <si>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</si>
  <si>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</si>
  <si>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</si>
  <si>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</si>
  <si>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</si>
  <si>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</si>
  <si>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</si>
  <si>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</si>
  <si>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</si>
  <si>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</si>
  <si>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</si>
  <si>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</si>
  <si>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</si>
  <si>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</si>
  <si>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</si>
  <si>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</si>
  <si>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</si>
  <si>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</si>
  <si>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</si>
  <si>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</si>
  <si>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</si>
  <si>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</si>
  <si>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</si>
  <si>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</si>
  <si>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</si>
  <si>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</si>
  <si>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</si>
  <si>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</si>
  <si>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</si>
  <si>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</si>
  <si>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</si>
  <si>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</si>
  <si>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</si>
  <si>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</si>
  <si>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</si>
  <si>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</si>
  <si>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</si>
  <si>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</si>
  <si>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</si>
  <si>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</si>
  <si>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</si>
  <si>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</si>
  <si>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</si>
  <si>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</si>
  <si>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</si>
  <si>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</si>
  <si>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</si>
  <si>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</si>
  <si>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</si>
  <si>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</si>
  <si>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</si>
  <si>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</si>
  <si>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</si>
  <si>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</si>
  <si>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</si>
  <si>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</si>
  <si>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</si>
  <si>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</si>
  <si>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</si>
  <si>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</si>
  <si>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</si>
  <si>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</si>
  <si>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</si>
  <si>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</si>
  <si>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</si>
  <si>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</si>
  <si>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</si>
  <si>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</si>
  <si>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</si>
  <si>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</si>
  <si>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</si>
  <si>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</si>
  <si>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</si>
  <si>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</si>
  <si>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</si>
  <si>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</si>
  <si>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</si>
  <si>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</si>
  <si>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</si>
  <si>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</si>
  <si>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</si>
  <si>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</si>
  <si>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</si>
  <si>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</si>
  <si>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</si>
  <si>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</si>
  <si>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</si>
  <si>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</si>
  <si>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</si>
  <si>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</si>
  <si>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</si>
  <si>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</si>
  <si>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</si>
  <si>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</si>
  <si>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</si>
  <si>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</si>
  <si>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</si>
  <si>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</si>
  <si>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</si>
  <si>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</si>
  <si>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</si>
  <si>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</si>
  <si>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</si>
  <si>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</si>
  <si>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</si>
  <si>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</si>
  <si>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</si>
  <si>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</si>
  <si>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</si>
  <si>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</si>
  <si>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</si>
  <si>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</si>
  <si>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</si>
  <si>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</si>
  <si>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</si>
  <si>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</si>
  <si>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</si>
  <si>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</si>
  <si>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</si>
  <si>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</si>
  <si>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</si>
  <si>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</si>
  <si>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</si>
  <si>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</si>
  <si>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</si>
  <si>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</si>
  <si>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</si>
  <si>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</si>
  <si>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</si>
  <si>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</si>
  <si>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</si>
  <si>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</si>
  <si>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</si>
  <si>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</si>
  <si>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</si>
  <si>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</si>
  <si>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</si>
  <si>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</si>
  <si>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</si>
  <si>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</si>
  <si>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</si>
  <si>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</si>
  <si>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</si>
  <si>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</si>
  <si>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</si>
  <si>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</si>
  <si>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</si>
  <si>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</si>
  <si>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</si>
  <si>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</si>
  <si>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</si>
  <si>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</si>
  <si>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</si>
  <si>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</si>
  <si>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</si>
  <si>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</si>
  <si>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</si>
  <si>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</si>
  <si>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</si>
  <si>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</si>
  <si>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</si>
  <si>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</si>
  <si>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</si>
  <si>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</si>
  <si>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</si>
  <si>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</si>
  <si>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</si>
  <si>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</si>
  <si>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</si>
  <si>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</si>
  <si>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</si>
  <si>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</si>
  <si>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</si>
  <si>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</si>
  <si>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</si>
  <si>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</si>
  <si>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</si>
  <si>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</si>
  <si>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</si>
  <si>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</si>
  <si>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</si>
  <si>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</si>
  <si>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</si>
  <si>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</si>
  <si>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</si>
  <si>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</si>
  <si>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</si>
  <si>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</si>
  <si>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</si>
  <si>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</si>
  <si>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</si>
  <si>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</si>
  <si>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</si>
  <si>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</si>
  <si>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</si>
  <si>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</si>
  <si>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</si>
  <si>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</si>
  <si>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</si>
  <si>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</si>
  <si>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</si>
  <si>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</si>
  <si>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</si>
  <si>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</si>
  <si>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</si>
  <si>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</si>
  <si>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</si>
  <si>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</si>
  <si>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</si>
  <si>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</si>
  <si>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</si>
  <si>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</si>
  <si>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</si>
  <si>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</si>
  <si>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</si>
  <si>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</si>
  <si>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</si>
  <si>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</si>
  <si>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</si>
  <si>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</si>
  <si>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</si>
  <si>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</si>
  <si>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</si>
  <si>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</si>
  <si>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</si>
  <si>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</si>
  <si>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</si>
  <si>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</si>
  <si>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</si>
  <si>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</si>
  <si>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</si>
  <si>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</si>
  <si>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</si>
  <si>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</si>
  <si>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</si>
  <si>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</si>
  <si>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</si>
  <si>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</si>
  <si>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</si>
  <si>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</si>
  <si>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</si>
  <si>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</si>
  <si>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</si>
  <si>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</si>
  <si>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</si>
  <si>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</si>
  <si>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</si>
  <si>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</si>
  <si>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</si>
  <si>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</si>
  <si>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</si>
  <si>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</si>
  <si>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</si>
  <si>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</si>
  <si>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</si>
  <si>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</si>
  <si>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</si>
  <si>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</si>
  <si>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</si>
  <si>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</si>
  <si>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</si>
  <si>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</si>
  <si>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</si>
  <si>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</si>
  <si>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</si>
  <si>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</si>
  <si>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</si>
  <si>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</si>
  <si>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</si>
  <si>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</si>
  <si>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</si>
  <si>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</si>
  <si>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</si>
  <si>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</si>
  <si>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</si>
  <si>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</si>
  <si>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</si>
  <si>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</si>
  <si>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</si>
  <si>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</si>
  <si>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</si>
  <si>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</si>
  <si>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</si>
  <si>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</si>
  <si>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</si>
  <si>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</si>
  <si>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</si>
  <si>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</si>
  <si>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</si>
  <si>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</si>
  <si>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</si>
  <si>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</si>
  <si>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</si>
  <si>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</si>
  <si>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</si>
  <si>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</si>
  <si>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</si>
  <si>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</si>
  <si>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</si>
  <si>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</si>
  <si>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</si>
  <si>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</si>
  <si>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</si>
  <si>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</si>
  <si>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</si>
  <si>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</si>
  <si>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</si>
  <si>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</si>
  <si>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</si>
  <si>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</si>
  <si>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</si>
  <si>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</si>
  <si>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</si>
  <si>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</si>
  <si>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</si>
  <si>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</si>
  <si>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</si>
  <si>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</si>
  <si>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</si>
  <si>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</si>
  <si>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</si>
  <si>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</si>
  <si>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</si>
  <si>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</si>
  <si>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</si>
  <si>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</si>
  <si>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</si>
  <si>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</si>
  <si>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</si>
  <si>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</si>
  <si>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</si>
  <si>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</si>
  <si>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</si>
  <si>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</si>
  <si>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</si>
  <si>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</si>
  <si>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</si>
  <si>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</si>
  <si>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</si>
  <si>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</si>
  <si>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</si>
  <si>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</si>
  <si>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</si>
  <si>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</si>
  <si>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</si>
  <si>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</si>
  <si>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</si>
  <si>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</si>
  <si>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</si>
  <si>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</si>
  <si>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</si>
  <si>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</si>
  <si>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</si>
  <si>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</si>
  <si>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</si>
  <si>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</si>
  <si>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</si>
  <si>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</si>
  <si>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</si>
  <si>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</si>
  <si>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</si>
  <si>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</si>
  <si>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</si>
  <si>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</si>
  <si>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</si>
  <si>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</si>
  <si>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</si>
  <si>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</si>
  <si>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</si>
  <si>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</si>
  <si>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</si>
  <si>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</si>
  <si>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</si>
  <si>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</si>
  <si>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</si>
  <si>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</si>
  <si>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</si>
  <si>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</si>
  <si>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</si>
  <si>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</si>
  <si>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</si>
  <si>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</si>
  <si>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</si>
  <si>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</si>
  <si>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</si>
  <si>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</si>
  <si>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</si>
  <si>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</si>
  <si>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</si>
  <si>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</si>
  <si>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</si>
  <si>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</si>
  <si>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</si>
  <si>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</si>
  <si>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</si>
  <si>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</si>
  <si>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</si>
  <si>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</si>
  <si>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</si>
  <si>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</si>
  <si>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</si>
  <si>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</si>
  <si>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</si>
  <si>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</si>
  <si>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</si>
  <si>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</si>
  <si>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</si>
  <si>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</si>
  <si>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</si>
  <si>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</si>
  <si>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</si>
  <si>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</si>
  <si>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</si>
  <si>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</si>
  <si>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</si>
  <si>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</si>
  <si>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</si>
  <si>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</si>
  <si>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</si>
  <si>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</si>
  <si>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</si>
  <si>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</si>
  <si>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</si>
  <si>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</si>
  <si>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</si>
  <si>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</si>
  <si>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</si>
  <si>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</si>
  <si>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</si>
  <si>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</si>
  <si>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</si>
  <si>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</si>
  <si>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</si>
  <si>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</si>
  <si>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</si>
  <si>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</si>
  <si>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</si>
  <si>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</si>
  <si>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</si>
  <si>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</si>
  <si>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</si>
  <si>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</si>
  <si>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</si>
  <si>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</si>
  <si>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</si>
  <si>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</si>
  <si>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</si>
  <si>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</si>
  <si>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</si>
  <si>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</si>
  <si>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</si>
  <si>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</si>
  <si>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</si>
  <si>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</si>
  <si>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</si>
  <si>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</si>
  <si>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</si>
  <si>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</si>
  <si>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</si>
  <si>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</si>
  <si>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</si>
  <si>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</si>
  <si>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</si>
  <si>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</si>
  <si>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</si>
  <si>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</si>
  <si>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</si>
  <si>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</si>
  <si>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</si>
  <si>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</si>
  <si>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</si>
  <si>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</si>
  <si>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</si>
  <si>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</si>
  <si>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</si>
  <si>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</si>
  <si>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</si>
  <si>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</si>
  <si>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</si>
  <si>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</si>
  <si>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</si>
  <si>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</si>
  <si>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</si>
  <si>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</si>
  <si>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</si>
  <si>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</si>
  <si>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</si>
  <si>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</si>
  <si>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</si>
  <si>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</si>
  <si>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</si>
  <si>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</si>
  <si>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</si>
  <si>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</si>
  <si>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</si>
  <si>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</si>
  <si>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</si>
  <si>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</si>
  <si>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</si>
  <si>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</si>
  <si>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</si>
  <si>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</si>
  <si>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</si>
  <si>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</si>
  <si>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</si>
  <si>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</si>
  <si>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</si>
  <si>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</si>
  <si>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</si>
  <si>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</si>
  <si>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</si>
  <si>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</si>
  <si>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</si>
  <si>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</si>
  <si>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</si>
  <si>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</si>
  <si>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</si>
  <si>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</si>
  <si>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</si>
  <si>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</si>
  <si>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</si>
  <si>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</si>
  <si>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</si>
  <si>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</si>
  <si>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</si>
  <si>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</si>
  <si>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</si>
  <si>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</si>
  <si>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</si>
  <si>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</si>
  <si>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</si>
  <si>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</si>
  <si>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</si>
  <si>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</si>
  <si>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</si>
  <si>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</si>
  <si>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</si>
  <si>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</si>
  <si>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</si>
  <si>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</si>
  <si>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</si>
  <si>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</si>
  <si>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</si>
  <si>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</si>
  <si>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</si>
  <si>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</si>
  <si>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</si>
  <si>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</si>
  <si>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</si>
  <si>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</si>
  <si>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</si>
  <si>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</si>
  <si>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</si>
  <si>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</si>
  <si>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</si>
  <si>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</si>
  <si>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</si>
  <si>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</si>
  <si>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</si>
  <si>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</si>
  <si>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</si>
  <si>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</si>
  <si>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</si>
  <si>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</si>
  <si>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</si>
  <si>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</si>
  <si>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</si>
  <si>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</si>
  <si>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</si>
  <si>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</si>
  <si>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</si>
  <si>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</si>
  <si>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</si>
  <si>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</si>
  <si>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</si>
  <si>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</si>
  <si>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</si>
  <si>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</si>
  <si>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</si>
  <si>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</si>
  <si>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</si>
  <si>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</si>
  <si>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</si>
  <si>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</si>
  <si>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</si>
  <si>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</si>
  <si>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</si>
  <si>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</si>
  <si>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</si>
  <si>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</si>
  <si>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</si>
  <si>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</si>
  <si>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</si>
  <si>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</si>
  <si>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</si>
  <si>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</si>
  <si>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</si>
  <si>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</si>
  <si>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</si>
  <si>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</si>
  <si>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</si>
  <si>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</si>
  <si>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</si>
  <si>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</si>
  <si>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</si>
  <si>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</si>
  <si>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</si>
  <si>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</si>
  <si>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</si>
  <si>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</si>
  <si>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</si>
  <si>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</si>
  <si>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</si>
  <si>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</si>
  <si>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</si>
  <si>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</si>
  <si>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</si>
  <si>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</si>
  <si>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</si>
  <si>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</si>
  <si>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</si>
  <si>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</si>
  <si>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</si>
  <si>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</si>
  <si>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</si>
  <si>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</si>
  <si>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</si>
  <si>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</si>
  <si>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</si>
  <si>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</si>
  <si>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</si>
  <si>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</si>
  <si>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</si>
  <si>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</si>
  <si>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</si>
  <si>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</si>
  <si>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</si>
  <si>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</si>
  <si>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</si>
  <si>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</si>
  <si>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</si>
  <si>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</si>
  <si>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</si>
  <si>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</si>
  <si>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</si>
  <si>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</si>
  <si>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</si>
  <si>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</si>
  <si>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</si>
  <si>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</si>
  <si>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</si>
  <si>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</si>
  <si>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</si>
  <si>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</si>
  <si>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</si>
  <si>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</si>
  <si>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</si>
  <si>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</si>
  <si>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</si>
  <si>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</si>
  <si>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</si>
  <si>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</si>
  <si>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</si>
  <si>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</si>
  <si>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</si>
  <si>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</si>
  <si>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</si>
  <si>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</si>
  <si>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</si>
  <si>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</si>
  <si>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</si>
  <si>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</si>
  <si>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</si>
  <si>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</si>
  <si>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</si>
  <si>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</si>
  <si>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</si>
  <si>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</si>
  <si>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</si>
  <si>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</si>
  <si>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</si>
  <si>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</si>
  <si>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</si>
  <si>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</si>
  <si>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</si>
  <si>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</si>
  <si>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</si>
  <si>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</si>
  <si>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</si>
  <si>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</si>
  <si>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</si>
  <si>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</si>
  <si>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</si>
  <si>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</si>
  <si>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</si>
  <si>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</si>
  <si>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</si>
  <si>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</si>
  <si>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</si>
  <si>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</si>
  <si>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</si>
  <si>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</si>
  <si>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</si>
  <si>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</si>
  <si>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</si>
  <si>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</si>
  <si>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</si>
  <si>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</si>
  <si>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</si>
  <si>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</si>
  <si>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</si>
  <si>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</si>
  <si>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</si>
  <si>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</si>
  <si>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</si>
  <si>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</si>
  <si>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</si>
  <si>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</si>
  <si>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</si>
  <si>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</si>
  <si>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</si>
  <si>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</si>
  <si>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</si>
  <si>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</si>
  <si>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</si>
  <si>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</si>
  <si>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</si>
  <si>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</si>
  <si>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</si>
  <si>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</si>
  <si>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</si>
  <si>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</si>
  <si>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</si>
  <si>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</si>
  <si>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</si>
  <si>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</si>
  <si>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</si>
  <si>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</si>
  <si>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</si>
  <si>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</si>
  <si>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</si>
  <si>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</si>
  <si>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</si>
  <si>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</si>
  <si>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</si>
  <si>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</si>
  <si>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</si>
  <si>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</si>
  <si>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</si>
  <si>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</si>
  <si>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</si>
  <si>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</si>
  <si>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</si>
  <si>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</si>
  <si>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</si>
  <si>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</si>
  <si>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</si>
  <si>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</si>
  <si>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</si>
  <si>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</si>
  <si>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</si>
  <si>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</si>
  <si>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</si>
  <si>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</si>
  <si>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</si>
  <si>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</si>
  <si>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</si>
  <si>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</si>
  <si>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</si>
  <si>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</si>
  <si>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</si>
  <si>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</si>
  <si>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</si>
  <si>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</si>
  <si>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</si>
  <si>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</si>
  <si>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</si>
  <si>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</si>
  <si>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</si>
  <si>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</si>
  <si>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</si>
  <si>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</si>
  <si>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</si>
  <si>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</si>
  <si>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</si>
  <si>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</si>
  <si>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</si>
  <si>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</si>
  <si>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</si>
  <si>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</si>
  <si>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</si>
  <si>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</si>
  <si>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</si>
  <si>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</si>
  <si>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</si>
  <si>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</si>
  <si>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</si>
  <si>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</si>
  <si>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</si>
  <si>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</si>
  <si>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</si>
  <si>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</si>
  <si>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</si>
  <si>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</si>
  <si>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</si>
  <si>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</si>
  <si>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</si>
  <si>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</si>
  <si>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</si>
  <si>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</si>
  <si>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</si>
  <si>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</si>
  <si>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</si>
  <si>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</si>
  <si>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</si>
  <si>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</si>
  <si>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</si>
  <si>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</si>
  <si>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</si>
  <si>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</si>
  <si>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</si>
  <si>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</si>
  <si>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</si>
  <si>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</si>
  <si>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</si>
  <si>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</si>
  <si>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</si>
  <si>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</si>
  <si>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</si>
  <si>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</si>
  <si>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</si>
  <si>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</si>
  <si>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</si>
  <si>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</si>
  <si>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</si>
  <si>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</si>
  <si>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</si>
  <si>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</si>
  <si>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</si>
  <si>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</si>
  <si>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</si>
  <si>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</si>
  <si>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</si>
  <si>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</si>
  <si>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</si>
  <si>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</si>
  <si>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</si>
  <si>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</si>
  <si>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</si>
  <si>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</si>
  <si>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</si>
  <si>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</si>
  <si>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</si>
  <si>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</si>
  <si>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</si>
  <si>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</si>
  <si>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</si>
  <si>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</si>
  <si>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</si>
  <si>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</si>
  <si>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</si>
  <si>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</si>
  <si>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</si>
  <si>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</si>
  <si>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</si>
  <si>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</si>
  <si>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</si>
  <si>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</si>
  <si>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</si>
  <si>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</si>
  <si>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</si>
  <si>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</si>
  <si>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</si>
  <si>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</si>
  <si>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</si>
  <si>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</si>
  <si>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</si>
  <si>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</si>
  <si>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</si>
  <si>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</si>
  <si>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</si>
  <si>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</si>
  <si>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</si>
  <si>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</si>
  <si>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</si>
  <si>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</si>
  <si>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</si>
  <si>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</si>
  <si>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</si>
  <si>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</si>
  <si>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</si>
  <si>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</si>
  <si>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</si>
  <si>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</si>
  <si>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</si>
  <si>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</si>
  <si>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</si>
  <si>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</si>
  <si>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</si>
  <si>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</si>
  <si>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</si>
  <si>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</si>
  <si>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</si>
  <si>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</si>
  <si>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</si>
  <si>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</si>
  <si>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</si>
  <si>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</si>
  <si>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</si>
  <si>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</si>
  <si>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</si>
  <si>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</si>
  <si>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</si>
  <si>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</si>
  <si>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</si>
  <si>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</si>
  <si>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</si>
  <si>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</si>
  <si>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</si>
  <si>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</si>
  <si>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</si>
  <si>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</si>
  <si>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</si>
  <si>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</si>
  <si>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</si>
  <si>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</si>
  <si>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</si>
  <si>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</si>
  <si>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</si>
  <si>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</si>
  <si>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</si>
  <si>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</si>
  <si>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</si>
  <si>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</si>
  <si>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</si>
  <si>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</si>
  <si>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</si>
  <si>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</si>
  <si>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</si>
  <si>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</si>
  <si>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</si>
  <si>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</si>
  <si>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</si>
  <si>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</si>
  <si>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</si>
  <si>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</si>
  <si>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</si>
  <si>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</si>
  <si>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</si>
  <si>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</si>
  <si>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</si>
  <si>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</si>
  <si>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</si>
  <si>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</si>
  <si>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</si>
  <si>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</si>
  <si>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</si>
  <si>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</si>
  <si>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</si>
  <si>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</si>
  <si>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</si>
  <si>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</si>
  <si>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</si>
  <si>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</si>
  <si>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</si>
  <si>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</si>
  <si>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</si>
  <si>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</si>
  <si>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</si>
  <si>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</si>
  <si>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</si>
  <si>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</si>
  <si>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</si>
  <si>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</si>
  <si>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</si>
  <si>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</si>
  <si>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</si>
  <si>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</si>
  <si>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</si>
  <si>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</si>
  <si>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</si>
  <si>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</si>
  <si>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</si>
  <si>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</si>
  <si>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</si>
  <si>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</si>
  <si>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</si>
  <si>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</si>
  <si>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</si>
  <si>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</si>
  <si>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</si>
  <si>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</si>
  <si>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</si>
  <si>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</si>
  <si>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</si>
  <si>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</si>
  <si>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</si>
  <si>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</si>
  <si>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</si>
  <si>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</si>
  <si>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</si>
  <si>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</si>
  <si>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</si>
  <si>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</si>
  <si>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</si>
  <si>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</si>
  <si>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</si>
  <si>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</si>
  <si>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</si>
  <si>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</si>
  <si>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</si>
  <si>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</si>
  <si>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</si>
  <si>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</si>
  <si>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</si>
  <si>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</si>
  <si>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</si>
  <si>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</si>
  <si>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</si>
  <si>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</si>
  <si>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</si>
  <si>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</si>
  <si>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</si>
  <si>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</si>
  <si>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</si>
  <si>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</si>
  <si>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</si>
  <si>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</si>
  <si>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</si>
  <si>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</si>
  <si>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</si>
  <si>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</si>
  <si>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</si>
  <si>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</si>
  <si>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</si>
  <si>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</si>
  <si>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</si>
  <si>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</si>
  <si>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</si>
  <si>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</si>
  <si>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</si>
  <si>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</si>
  <si>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</si>
  <si>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</si>
  <si>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</si>
  <si>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</si>
  <si>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</si>
  <si>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</si>
  <si>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</si>
  <si>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</si>
  <si>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</si>
  <si>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</si>
  <si>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</si>
  <si>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</si>
  <si>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</si>
  <si>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</si>
  <si>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</si>
  <si>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</si>
  <si>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</si>
  <si>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</si>
  <si>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</si>
  <si>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</si>
  <si>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</si>
  <si>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</si>
  <si>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</si>
  <si>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</si>
  <si>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</si>
  <si>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</si>
  <si>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</si>
  <si>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</si>
  <si>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</si>
  <si>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</si>
  <si>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</si>
  <si>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</si>
  <si>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</si>
  <si>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</si>
  <si>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</si>
  <si>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</si>
  <si>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</si>
  <si>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</si>
  <si>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</si>
  <si>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</si>
  <si>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</si>
  <si>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</si>
  <si>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</si>
  <si>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</si>
  <si>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</si>
  <si>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</si>
  <si>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</si>
  <si>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</si>
  <si>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</si>
  <si>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</si>
  <si>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</si>
  <si>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</si>
  <si>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</si>
  <si>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</si>
  <si>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</si>
  <si>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</si>
  <si>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</si>
  <si>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</si>
  <si>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</si>
  <si>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</si>
  <si>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</si>
  <si>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</si>
  <si>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</si>
  <si>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</si>
  <si>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</si>
  <si>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</si>
  <si>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</si>
  <si>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</si>
  <si>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</si>
  <si>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</si>
  <si>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</si>
  <si>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</si>
  <si>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</si>
  <si>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</si>
  <si>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</si>
  <si>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</si>
  <si>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</si>
  <si>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</si>
  <si>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</si>
  <si>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</si>
  <si>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</si>
  <si>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</si>
  <si>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</si>
  <si>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</si>
  <si>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</si>
  <si>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</si>
  <si>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</si>
  <si>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</si>
  <si>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</si>
  <si>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</si>
  <si>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</si>
  <si>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</si>
  <si>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</si>
  <si>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</si>
  <si>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</si>
  <si>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</si>
  <si>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</si>
  <si>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</si>
  <si>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</si>
  <si>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</si>
  <si>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</si>
  <si>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</si>
  <si>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</si>
  <si>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</si>
  <si>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</si>
  <si>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</si>
  <si>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</si>
  <si>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</si>
  <si>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</si>
  <si>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</si>
  <si>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</si>
  <si>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</si>
  <si>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</si>
  <si>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</si>
  <si>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</si>
  <si>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</si>
  <si>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</si>
  <si>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</si>
  <si>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</si>
  <si>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</si>
  <si>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</si>
  <si>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</si>
  <si>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</si>
  <si>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</si>
  <si>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</si>
  <si>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</si>
  <si>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</si>
  <si>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</si>
  <si>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</si>
  <si>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</si>
  <si>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</si>
  <si>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</si>
  <si>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</si>
  <si>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</si>
  <si>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</si>
  <si>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</si>
  <si>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</si>
  <si>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</si>
  <si>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</si>
  <si>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</si>
  <si>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</si>
  <si>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</si>
  <si>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</si>
  <si>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</si>
  <si>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</si>
  <si>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</si>
  <si>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</si>
  <si>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</si>
  <si>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</si>
  <si>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</si>
  <si>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</si>
  <si>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</si>
  <si>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</si>
  <si>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</si>
  <si>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</si>
  <si>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</si>
  <si>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</si>
  <si>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</si>
  <si>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</si>
  <si>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</si>
  <si>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</si>
  <si>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</si>
  <si>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</si>
  <si>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</si>
  <si>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</si>
  <si>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</si>
  <si>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</si>
  <si>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</si>
  <si>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</si>
  <si>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</si>
  <si>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</si>
  <si>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</si>
  <si>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</si>
  <si>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</si>
  <si>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</si>
  <si>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</si>
  <si>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</si>
  <si>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</si>
  <si>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</si>
  <si>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</si>
  <si>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</si>
  <si>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</si>
  <si>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</si>
  <si>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</si>
  <si>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</si>
  <si>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</si>
  <si>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</si>
  <si>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</si>
  <si>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</si>
  <si>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</si>
  <si>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</si>
  <si>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</si>
  <si>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</si>
  <si>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</si>
  <si>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</si>
  <si>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</si>
  <si>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</si>
  <si>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</si>
  <si>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</si>
  <si>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</si>
  <si>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</si>
  <si>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</si>
  <si>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</si>
  <si>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</si>
  <si>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</si>
  <si>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</si>
  <si>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</si>
  <si>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</si>
  <si>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</si>
  <si>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</si>
  <si>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</si>
  <si>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</si>
  <si>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</si>
  <si>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</si>
  <si>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</si>
  <si>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</si>
  <si>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</si>
  <si>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</si>
  <si>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</si>
  <si>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</si>
  <si>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</si>
  <si>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</si>
  <si>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</si>
  <si>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</si>
  <si>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</si>
  <si>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</si>
  <si>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</si>
  <si>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</si>
  <si>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</si>
  <si>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</si>
  <si>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</si>
  <si>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</si>
  <si>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</si>
  <si>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</si>
  <si>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</si>
  <si>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</si>
  <si>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</si>
  <si>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</si>
  <si>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</si>
  <si>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</si>
  <si>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</si>
  <si>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</si>
  <si>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</si>
  <si>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</si>
  <si>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</si>
  <si>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</si>
  <si>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</si>
  <si>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</si>
  <si>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</si>
  <si>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</si>
  <si>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</si>
  <si>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</si>
  <si>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</si>
  <si>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</si>
  <si>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</si>
  <si>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</si>
  <si>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</si>
  <si>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</si>
  <si>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</si>
  <si>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</si>
  <si>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</si>
  <si>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</si>
  <si>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</si>
  <si>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</si>
  <si>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</si>
  <si>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</si>
  <si>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</si>
  <si>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</si>
  <si>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</si>
  <si>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</si>
  <si>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</si>
  <si>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</si>
  <si>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</si>
  <si>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</si>
  <si>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</si>
  <si>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</si>
  <si>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</si>
  <si>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</si>
  <si>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</si>
  <si>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</si>
  <si>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</si>
  <si>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</si>
  <si>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</si>
  <si>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</si>
  <si>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</si>
  <si>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</si>
  <si>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</si>
  <si>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</si>
  <si>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</si>
  <si>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</si>
  <si>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</si>
  <si>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</si>
  <si>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</si>
  <si>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</si>
  <si>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</si>
  <si>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</si>
  <si>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</si>
  <si>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</si>
  <si>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</si>
  <si>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</si>
  <si>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</si>
  <si>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</si>
  <si>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</si>
  <si>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</si>
  <si>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</si>
  <si>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</si>
  <si>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</si>
  <si>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</si>
  <si>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</si>
  <si>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</si>
  <si>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</si>
  <si>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</si>
  <si>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</si>
  <si>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</si>
  <si>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</si>
  <si>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</si>
  <si>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</si>
  <si>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</si>
  <si>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</si>
  <si>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</si>
  <si>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</si>
  <si>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</si>
  <si>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</si>
  <si>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</si>
  <si>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</si>
  <si>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</si>
  <si>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</si>
  <si>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</si>
  <si>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</si>
  <si>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</si>
  <si>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</si>
  <si>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</si>
  <si>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</si>
  <si>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</si>
  <si>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</si>
  <si>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</si>
  <si>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</si>
  <si>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</si>
  <si>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</si>
  <si>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</si>
  <si>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</si>
  <si>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</si>
  <si>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</si>
  <si>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</si>
  <si>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</si>
  <si>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</si>
  <si>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</si>
  <si>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</si>
  <si>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</si>
  <si>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</si>
  <si>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</si>
  <si>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</si>
  <si>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</si>
  <si>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</si>
  <si>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</si>
  <si>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</si>
  <si>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</si>
  <si>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</si>
  <si>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</si>
  <si>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</si>
  <si>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</si>
  <si>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</si>
  <si>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</si>
  <si>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</si>
  <si>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</si>
  <si>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</si>
  <si>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</si>
  <si>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</si>
  <si>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</si>
  <si>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</si>
  <si>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</si>
  <si>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</si>
  <si>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</si>
  <si>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</si>
  <si>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</si>
  <si>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</si>
  <si>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</si>
  <si>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</si>
  <si>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</si>
  <si>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</si>
  <si>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</si>
  <si>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</si>
  <si>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</si>
  <si>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</si>
  <si>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</si>
  <si>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</si>
  <si>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</si>
  <si>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</si>
  <si>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</si>
  <si>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</si>
  <si>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</si>
  <si>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</si>
  <si>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</si>
  <si>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</si>
  <si>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</si>
  <si>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</si>
  <si>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</si>
  <si>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</si>
  <si>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</si>
  <si>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</si>
  <si>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</si>
  <si>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</si>
  <si>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</si>
  <si>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</si>
  <si>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</si>
  <si>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</si>
  <si>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</si>
  <si>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</si>
  <si>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</si>
  <si>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</si>
  <si>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</si>
  <si>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</si>
  <si>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</si>
  <si>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</si>
  <si>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</si>
  <si>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</si>
  <si>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</si>
  <si>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</si>
  <si>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</si>
  <si>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</si>
  <si>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</si>
  <si>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</si>
  <si>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</si>
  <si>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</si>
  <si>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</si>
  <si>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</si>
  <si>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</si>
  <si>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</si>
  <si>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</si>
  <si>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</si>
  <si>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</si>
  <si>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</si>
  <si>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</si>
  <si>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</si>
  <si>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</si>
  <si>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</si>
  <si>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</si>
  <si>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</si>
  <si>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</si>
  <si>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</si>
  <si>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</si>
  <si>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</si>
  <si>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</si>
  <si>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</si>
  <si>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</si>
  <si>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</si>
  <si>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</si>
  <si>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</si>
  <si>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</si>
  <si>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</si>
  <si>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</si>
  <si>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</si>
  <si>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</si>
  <si>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</si>
  <si>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</si>
  <si>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</si>
  <si>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</si>
  <si>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</si>
  <si>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</si>
  <si>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</si>
  <si>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</si>
  <si>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</si>
  <si>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</si>
  <si>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</si>
  <si>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</si>
  <si>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</si>
  <si>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</si>
  <si>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</si>
  <si>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</si>
  <si>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</si>
  <si>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</si>
  <si>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</si>
  <si>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</si>
  <si>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</si>
  <si>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</si>
  <si>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</si>
  <si>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</si>
  <si>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</si>
  <si>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</si>
  <si>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</si>
  <si>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</si>
  <si>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</si>
  <si>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</si>
  <si>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</si>
  <si>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</si>
  <si>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</si>
  <si>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</si>
  <si>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</si>
  <si>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</si>
  <si>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</si>
  <si>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</si>
  <si>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</si>
  <si>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</si>
  <si>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</si>
  <si>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</si>
  <si>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</si>
  <si>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</si>
  <si>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</si>
  <si>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</si>
  <si>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</si>
  <si>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</si>
  <si>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</si>
  <si>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</si>
  <si>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</si>
  <si>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</si>
  <si>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</si>
  <si>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</si>
  <si>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</si>
  <si>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</si>
  <si>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</si>
  <si>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</si>
  <si>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</si>
  <si>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</si>
  <si>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</si>
  <si>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</si>
  <si>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</si>
  <si>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</si>
  <si>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</si>
  <si>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</si>
  <si>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</si>
  <si>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</si>
  <si>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</si>
  <si>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</si>
  <si>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</si>
  <si>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</si>
  <si>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</si>
  <si>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</si>
  <si>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</si>
  <si>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</si>
  <si>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</si>
  <si>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</si>
  <si>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</si>
  <si>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</si>
  <si>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</si>
  <si>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</si>
  <si>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</si>
  <si>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</si>
  <si>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</si>
  <si>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</si>
  <si>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</si>
  <si>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</si>
  <si>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</si>
  <si>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</si>
  <si>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</si>
  <si>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</si>
  <si>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</si>
  <si>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</si>
  <si>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</si>
  <si>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</si>
  <si>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</si>
  <si>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</si>
  <si>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</si>
  <si>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</si>
  <si>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</si>
  <si>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</si>
  <si>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</si>
  <si>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</si>
  <si>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</si>
  <si>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</si>
  <si>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</si>
  <si>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</si>
  <si>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</si>
  <si>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</si>
  <si>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</si>
  <si>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</si>
  <si>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</si>
  <si>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</si>
  <si>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</si>
  <si>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</si>
  <si>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</si>
  <si>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</si>
  <si>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</si>
  <si>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</si>
  <si>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</si>
  <si>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</si>
  <si>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</si>
  <si>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</si>
  <si>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</si>
  <si>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</si>
  <si>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</si>
  <si>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</si>
  <si>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</si>
  <si>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</si>
  <si>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</si>
  <si>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</si>
  <si>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</si>
  <si>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</si>
  <si>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</si>
  <si>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</si>
  <si>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</si>
  <si>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</si>
  <si>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</si>
  <si>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</si>
  <si>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</si>
  <si>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</si>
  <si>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</si>
  <si>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</si>
  <si>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</si>
  <si>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</si>
  <si>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</si>
  <si>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</si>
  <si>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</si>
  <si>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</si>
  <si>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</si>
  <si>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</si>
  <si>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</si>
  <si>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</si>
  <si>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</si>
  <si>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</si>
  <si>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</si>
  <si>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</si>
  <si>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</si>
  <si>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</si>
  <si>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</si>
  <si>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</si>
  <si>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</si>
  <si>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</si>
  <si>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</si>
  <si>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</si>
  <si>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</si>
  <si>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</si>
  <si>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</si>
  <si>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</si>
  <si>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</si>
  <si>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</si>
  <si>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</si>
  <si>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</si>
  <si>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</si>
  <si>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</si>
  <si>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</si>
  <si>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</si>
  <si>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</si>
  <si>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</si>
  <si>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</si>
  <si>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</si>
  <si>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</si>
  <si>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</si>
  <si>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</si>
  <si>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</si>
  <si>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</si>
  <si>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</si>
  <si>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</si>
  <si>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</si>
  <si>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</si>
  <si>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</si>
  <si>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</si>
  <si>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</si>
  <si>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</si>
  <si>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</si>
  <si>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</si>
  <si>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</si>
  <si>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</si>
  <si>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</si>
  <si>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</si>
  <si>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</si>
  <si>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</si>
  <si>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</si>
  <si>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</si>
  <si>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</si>
  <si>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</si>
  <si>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</si>
  <si>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</si>
  <si>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</si>
  <si>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</si>
  <si>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</si>
  <si>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</si>
  <si>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</si>
  <si>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</si>
  <si>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</si>
  <si>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</si>
  <si>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</si>
  <si>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</si>
  <si>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</si>
  <si>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</si>
  <si>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</si>
  <si>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</si>
  <si>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</si>
  <si>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</si>
  <si>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</si>
  <si>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</si>
  <si>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</si>
  <si>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</si>
  <si>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</si>
  <si>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</si>
  <si>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</si>
  <si>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</si>
  <si>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</si>
  <si>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</si>
  <si>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</si>
  <si>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</si>
  <si>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</si>
  <si>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</si>
  <si>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</si>
  <si>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</si>
  <si>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</si>
  <si>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</si>
  <si>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</si>
  <si>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</si>
  <si>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</si>
  <si>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</si>
  <si>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</si>
  <si>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</si>
  <si>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</si>
  <si>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</si>
  <si>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</si>
  <si>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</si>
  <si>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</si>
  <si>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</si>
  <si>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</si>
  <si>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</si>
  <si>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</si>
  <si>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</si>
  <si>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</si>
  <si>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</si>
  <si>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</si>
  <si>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</si>
  <si>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</si>
  <si>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</si>
  <si>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</si>
  <si>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</si>
  <si>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</si>
  <si>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</si>
  <si>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</si>
  <si>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</si>
  <si>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</si>
  <si>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</si>
  <si>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</si>
  <si>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</si>
  <si>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</si>
  <si>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</si>
  <si>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</si>
  <si>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</si>
  <si>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</si>
  <si>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</si>
  <si>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</si>
  <si>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</si>
  <si>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</si>
  <si>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</si>
  <si>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</si>
  <si>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</si>
  <si>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</si>
  <si>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</si>
  <si>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</si>
  <si>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</si>
  <si>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</si>
  <si>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</si>
  <si>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</si>
  <si>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</si>
  <si>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</si>
  <si>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</si>
  <si>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</si>
  <si>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</si>
  <si>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</si>
  <si>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</si>
  <si>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</si>
  <si>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</si>
  <si>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</si>
  <si>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</si>
  <si>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</si>
  <si>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</si>
  <si>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</si>
  <si>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</si>
  <si>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</si>
  <si>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</si>
  <si>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</si>
  <si>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</si>
  <si>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</si>
  <si>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</si>
  <si>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</si>
  <si>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</si>
  <si>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</si>
  <si>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</si>
  <si>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</si>
  <si>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</si>
  <si>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</si>
  <si>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</si>
  <si>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</si>
  <si>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</si>
  <si>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</si>
  <si>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</si>
  <si>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</si>
  <si>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</si>
  <si>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</si>
  <si>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</si>
  <si>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</si>
  <si>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</si>
  <si>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</si>
  <si>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</si>
  <si>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</si>
  <si>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</si>
  <si>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</si>
  <si>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</si>
  <si>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</si>
  <si>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</si>
  <si>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</si>
  <si>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</si>
  <si>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</si>
  <si>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</si>
  <si>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</si>
  <si>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</si>
  <si>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</si>
  <si>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</si>
  <si>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</si>
  <si>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</si>
  <si>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</si>
  <si>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</si>
  <si>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</si>
  <si>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</si>
  <si>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</si>
  <si>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</si>
  <si>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</si>
  <si>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</si>
  <si>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</si>
  <si>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</si>
  <si>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</si>
  <si>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</si>
  <si>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</si>
  <si>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</si>
  <si>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</si>
  <si>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</si>
  <si>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</si>
  <si>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</si>
  <si>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</si>
  <si>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</si>
  <si>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</si>
  <si>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</si>
  <si>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</si>
  <si>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</si>
  <si>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</si>
  <si>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</si>
  <si>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</si>
  <si>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</si>
  <si>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</si>
  <si>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</si>
  <si>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</si>
  <si>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</si>
  <si>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</si>
  <si>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</si>
  <si>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</si>
  <si>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</si>
  <si>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</si>
  <si>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</si>
  <si>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</si>
  <si>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</si>
  <si>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</si>
  <si>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</si>
  <si>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</si>
  <si>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</si>
  <si>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</si>
  <si>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</si>
  <si>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</si>
  <si>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</si>
  <si>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</si>
  <si>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</si>
  <si>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</si>
  <si>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</si>
  <si>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</si>
  <si>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</si>
  <si>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</si>
  <si>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</si>
  <si>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</si>
  <si>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</si>
  <si>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</si>
  <si>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</si>
  <si>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</si>
  <si>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</si>
  <si>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</si>
  <si>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</si>
  <si>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</si>
  <si>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</si>
  <si>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</si>
  <si>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</si>
  <si>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</si>
  <si>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</si>
  <si>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</si>
  <si>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</si>
  <si>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</si>
  <si>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</si>
  <si>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</si>
  <si>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</si>
  <si>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</si>
  <si>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</si>
  <si>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</si>
  <si>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</si>
  <si>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</si>
  <si>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</si>
  <si>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</si>
  <si>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</si>
  <si>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</si>
  <si>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</si>
  <si>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</si>
  <si>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</si>
  <si>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</si>
  <si>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</si>
  <si>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</si>
  <si>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</si>
  <si>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</si>
  <si>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</si>
  <si>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</si>
  <si>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</si>
  <si>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</si>
  <si>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</si>
  <si>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</si>
  <si>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</si>
  <si>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</si>
  <si>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</si>
  <si>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</si>
  <si>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</si>
  <si>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</si>
  <si>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</si>
  <si>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</si>
  <si>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</si>
  <si>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Kendall</t>
  </si>
  <si>
    <t>413 Chicago Road</t>
  </si>
  <si>
    <t xml:space="preserve">Newark  </t>
  </si>
  <si>
    <t>asmith@nchs18.org</t>
  </si>
  <si>
    <t>Amy Smith</t>
  </si>
  <si>
    <t>815-695-5164</t>
  </si>
  <si>
    <t>815-695-5752</t>
  </si>
  <si>
    <t>x</t>
  </si>
  <si>
    <t>Mack &amp; Associates, P.C.</t>
  </si>
  <si>
    <t>Tawnya Mack, CPA</t>
  </si>
  <si>
    <t>116 E. Washington St., Suite One</t>
  </si>
  <si>
    <t>Morris</t>
  </si>
  <si>
    <t>IL</t>
  </si>
  <si>
    <t>815-942-3306</t>
  </si>
  <si>
    <t>815-942-9430</t>
  </si>
  <si>
    <t>tmack@mackcpas.com</t>
  </si>
  <si>
    <t>G.O. Bond Series 2016</t>
  </si>
  <si>
    <t>Newark Grade School (NGS) &amp; Lisbon Grade School</t>
  </si>
  <si>
    <t>Illinois Energy Consortium; Natural Gas and Electricity</t>
  </si>
  <si>
    <t>NGS, Yorkville HS, CORE Academy; SEAL</t>
  </si>
  <si>
    <t>VALEES</t>
  </si>
  <si>
    <t xml:space="preserve">Newark Grade School  </t>
  </si>
  <si>
    <t>Lisbon Grade School</t>
  </si>
  <si>
    <t>Regional Office of Education #24</t>
  </si>
  <si>
    <t>Professional Development Alliance, NGS, VALEES</t>
  </si>
  <si>
    <t>NGS &amp; Lisbon Grade School</t>
  </si>
  <si>
    <t>Plano Area Special Education Cooperative</t>
  </si>
  <si>
    <t>IVVC</t>
  </si>
  <si>
    <t>MCC Technology, Newark Net</t>
  </si>
  <si>
    <t>Newark Grade School</t>
  </si>
  <si>
    <t>Indian Valley Vocational Center &amp; VALEES</t>
  </si>
  <si>
    <t>Home School Students, Drivers Ed Classes</t>
  </si>
  <si>
    <t>Page 9, Line 17, O&amp;M Fund - Payment of Land Cash, Millbrook Permit Fee</t>
  </si>
  <si>
    <t>Page 11, Line 106, Educational Fund - Teacher Insurance Reimb., reimbursements for computer sales, books.</t>
  </si>
  <si>
    <t>Page 11, Line 107, O&amp;M Fund - Reimbursements, Parking Fees</t>
  </si>
  <si>
    <t>066-005100</t>
  </si>
  <si>
    <t>See PDF Audit in Opinion Page with signature</t>
  </si>
  <si>
    <t>O&amp;M - O&amp;M PLANT - PURCHASED SERVICES</t>
  </si>
  <si>
    <t>A-1 PROPERTY SERVICES</t>
  </si>
  <si>
    <t>ED - EDUC. MEDIA - PURCHASED SERVICES</t>
  </si>
  <si>
    <t>20-2540-300</t>
  </si>
  <si>
    <t>10-2220-300</t>
  </si>
  <si>
    <t>POWER SCHOOL</t>
  </si>
  <si>
    <t>CMS ACCOUNTING</t>
  </si>
  <si>
    <t>TORT - LOSS PREVENTION - PURCHASED SERVICES</t>
  </si>
  <si>
    <t>80-2367-300</t>
  </si>
  <si>
    <t>CORRECT MONITORING SERVICE</t>
  </si>
  <si>
    <t>DLA ARCHITECTS</t>
  </si>
  <si>
    <t>FPLS - FACILITIES - PURCHASED SERVICES</t>
  </si>
  <si>
    <t>90-2530-300</t>
  </si>
  <si>
    <t>TORT - WORKERS' COMP - PURCHASED SERVICES</t>
  </si>
  <si>
    <t>EMPLOYERS ASSURANCE CO</t>
  </si>
  <si>
    <t>ETERNALLY GREEN LAWN CARE</t>
  </si>
  <si>
    <t>ED - EXEC. ADMIN - PURCHASED SERVICES</t>
  </si>
  <si>
    <t>10-2320-300</t>
  </si>
  <si>
    <t>TIAA COMMERCIAL FINANCE</t>
  </si>
  <si>
    <t>ED - FISCAL SERVICES - PURCHASED SERVICES</t>
  </si>
  <si>
    <t>10-2520-300</t>
  </si>
  <si>
    <t>FRONTLINE TECHNOLOGIES</t>
  </si>
  <si>
    <t>10-2220-400</t>
  </si>
  <si>
    <t>ED - EDUC. MEDIA - SUPPLIES</t>
  </si>
  <si>
    <t>GALE.COM</t>
  </si>
  <si>
    <t>10-2310-300</t>
  </si>
  <si>
    <t>HASLER</t>
  </si>
  <si>
    <t>ED - INFO. SERVICES - PURCHASED SERVICES</t>
  </si>
  <si>
    <t>10-2360-300</t>
  </si>
  <si>
    <t>LEAF</t>
  </si>
  <si>
    <t>TORT - INSURANCE - PURCHASED SERVICES</t>
  </si>
  <si>
    <t>LIBERTY MUTUAL INSURANCE</t>
  </si>
  <si>
    <t>TRANS - TRANSPORT - PURCHASED SERVICES</t>
  </si>
  <si>
    <t>40-2550-300</t>
  </si>
  <si>
    <t>ED - BOARD OF ED - PURCHASED SERVICES</t>
  </si>
  <si>
    <t>MACK &amp; ASSOCIATES, P.C.</t>
  </si>
  <si>
    <t>MAIL FINANCE</t>
  </si>
  <si>
    <t>MCC TECHNOLOGY</t>
  </si>
  <si>
    <t>10-2550-300</t>
  </si>
  <si>
    <t>MIDWEST TRANSIT</t>
  </si>
  <si>
    <t>NEOPOST</t>
  </si>
  <si>
    <t>ED - INSTRUCTIONAL - PURCHASED SERVICES</t>
  </si>
  <si>
    <t>10-1100-300</t>
  </si>
  <si>
    <t>VISTA LEARNING NFP</t>
  </si>
  <si>
    <t xml:space="preserve">XEROX </t>
  </si>
  <si>
    <t>Page 11, Line 107, Tort Fund - Insurance reimbursement</t>
  </si>
  <si>
    <t>Page 16, Line 73, Educational Fund - student awards and other expenditures</t>
  </si>
  <si>
    <t>Newark CHSD 18</t>
  </si>
  <si>
    <t>10-2300-300</t>
  </si>
  <si>
    <t>10-2200-400</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</si>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</sst>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xdr:row>
          <xdr:rowOff>57150</xdr:rowOff>
        </xdr:from>
        <xdr:to>
          <xdr:col>1</xdr:col>
          <xdr:colOff>771525</xdr:colOff>
          <xdr:row>5</xdr:row>
          <xdr:rowOff>114300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1</xdr:row>
          <xdr:rowOff>76200</xdr:rowOff>
        </xdr:from>
        <xdr:to>
          <xdr:col>1</xdr:col>
          <xdr:colOff>1771650</xdr:colOff>
          <xdr:row>5</xdr:row>
          <xdr:rowOff>133350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1</xdr:row>
          <xdr:rowOff>76200</xdr:rowOff>
        </xdr:from>
        <xdr:to>
          <xdr:col>1</xdr:col>
          <xdr:colOff>2800350</xdr:colOff>
          <xdr:row>5</xdr:row>
          <xdr:rowOff>133350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1</xdr:row>
          <xdr:rowOff>66675</xdr:rowOff>
        </xdr:from>
        <xdr:to>
          <xdr:col>1</xdr:col>
          <xdr:colOff>3933825</xdr:colOff>
          <xdr:row>5</xdr:row>
          <xdr:rowOff>104775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FC74C400-67BB-40B9-B6F0-2B373C33A9D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69273</xdr:colOff>
          <xdr:row>2</xdr:row>
          <xdr:rowOff>25978</xdr:rowOff>
        </xdr:from>
        <xdr:to>
          <xdr:col>4</xdr:col>
          <xdr:colOff>374938</xdr:colOff>
          <xdr:row>6</xdr:row>
          <xdr:rowOff>142010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24047018016</v>
      </c>
      <c r="B13" s="2004"/>
      <c r="C13" s="2004"/>
      <c r="D13" s="2004"/>
      <c r="E13" s="2004"/>
      <c r="F13" s="2004"/>
      <c r="G13" s="2004"/>
      <c r="H13" s="2005"/>
      <c r="I13" s="31"/>
      <c r="J13" s="30"/>
      <c r="K13" s="28"/>
      <c r="L13" s="30"/>
      <c r="M13" s="30"/>
      <c r="N13" s="30"/>
      <c r="O13" s="30"/>
      <c r="P13" s="30"/>
      <c r="Q13" s="30"/>
      <c r="R13" s="30"/>
      <c r="S13" s="30"/>
      <c r="T13" s="2008" t="s">
        <v>2086</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2087</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2162</v>
      </c>
      <c r="B17" s="2031"/>
      <c r="C17" s="2031"/>
      <c r="D17" s="2031"/>
      <c r="E17" s="2031"/>
      <c r="F17" s="2031"/>
      <c r="G17" s="2031"/>
      <c r="H17" s="2032"/>
      <c r="T17" s="2018" t="s">
        <v>2088</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2079</v>
      </c>
      <c r="B19" s="2002"/>
      <c r="C19" s="2002"/>
      <c r="D19" s="2002"/>
      <c r="E19" s="2002"/>
      <c r="F19" s="2002"/>
      <c r="G19" s="2002"/>
      <c r="H19" s="2000"/>
      <c r="I19" s="30"/>
      <c r="J19" s="99"/>
      <c r="K19" s="40"/>
      <c r="L19" s="38"/>
      <c r="M19" s="112" t="s">
        <v>333</v>
      </c>
      <c r="P19" s="27"/>
      <c r="Q19" s="27"/>
      <c r="R19" s="27"/>
      <c r="S19" s="31"/>
      <c r="T19" s="2001" t="s">
        <v>2089</v>
      </c>
      <c r="U19" s="1999"/>
      <c r="V19" s="1999"/>
      <c r="W19" s="2000"/>
      <c r="X19" s="2016" t="s">
        <v>2090</v>
      </c>
      <c r="Y19" s="2017"/>
      <c r="Z19" s="2014">
        <v>60450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2080</v>
      </c>
      <c r="B21" s="1999"/>
      <c r="C21" s="1999"/>
      <c r="D21" s="1999"/>
      <c r="E21" s="1999"/>
      <c r="F21" s="1999"/>
      <c r="G21" s="1999"/>
      <c r="H21" s="2000"/>
      <c r="I21" s="2024" t="s">
        <v>699</v>
      </c>
      <c r="J21" s="1987"/>
      <c r="K21" s="1987"/>
      <c r="L21" s="1987"/>
      <c r="M21" s="1987"/>
      <c r="N21" s="1987"/>
      <c r="O21" s="1987"/>
      <c r="P21" s="1987"/>
      <c r="Q21" s="1987"/>
      <c r="R21" s="1987"/>
      <c r="S21" s="1988"/>
      <c r="T21" s="1966" t="s">
        <v>2091</v>
      </c>
      <c r="U21" s="1967"/>
      <c r="V21" s="1967"/>
      <c r="W21" s="1967"/>
      <c r="X21" s="1980" t="s">
        <v>2092</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2081</v>
      </c>
      <c r="B23" s="2022"/>
      <c r="C23" s="2022"/>
      <c r="D23" s="2022"/>
      <c r="E23" s="2022"/>
      <c r="F23" s="2022"/>
      <c r="G23" s="2022"/>
      <c r="H23" s="2023"/>
      <c r="T23" s="1961" t="s">
        <v>2113</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60541</v>
      </c>
      <c r="B25" s="1999"/>
      <c r="C25" s="1999"/>
      <c r="D25" s="1999"/>
      <c r="E25" s="1999"/>
      <c r="F25" s="1999"/>
      <c r="G25" s="1999"/>
      <c r="H25" s="2000"/>
      <c r="I25" s="113"/>
      <c r="J25" s="2065"/>
      <c r="K25" s="2065"/>
      <c r="L25" s="2065"/>
      <c r="M25" s="2065"/>
      <c r="N25" s="2065"/>
      <c r="O25" s="2065"/>
      <c r="P25" s="2065"/>
      <c r="Q25" s="2065"/>
      <c r="R25" s="2065"/>
      <c r="S25" s="2066"/>
      <c r="T25" s="1958" t="s">
        <v>2093</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2082</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2081</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2083</v>
      </c>
      <c r="B42" s="2048"/>
      <c r="C42" s="2049"/>
      <c r="D42" s="2062" t="s">
        <v>2084</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1893989</v>
      </c>
      <c r="C4" s="1546">
        <v>970688</v>
      </c>
      <c r="D4" s="1774">
        <f>B4-C4</f>
        <v>923301</v>
      </c>
      <c r="E4" s="1546">
        <v>1867685</v>
      </c>
      <c r="F4" s="1774">
        <f>E4-C4</f>
        <v>896997</v>
      </c>
    </row>
    <row r="5" spans="1:6" ht="13.7" customHeight="1" x14ac:dyDescent="0.2">
      <c r="A5" s="716" t="s">
        <v>925</v>
      </c>
      <c r="B5" s="1772">
        <f>'Revenues 9-14'!D5</f>
        <v>283531</v>
      </c>
      <c r="C5" s="585">
        <v>145313</v>
      </c>
      <c r="D5" s="1775">
        <f t="shared" ref="D5:D18" si="0">B5-C5</f>
        <v>138218</v>
      </c>
      <c r="E5" s="585">
        <v>279594</v>
      </c>
      <c r="F5" s="1775">
        <f>E5-C5</f>
        <v>134281</v>
      </c>
    </row>
    <row r="6" spans="1:6" ht="13.7" customHeight="1" x14ac:dyDescent="0.2">
      <c r="A6" s="716" t="s">
        <v>431</v>
      </c>
      <c r="B6" s="1772">
        <f>'Revenues 9-14'!E5</f>
        <v>166455</v>
      </c>
      <c r="C6" s="585">
        <v>85030</v>
      </c>
      <c r="D6" s="1775">
        <f t="shared" si="0"/>
        <v>81425</v>
      </c>
      <c r="E6" s="585">
        <v>163814</v>
      </c>
      <c r="F6" s="1775">
        <f t="shared" ref="F6:F18" si="1">E6-C6</f>
        <v>78784</v>
      </c>
    </row>
    <row r="7" spans="1:6" ht="13.7" customHeight="1" x14ac:dyDescent="0.2">
      <c r="A7" s="716" t="s">
        <v>157</v>
      </c>
      <c r="B7" s="1772">
        <f>'Revenues 9-14'!F5</f>
        <v>136095</v>
      </c>
      <c r="C7" s="585">
        <v>69750</v>
      </c>
      <c r="D7" s="1775">
        <f t="shared" si="0"/>
        <v>66345</v>
      </c>
      <c r="E7" s="585">
        <v>134205</v>
      </c>
      <c r="F7" s="1775">
        <f t="shared" si="1"/>
        <v>64455</v>
      </c>
    </row>
    <row r="8" spans="1:6" ht="13.7" customHeight="1" x14ac:dyDescent="0.2">
      <c r="A8" s="716" t="s">
        <v>1241</v>
      </c>
      <c r="B8" s="1772">
        <f>'Revenues 9-14'!G5</f>
        <v>58671</v>
      </c>
      <c r="C8" s="585">
        <v>32748</v>
      </c>
      <c r="D8" s="1775">
        <f t="shared" si="0"/>
        <v>25923</v>
      </c>
      <c r="E8" s="585">
        <v>63088</v>
      </c>
      <c r="F8" s="1775">
        <f t="shared" si="1"/>
        <v>30340</v>
      </c>
    </row>
    <row r="9" spans="1:6" ht="13.7" customHeight="1" x14ac:dyDescent="0.2">
      <c r="A9" s="716" t="s">
        <v>428</v>
      </c>
      <c r="B9" s="1772">
        <f>'Revenues 9-14'!H5</f>
        <v>0</v>
      </c>
      <c r="C9" s="585">
        <v>0</v>
      </c>
      <c r="D9" s="1775">
        <f t="shared" si="0"/>
        <v>0</v>
      </c>
      <c r="E9" s="585"/>
      <c r="F9" s="1775">
        <f t="shared" si="1"/>
        <v>0</v>
      </c>
    </row>
    <row r="10" spans="1:6" ht="13.7" customHeight="1" x14ac:dyDescent="0.2">
      <c r="A10" s="716" t="s">
        <v>427</v>
      </c>
      <c r="B10" s="1772">
        <f>'Revenues 9-14'!I5</f>
        <v>56706</v>
      </c>
      <c r="C10" s="585">
        <v>29062</v>
      </c>
      <c r="D10" s="1775">
        <f t="shared" si="0"/>
        <v>27644</v>
      </c>
      <c r="E10" s="585">
        <v>55919</v>
      </c>
      <c r="F10" s="1775">
        <f t="shared" si="1"/>
        <v>26857</v>
      </c>
    </row>
    <row r="11" spans="1:6" x14ac:dyDescent="0.2">
      <c r="A11" s="716" t="s">
        <v>429</v>
      </c>
      <c r="B11" s="1772">
        <f>'Revenues 9-14'!J5</f>
        <v>194298</v>
      </c>
      <c r="C11" s="585">
        <v>98231</v>
      </c>
      <c r="D11" s="1775">
        <f t="shared" si="0"/>
        <v>96067</v>
      </c>
      <c r="E11" s="585">
        <v>189244</v>
      </c>
      <c r="F11" s="1775">
        <f t="shared" si="1"/>
        <v>91013</v>
      </c>
    </row>
    <row r="12" spans="1:6" ht="13.7" customHeight="1" x14ac:dyDescent="0.2">
      <c r="A12" s="716" t="s">
        <v>159</v>
      </c>
      <c r="B12" s="1772">
        <f>'Revenues 9-14'!K5</f>
        <v>56706</v>
      </c>
      <c r="C12" s="585">
        <v>29062</v>
      </c>
      <c r="D12" s="1775">
        <f t="shared" si="0"/>
        <v>27644</v>
      </c>
      <c r="E12" s="585">
        <v>55919</v>
      </c>
      <c r="F12" s="1775">
        <f t="shared" si="1"/>
        <v>26857</v>
      </c>
    </row>
    <row r="13" spans="1:6" ht="13.7" customHeight="1" x14ac:dyDescent="0.2">
      <c r="A13" s="716" t="s">
        <v>993</v>
      </c>
      <c r="B13" s="1772">
        <f>SUM('Revenues 9-14'!C6:D6)</f>
        <v>53631</v>
      </c>
      <c r="C13" s="585">
        <v>25987</v>
      </c>
      <c r="D13" s="1775">
        <f t="shared" si="0"/>
        <v>27644</v>
      </c>
      <c r="E13" s="585">
        <v>50065</v>
      </c>
      <c r="F13" s="1775">
        <f t="shared" si="1"/>
        <v>24078</v>
      </c>
    </row>
    <row r="14" spans="1:6" ht="13.7" customHeight="1" x14ac:dyDescent="0.2">
      <c r="A14" s="716" t="s">
        <v>430</v>
      </c>
      <c r="B14" s="1772">
        <f>SUM('Revenues 9-14'!C7:D7,'Revenues 9-14'!F7:H7)</f>
        <v>22682</v>
      </c>
      <c r="C14" s="585">
        <v>11625</v>
      </c>
      <c r="D14" s="1775">
        <f t="shared" si="0"/>
        <v>11057</v>
      </c>
      <c r="E14" s="585">
        <v>22367</v>
      </c>
      <c r="F14" s="1775">
        <f t="shared" si="1"/>
        <v>10742</v>
      </c>
    </row>
    <row r="15" spans="1:6" ht="13.7" customHeight="1" x14ac:dyDescent="0.2">
      <c r="A15" s="716" t="s">
        <v>1220</v>
      </c>
      <c r="B15" s="1772">
        <f>'Revenues 9-14'!E9</f>
        <v>0</v>
      </c>
      <c r="C15" s="585">
        <v>0</v>
      </c>
      <c r="D15" s="1775">
        <f t="shared" si="0"/>
        <v>0</v>
      </c>
      <c r="E15" s="585"/>
      <c r="F15" s="1775">
        <f t="shared" si="1"/>
        <v>0</v>
      </c>
    </row>
    <row r="16" spans="1:6" ht="13.7" customHeight="1" x14ac:dyDescent="0.2">
      <c r="A16" s="716" t="s">
        <v>1221</v>
      </c>
      <c r="B16" s="1772">
        <f>'Revenues 9-14'!G8</f>
        <v>50917</v>
      </c>
      <c r="C16" s="585">
        <v>27028</v>
      </c>
      <c r="D16" s="1775">
        <f t="shared" si="0"/>
        <v>23889</v>
      </c>
      <c r="E16" s="585">
        <v>52071</v>
      </c>
      <c r="F16" s="1775">
        <f t="shared" si="1"/>
        <v>25043</v>
      </c>
    </row>
    <row r="17" spans="1:6" ht="13.7" customHeight="1" x14ac:dyDescent="0.2">
      <c r="A17" s="716" t="s">
        <v>1222</v>
      </c>
      <c r="B17" s="1772">
        <f>'Revenues 9-14'!C10</f>
        <v>0</v>
      </c>
      <c r="C17" s="585">
        <v>0</v>
      </c>
      <c r="D17" s="1775">
        <f t="shared" si="0"/>
        <v>0</v>
      </c>
      <c r="E17" s="585"/>
      <c r="F17" s="1775">
        <f t="shared" si="1"/>
        <v>0</v>
      </c>
    </row>
    <row r="18" spans="1:6" ht="13.7" customHeight="1" x14ac:dyDescent="0.2">
      <c r="A18" s="716" t="s">
        <v>786</v>
      </c>
      <c r="B18" s="1772">
        <f>SUM('Revenues 9-14'!C11:K11)</f>
        <v>0</v>
      </c>
      <c r="C18" s="585">
        <v>0</v>
      </c>
      <c r="D18" s="1775">
        <f t="shared" si="0"/>
        <v>0</v>
      </c>
      <c r="E18" s="585"/>
      <c r="F18" s="1775">
        <f t="shared" si="1"/>
        <v>0</v>
      </c>
    </row>
    <row r="19" spans="1:6" ht="13.7" customHeight="1" thickBot="1" x14ac:dyDescent="0.25">
      <c r="A19" s="1776" t="s">
        <v>1223</v>
      </c>
      <c r="B19" s="1773">
        <f>SUM(B4:B18)</f>
        <v>2973681</v>
      </c>
      <c r="C19" s="1773">
        <f>SUM(C4:C18)</f>
        <v>1524524</v>
      </c>
      <c r="D19" s="1773">
        <f>SUM(D4:D18)</f>
        <v>1449157</v>
      </c>
      <c r="E19" s="1773">
        <f>SUM(E4:E18)</f>
        <v>2933971</v>
      </c>
      <c r="F19" s="1773">
        <f>SUM(F4:F18)</f>
        <v>1409447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I31" sqref="I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7" t="s">
        <v>2036</v>
      </c>
      <c r="D2" s="724" t="s">
        <v>2043</v>
      </c>
      <c r="E2" s="724" t="s">
        <v>2044</v>
      </c>
      <c r="F2" s="1907"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1772</v>
      </c>
      <c r="E30" s="1908" t="s">
        <v>2038</v>
      </c>
      <c r="F30" s="1908" t="s">
        <v>2039</v>
      </c>
      <c r="G30" s="1908" t="s">
        <v>2042</v>
      </c>
      <c r="H30" s="1908" t="s">
        <v>2040</v>
      </c>
      <c r="I30" s="1908" t="s">
        <v>2041</v>
      </c>
      <c r="J30" s="1909" t="s">
        <v>2</v>
      </c>
      <c r="K30" s="732"/>
    </row>
    <row r="31" spans="1:11" ht="12" customHeight="1" x14ac:dyDescent="0.2">
      <c r="A31" s="733" t="s">
        <v>2094</v>
      </c>
      <c r="B31" s="734">
        <v>42415</v>
      </c>
      <c r="C31" s="735">
        <v>450000</v>
      </c>
      <c r="D31" s="736">
        <v>6</v>
      </c>
      <c r="E31" s="735">
        <v>310000</v>
      </c>
      <c r="F31" s="735"/>
      <c r="G31" s="735"/>
      <c r="H31" s="735">
        <v>150000</v>
      </c>
      <c r="I31" s="1778">
        <f>((E31+F31)-H31)+G31</f>
        <v>160000</v>
      </c>
      <c r="J31" s="735">
        <f>160000-88998</f>
        <v>71002</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450000</v>
      </c>
      <c r="D49" s="746"/>
      <c r="E49" s="1778">
        <f t="shared" ref="E49:J49" si="2">SUM(E31:E48)</f>
        <v>310000</v>
      </c>
      <c r="F49" s="1778">
        <f t="shared" si="2"/>
        <v>0</v>
      </c>
      <c r="G49" s="1778">
        <f t="shared" si="2"/>
        <v>0</v>
      </c>
      <c r="H49" s="1778">
        <f t="shared" si="2"/>
        <v>150000</v>
      </c>
      <c r="I49" s="1778">
        <f t="shared" si="2"/>
        <v>160000</v>
      </c>
      <c r="J49" s="1778">
        <f t="shared" si="2"/>
        <v>71002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22682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2200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7546</v>
      </c>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22682</v>
      </c>
      <c r="I12" s="1780">
        <f>SUM(I5:I11)</f>
        <v>0</v>
      </c>
      <c r="J12" s="1780">
        <f>SUM(J5:J11)</f>
        <v>0</v>
      </c>
      <c r="K12" s="1780">
        <f>SUM(K5:K11)</f>
        <v>9746</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22682</v>
      </c>
      <c r="I14" s="772"/>
      <c r="J14" s="774"/>
      <c r="K14" s="766">
        <v>9746</v>
      </c>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22682</v>
      </c>
      <c r="I23" s="1780">
        <f>SUM(I14:I16,I21,I22)</f>
        <v>0</v>
      </c>
      <c r="J23" s="1780">
        <f>SUM(J14:J16,J21,J22)</f>
        <v>0</v>
      </c>
      <c r="K23" s="1780">
        <f>SUM(K14:K16,K21,K22)</f>
        <v>9746</v>
      </c>
    </row>
    <row r="24" spans="1:11" ht="14.25" thickTop="1" thickBot="1" x14ac:dyDescent="0.25">
      <c r="A24" s="2252" t="s">
        <v>2024</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177257</v>
      </c>
      <c r="D5" s="842"/>
      <c r="E5" s="842"/>
      <c r="F5" s="1782">
        <f>(C5+D5)-E5</f>
        <v>177257</v>
      </c>
      <c r="G5" s="838"/>
      <c r="H5" s="843"/>
      <c r="I5" s="843"/>
      <c r="J5" s="843"/>
      <c r="K5" s="794"/>
      <c r="L5" s="1791">
        <f>F5-K5</f>
        <v>177257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3835225</v>
      </c>
      <c r="D8" s="845">
        <v>14195</v>
      </c>
      <c r="E8" s="845"/>
      <c r="F8" s="1782">
        <f>(C8+D8)-E8</f>
        <v>3849420</v>
      </c>
      <c r="G8" s="844">
        <v>50</v>
      </c>
      <c r="H8" s="766">
        <v>1422814</v>
      </c>
      <c r="I8" s="766">
        <v>69046</v>
      </c>
      <c r="J8" s="766"/>
      <c r="K8" s="1791">
        <f>(H8+I8)-J8</f>
        <v>1491860</v>
      </c>
      <c r="L8" s="1791">
        <f>F8-K8</f>
        <v>2357560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352375</v>
      </c>
      <c r="D10" s="847"/>
      <c r="E10" s="847"/>
      <c r="F10" s="1786">
        <f>(C10+D10)-E10</f>
        <v>352375</v>
      </c>
      <c r="G10" s="844">
        <v>20</v>
      </c>
      <c r="H10" s="848">
        <v>246812</v>
      </c>
      <c r="I10" s="848">
        <v>10935</v>
      </c>
      <c r="J10" s="848"/>
      <c r="K10" s="1791">
        <f>(H10+I10)-J10</f>
        <v>257747</v>
      </c>
      <c r="L10" s="1791">
        <f>F10-K10</f>
        <v>94628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729930</v>
      </c>
      <c r="D12" s="845">
        <v>49045</v>
      </c>
      <c r="E12" s="845"/>
      <c r="F12" s="1782">
        <f>(C12+D12)-E12</f>
        <v>778975</v>
      </c>
      <c r="G12" s="844">
        <v>10</v>
      </c>
      <c r="H12" s="766">
        <v>453212</v>
      </c>
      <c r="I12" s="766">
        <v>81755</v>
      </c>
      <c r="J12" s="766"/>
      <c r="K12" s="1791">
        <f>(H12+I12)-J12</f>
        <v>534967</v>
      </c>
      <c r="L12" s="1791">
        <f>F12-K12</f>
        <v>244008</v>
      </c>
    </row>
    <row r="13" spans="1:14" ht="14.25" thickTop="1" thickBot="1" x14ac:dyDescent="0.25">
      <c r="A13" s="849" t="s">
        <v>1184</v>
      </c>
      <c r="B13" s="841">
        <v>252</v>
      </c>
      <c r="C13" s="845">
        <v>9756</v>
      </c>
      <c r="D13" s="845"/>
      <c r="E13" s="845"/>
      <c r="F13" s="1782">
        <f>(C13+D13)-E13</f>
        <v>9756</v>
      </c>
      <c r="G13" s="844">
        <v>5</v>
      </c>
      <c r="H13" s="766">
        <v>9756</v>
      </c>
      <c r="I13" s="766"/>
      <c r="J13" s="766"/>
      <c r="K13" s="1791">
        <f>(H13+I13)-J13</f>
        <v>9756</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5104543</v>
      </c>
      <c r="D16" s="1782">
        <f>SUM(D3,D5:D6,D8:D10,D12:D15)</f>
        <v>63240</v>
      </c>
      <c r="E16" s="1782">
        <f>SUM(E3,E5:E6,E8:E10,E12:E15)</f>
        <v>0</v>
      </c>
      <c r="F16" s="1782">
        <f>SUM(F3,F5:F6,F8:F10,F12:F15)</f>
        <v>5167783</v>
      </c>
      <c r="G16" s="844"/>
      <c r="H16" s="1782">
        <f>SUM(H3,H6,H8:H10,H12:H14,)</f>
        <v>2132594</v>
      </c>
      <c r="I16" s="1782">
        <f>SUM(I3,I6,I8:I10,I12:I14,)</f>
        <v>161736</v>
      </c>
      <c r="J16" s="1782">
        <f>SUM(J3,J6,J8:J10,J12:J14,)</f>
        <v>0</v>
      </c>
      <c r="K16" s="1782">
        <f>(H16+I16)-J16</f>
        <v>2294330</v>
      </c>
      <c r="L16" s="1782">
        <f>F16-K16</f>
        <v>2873453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161736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2" activePane="bottomLeft" state="frozen"/>
      <selection activeCell="A47" sqref="A47"/>
      <selection pane="bottomLeft" activeCell="F185" sqref="F18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2469942</v>
      </c>
      <c r="G8" s="866"/>
    </row>
    <row r="9" spans="1:7" x14ac:dyDescent="0.2">
      <c r="A9" s="870" t="s">
        <v>480</v>
      </c>
      <c r="B9" s="871" t="s">
        <v>1988</v>
      </c>
      <c r="C9" s="872"/>
      <c r="D9" s="870" t="s">
        <v>522</v>
      </c>
      <c r="E9" s="869"/>
      <c r="F9" s="1933">
        <f>'Expenditures 15-22'!K151</f>
        <v>308336</v>
      </c>
      <c r="G9" s="873"/>
    </row>
    <row r="10" spans="1:7" x14ac:dyDescent="0.2">
      <c r="A10" s="870" t="s">
        <v>520</v>
      </c>
      <c r="B10" s="871" t="s">
        <v>1989</v>
      </c>
      <c r="C10" s="872"/>
      <c r="D10" s="870" t="s">
        <v>522</v>
      </c>
      <c r="E10" s="869"/>
      <c r="F10" s="1933">
        <f>'Expenditures 15-22'!K174</f>
        <v>161150</v>
      </c>
      <c r="G10" s="873"/>
    </row>
    <row r="11" spans="1:7" x14ac:dyDescent="0.2">
      <c r="A11" s="870" t="s">
        <v>481</v>
      </c>
      <c r="B11" s="871" t="s">
        <v>1990</v>
      </c>
      <c r="C11" s="872"/>
      <c r="D11" s="870" t="s">
        <v>522</v>
      </c>
      <c r="E11" s="869"/>
      <c r="F11" s="1933">
        <f>'Expenditures 15-22'!K210</f>
        <v>345413</v>
      </c>
      <c r="G11" s="873"/>
    </row>
    <row r="12" spans="1:7" x14ac:dyDescent="0.2">
      <c r="A12" s="870" t="s">
        <v>482</v>
      </c>
      <c r="B12" s="871" t="s">
        <v>1991</v>
      </c>
      <c r="C12" s="872"/>
      <c r="D12" s="870" t="s">
        <v>522</v>
      </c>
      <c r="E12" s="869"/>
      <c r="F12" s="1933">
        <f>'Expenditures 15-22'!K295</f>
        <v>131349</v>
      </c>
      <c r="G12" s="873"/>
    </row>
    <row r="13" spans="1:7" x14ac:dyDescent="0.2">
      <c r="A13" s="870" t="s">
        <v>108</v>
      </c>
      <c r="B13" s="871" t="s">
        <v>1992</v>
      </c>
      <c r="C13" s="872"/>
      <c r="D13" s="870" t="s">
        <v>522</v>
      </c>
      <c r="E13" s="869"/>
      <c r="F13" s="1933">
        <f>'Expenditures 15-22'!K342</f>
        <v>201168</v>
      </c>
      <c r="G13" s="874"/>
    </row>
    <row r="14" spans="1:7" ht="12" customHeight="1" thickBot="1" x14ac:dyDescent="0.25">
      <c r="A14" s="1792"/>
      <c r="B14" s="1793"/>
      <c r="C14" s="1794"/>
      <c r="D14" s="1795" t="s">
        <v>522</v>
      </c>
      <c r="E14" s="1796" t="s">
        <v>1015</v>
      </c>
      <c r="F14" s="1797">
        <f>SUM(F8:F13)</f>
        <v>3617358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107561</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9927</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357914</v>
      </c>
      <c r="G53" s="866"/>
    </row>
    <row r="54" spans="1:7" x14ac:dyDescent="0.2">
      <c r="A54" s="870" t="s">
        <v>479</v>
      </c>
      <c r="B54" s="870" t="s">
        <v>1552</v>
      </c>
      <c r="C54" s="890" t="s">
        <v>1039</v>
      </c>
      <c r="D54" s="886" t="s">
        <v>1157</v>
      </c>
      <c r="E54" s="869"/>
      <c r="F54" s="1937">
        <f>'Expenditures 15-22'!G114</f>
        <v>51462</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7">
        <f>'Expenditures 15-22'!K139</f>
        <v>0</v>
      </c>
      <c r="G57" s="866"/>
    </row>
    <row r="58" spans="1:7" x14ac:dyDescent="0.2">
      <c r="A58" s="870" t="s">
        <v>480</v>
      </c>
      <c r="B58" s="870" t="s">
        <v>1994</v>
      </c>
      <c r="C58" s="887" t="s">
        <v>1039</v>
      </c>
      <c r="D58" s="886" t="s">
        <v>1157</v>
      </c>
      <c r="E58" s="869"/>
      <c r="F58" s="1939">
        <f>'Expenditures 15-22'!G151</f>
        <v>70501</v>
      </c>
      <c r="G58" s="866"/>
    </row>
    <row r="59" spans="1:7" x14ac:dyDescent="0.2">
      <c r="A59" s="894" t="s">
        <v>480</v>
      </c>
      <c r="B59" s="857" t="s">
        <v>1995</v>
      </c>
      <c r="C59" s="895" t="s">
        <v>1039</v>
      </c>
      <c r="D59" s="857" t="s">
        <v>309</v>
      </c>
      <c r="F59" s="1940">
        <f>'Expenditures 15-22'!I151</f>
        <v>0</v>
      </c>
      <c r="G59" s="866"/>
    </row>
    <row r="60" spans="1:7" x14ac:dyDescent="0.2">
      <c r="A60" s="894" t="s">
        <v>520</v>
      </c>
      <c r="B60" s="857" t="s">
        <v>1996</v>
      </c>
      <c r="C60" s="895">
        <v>4000</v>
      </c>
      <c r="D60" s="857" t="s">
        <v>330</v>
      </c>
      <c r="F60" s="1938">
        <f>'Expenditures 15-22'!K160</f>
        <v>0</v>
      </c>
      <c r="G60" s="866"/>
    </row>
    <row r="61" spans="1:7" x14ac:dyDescent="0.2">
      <c r="A61" s="896" t="s">
        <v>520</v>
      </c>
      <c r="B61" s="896" t="s">
        <v>1997</v>
      </c>
      <c r="C61" s="897" t="str">
        <f>'Expenditures 15-22'!B170</f>
        <v>5300</v>
      </c>
      <c r="D61" s="898" t="s">
        <v>329</v>
      </c>
      <c r="E61" s="880"/>
      <c r="F61" s="1937">
        <f>'Expenditures 15-22'!K170</f>
        <v>150000</v>
      </c>
      <c r="G61" s="866"/>
    </row>
    <row r="62" spans="1:7" x14ac:dyDescent="0.2">
      <c r="A62" s="870" t="s">
        <v>481</v>
      </c>
      <c r="B62" s="870" t="s">
        <v>1998</v>
      </c>
      <c r="C62" s="887">
        <f>'Expenditures 15-22'!B185</f>
        <v>3000</v>
      </c>
      <c r="D62" s="877" t="s">
        <v>469</v>
      </c>
      <c r="E62" s="869"/>
      <c r="F62" s="1937">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2000</v>
      </c>
      <c r="C64" s="897" t="str">
        <f>'Expenditures 15-22'!B206</f>
        <v>5300</v>
      </c>
      <c r="D64" s="893" t="s">
        <v>329</v>
      </c>
      <c r="E64" s="869"/>
      <c r="F64" s="1937">
        <f>'Expenditures 15-22'!K206</f>
        <v>0</v>
      </c>
      <c r="G64" s="866"/>
    </row>
    <row r="65" spans="1:8" x14ac:dyDescent="0.2">
      <c r="A65" s="870" t="s">
        <v>481</v>
      </c>
      <c r="B65" s="870" t="s">
        <v>2001</v>
      </c>
      <c r="C65" s="887" t="s">
        <v>1039</v>
      </c>
      <c r="D65" s="886" t="s">
        <v>1157</v>
      </c>
      <c r="E65" s="869"/>
      <c r="F65" s="1937">
        <f>'Expenditures 15-22'!G210</f>
        <v>0</v>
      </c>
      <c r="G65" s="866"/>
    </row>
    <row r="66" spans="1:8" x14ac:dyDescent="0.2">
      <c r="A66" s="870" t="s">
        <v>481</v>
      </c>
      <c r="B66" s="870" t="s">
        <v>2002</v>
      </c>
      <c r="C66" s="887" t="s">
        <v>1039</v>
      </c>
      <c r="D66" s="886" t="s">
        <v>309</v>
      </c>
      <c r="E66" s="869"/>
      <c r="F66" s="1937">
        <f>'Expenditures 15-22'!I210</f>
        <v>0</v>
      </c>
      <c r="G66" s="866"/>
    </row>
    <row r="67" spans="1:8" x14ac:dyDescent="0.2">
      <c r="A67" s="870" t="s">
        <v>482</v>
      </c>
      <c r="B67" s="870" t="s">
        <v>2003</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2005</v>
      </c>
      <c r="C70" s="887">
        <f>'Expenditures 15-22'!B221</f>
        <v>1300</v>
      </c>
      <c r="D70" s="888" t="str">
        <f>'Expenditures 15-22'!A221</f>
        <v>Adult/Continuing Education Programs</v>
      </c>
      <c r="E70" s="869"/>
      <c r="F70" s="1937">
        <f>'Expenditures 15-22'!K221</f>
        <v>0</v>
      </c>
      <c r="G70" s="866"/>
    </row>
    <row r="71" spans="1:8" x14ac:dyDescent="0.2">
      <c r="A71" s="870" t="s">
        <v>482</v>
      </c>
      <c r="B71" s="870" t="s">
        <v>2006</v>
      </c>
      <c r="C71" s="887">
        <f>'Expenditures 15-22'!B224</f>
        <v>1600</v>
      </c>
      <c r="D71" s="888" t="str">
        <f>'Expenditures 15-22'!A224</f>
        <v>Summer School Programs</v>
      </c>
      <c r="E71" s="869"/>
      <c r="F71" s="1937">
        <f>'Expenditures 15-22'!K224</f>
        <v>0</v>
      </c>
      <c r="G71" s="866"/>
    </row>
    <row r="72" spans="1:8" x14ac:dyDescent="0.2">
      <c r="A72" s="870" t="s">
        <v>482</v>
      </c>
      <c r="B72" s="870" t="s">
        <v>2007</v>
      </c>
      <c r="C72" s="887">
        <f>'Expenditures 15-22'!B280</f>
        <v>3000</v>
      </c>
      <c r="D72" s="877" t="s">
        <v>469</v>
      </c>
      <c r="E72" s="869"/>
      <c r="F72" s="1937">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2009</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747365</v>
      </c>
      <c r="G76" s="866"/>
    </row>
    <row r="77" spans="1:8" s="894" customFormat="1" ht="12" customHeight="1" thickTop="1" thickBot="1" x14ac:dyDescent="0.25">
      <c r="A77" s="1801"/>
      <c r="B77" s="1798"/>
      <c r="C77" s="1794"/>
      <c r="D77" s="1799" t="s">
        <v>2011</v>
      </c>
      <c r="E77" s="1796"/>
      <c r="F77" s="1802">
        <f>(F14-F76)</f>
        <v>2869993</v>
      </c>
      <c r="G77" s="870"/>
    </row>
    <row r="78" spans="1:8" s="894" customFormat="1" ht="12" customHeight="1" thickTop="1" x14ac:dyDescent="0.2">
      <c r="A78" s="1803"/>
      <c r="B78" s="1798"/>
      <c r="C78" s="1794"/>
      <c r="D78" s="1799" t="s">
        <v>2057</v>
      </c>
      <c r="E78" s="1796"/>
      <c r="F78" s="899">
        <v>161.51</v>
      </c>
      <c r="G78" s="900"/>
      <c r="H78" s="870"/>
    </row>
    <row r="79" spans="1:8" s="894" customFormat="1" ht="12" customHeight="1" thickBot="1" x14ac:dyDescent="0.25">
      <c r="A79" s="1804"/>
      <c r="B79" s="1798"/>
      <c r="C79" s="1794"/>
      <c r="D79" s="1799" t="s">
        <v>2012</v>
      </c>
      <c r="E79" s="1796" t="s">
        <v>1015</v>
      </c>
      <c r="F79" s="1805">
        <f>IF(F78&gt;0,F77/F78," Complete Line 78")</f>
        <v>17769.754194786703</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41569</v>
      </c>
      <c r="G95" s="913"/>
    </row>
    <row r="96" spans="1:7" x14ac:dyDescent="0.2">
      <c r="A96" s="909" t="s">
        <v>479</v>
      </c>
      <c r="B96" s="909" t="s">
        <v>178</v>
      </c>
      <c r="C96" s="911">
        <f>'Revenues 9-14'!B84</f>
        <v>1811</v>
      </c>
      <c r="D96" s="912" t="str">
        <f>'Revenues 9-14'!A84</f>
        <v>Rentals - Regular Textbooks</v>
      </c>
      <c r="E96" s="907"/>
      <c r="F96" s="1811">
        <f>'Revenues 9-14'!C84</f>
        <v>31729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70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43078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12095</v>
      </c>
      <c r="G103" s="913"/>
    </row>
    <row r="104" spans="1:7" x14ac:dyDescent="0.2">
      <c r="A104" s="909" t="s">
        <v>479</v>
      </c>
      <c r="B104" s="909" t="s">
        <v>841</v>
      </c>
      <c r="C104" s="911">
        <f>'Revenues 9-14'!B106</f>
        <v>1993</v>
      </c>
      <c r="D104" s="912" t="str">
        <f>'Revenues 9-14'!A106</f>
        <v>Other Local Fees (Describe &amp; Itemize)</v>
      </c>
      <c r="E104" s="907"/>
      <c r="F104" s="1811">
        <f>('Revenues 9-14'!C106)</f>
        <v>24954</v>
      </c>
      <c r="G104" s="913"/>
    </row>
    <row r="105" spans="1:7" x14ac:dyDescent="0.2">
      <c r="A105" s="909" t="s">
        <v>524</v>
      </c>
      <c r="B105" s="909" t="s">
        <v>842</v>
      </c>
      <c r="C105" s="914">
        <v>3100</v>
      </c>
      <c r="D105" s="920" t="str">
        <f>'Revenues 9-14'!A131</f>
        <v>Total Special Education</v>
      </c>
      <c r="E105" s="907"/>
      <c r="F105" s="1811">
        <f>SUM('Revenues 9-14'!C131:D131,'Revenues 9-14'!F131)</f>
        <v>58591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39264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104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7546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102730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23352</v>
      </c>
      <c r="G128" s="931"/>
    </row>
    <row r="129" spans="1:7" x14ac:dyDescent="0.2">
      <c r="A129" s="928" t="s">
        <v>685</v>
      </c>
      <c r="B129" s="928" t="s">
        <v>803</v>
      </c>
      <c r="C129" s="933">
        <v>4200</v>
      </c>
      <c r="D129" s="930" t="str">
        <f>'Revenues 9-14'!A201</f>
        <v>Total Food Service</v>
      </c>
      <c r="E129" s="907"/>
      <c r="F129" s="1811">
        <f>SUM('Revenues 9-14'!C201,'Revenues 9-14'!G201)</f>
        <v>10290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27116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6141</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3999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3643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685</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436271</v>
      </c>
    </row>
    <row r="179" spans="1:7" ht="12" customHeight="1" x14ac:dyDescent="0.2">
      <c r="A179" s="1792"/>
      <c r="B179" s="1806"/>
      <c r="C179" s="1807"/>
      <c r="D179" s="1808" t="s">
        <v>2014</v>
      </c>
      <c r="E179" s="1809"/>
      <c r="F179" s="1811">
        <f>'PCTC-OEPP 27-28'!F77-F178</f>
        <v>2433722</v>
      </c>
    </row>
    <row r="180" spans="1:7" ht="12" customHeight="1" x14ac:dyDescent="0.2">
      <c r="A180" s="1792"/>
      <c r="B180" s="1806"/>
      <c r="C180" s="1807"/>
      <c r="D180" s="1808" t="s">
        <v>1924</v>
      </c>
      <c r="E180" s="1809"/>
      <c r="F180" s="1811">
        <f>'Cap Outlay Deprec 26'!I18</f>
        <v>161736</v>
      </c>
    </row>
    <row r="181" spans="1:7" ht="12" customHeight="1" x14ac:dyDescent="0.2">
      <c r="A181" s="1792"/>
      <c r="B181" s="1806"/>
      <c r="C181" s="1807"/>
      <c r="D181" s="1808" t="s">
        <v>2015</v>
      </c>
      <c r="E181" s="1809"/>
      <c r="F181" s="1811">
        <f>F179+F180</f>
        <v>2595458</v>
      </c>
    </row>
    <row r="182" spans="1:7" ht="12" customHeight="1" x14ac:dyDescent="0.2">
      <c r="A182" s="1792"/>
      <c r="B182" s="1812"/>
      <c r="C182" s="1807"/>
      <c r="D182" s="1808" t="str">
        <f>D78</f>
        <v>9 Month ADA from District Average Daily Attendance/Prior General State Aid Inquiry 2017-2018</v>
      </c>
      <c r="E182" s="1809"/>
      <c r="F182" s="1813">
        <f>'PCTC-OEPP 27-28'!F78</f>
        <v>161.51</v>
      </c>
      <c r="G182" s="931"/>
    </row>
    <row r="183" spans="1:7" ht="12" customHeight="1" thickBot="1" x14ac:dyDescent="0.25">
      <c r="A183" s="1792"/>
      <c r="B183" s="1812"/>
      <c r="C183" s="1807"/>
      <c r="D183" s="1808" t="s">
        <v>2016</v>
      </c>
      <c r="E183" s="1809" t="s">
        <v>1626</v>
      </c>
      <c r="F183" s="1814">
        <f>F181/F182</f>
        <v>16069.952324933442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30" sqref="B3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2115</v>
      </c>
      <c r="B17" s="1955" t="s">
        <v>2118</v>
      </c>
      <c r="C17" s="1956" t="s">
        <v>2116</v>
      </c>
      <c r="D17" s="1867">
        <v>3965</v>
      </c>
      <c r="E17" s="1562">
        <f t="shared" ref="E17:E141" si="1">IF(D17&lt;=25000,D17,IF(D17&gt;25000,25000,0))</f>
        <v>3965</v>
      </c>
      <c r="F17" s="1815">
        <f t="shared" si="0"/>
        <v>3965</v>
      </c>
      <c r="G17" s="1816">
        <f>IF(F17=0,0,D17-F17)</f>
        <v>0</v>
      </c>
      <c r="H17" s="1669"/>
    </row>
    <row r="18" spans="1:8" x14ac:dyDescent="0.25">
      <c r="A18" s="1954" t="s">
        <v>2117</v>
      </c>
      <c r="B18" s="1955" t="s">
        <v>2119</v>
      </c>
      <c r="C18" s="1956" t="s">
        <v>2120</v>
      </c>
      <c r="D18" s="1867">
        <v>2750</v>
      </c>
      <c r="E18" s="1562">
        <f t="shared" ref="E18:E140" si="2">IF(D18&lt;=25000,D18,IF(D18&gt;25000,25000,0))</f>
        <v>2750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4" t="s">
        <v>2115</v>
      </c>
      <c r="B19" s="1955" t="s">
        <v>2118</v>
      </c>
      <c r="C19" s="1956" t="s">
        <v>2121</v>
      </c>
      <c r="D19" s="1867">
        <v>945</v>
      </c>
      <c r="E19" s="1562">
        <f t="shared" si="2"/>
        <v>945</v>
      </c>
      <c r="F19" s="1815">
        <f t="shared" si="3"/>
        <v>945</v>
      </c>
      <c r="G19" s="1816">
        <f t="shared" si="4"/>
        <v>0</v>
      </c>
    </row>
    <row r="20" spans="1:8" x14ac:dyDescent="0.25">
      <c r="A20" s="1954" t="s">
        <v>2122</v>
      </c>
      <c r="B20" s="1955" t="s">
        <v>2123</v>
      </c>
      <c r="C20" s="1956" t="s">
        <v>2124</v>
      </c>
      <c r="D20" s="1867">
        <v>840</v>
      </c>
      <c r="E20" s="1562">
        <f t="shared" si="2"/>
        <v>840</v>
      </c>
      <c r="F20" s="1815">
        <f t="shared" si="3"/>
        <v>0</v>
      </c>
      <c r="G20" s="1816">
        <f t="shared" si="4"/>
        <v>0</v>
      </c>
    </row>
    <row r="21" spans="1:8" x14ac:dyDescent="0.25">
      <c r="A21" s="1954" t="s">
        <v>2115</v>
      </c>
      <c r="B21" s="1955" t="s">
        <v>2118</v>
      </c>
      <c r="C21" s="1956" t="s">
        <v>2125</v>
      </c>
      <c r="D21" s="1867">
        <f>2025+5325+14000+1075</f>
        <v>22425</v>
      </c>
      <c r="E21" s="1562">
        <f t="shared" si="2"/>
        <v>22425</v>
      </c>
      <c r="F21" s="1815">
        <f t="shared" si="3"/>
        <v>22425</v>
      </c>
      <c r="G21" s="1816">
        <f t="shared" si="4"/>
        <v>0</v>
      </c>
    </row>
    <row r="22" spans="1:8" x14ac:dyDescent="0.25">
      <c r="A22" s="1954" t="s">
        <v>2126</v>
      </c>
      <c r="B22" s="1955" t="s">
        <v>2127</v>
      </c>
      <c r="C22" s="1956" t="s">
        <v>2125</v>
      </c>
      <c r="D22" s="1867">
        <f>65+4294+11200+885</f>
        <v>16444</v>
      </c>
      <c r="E22" s="1562">
        <f t="shared" si="2"/>
        <v>16444</v>
      </c>
      <c r="F22" s="1815">
        <f t="shared" si="3"/>
        <v>0</v>
      </c>
      <c r="G22" s="1816">
        <f t="shared" si="4"/>
        <v>0</v>
      </c>
    </row>
    <row r="23" spans="1:8" x14ac:dyDescent="0.25">
      <c r="A23" s="1954" t="s">
        <v>2128</v>
      </c>
      <c r="B23" s="1955" t="s">
        <v>2165</v>
      </c>
      <c r="C23" s="1956" t="s">
        <v>2129</v>
      </c>
      <c r="D23" s="1867">
        <v>42958</v>
      </c>
      <c r="E23" s="1562">
        <f t="shared" si="2"/>
        <v>25000</v>
      </c>
      <c r="F23" s="1815">
        <f t="shared" si="3"/>
        <v>25000</v>
      </c>
      <c r="G23" s="1816">
        <f t="shared" si="4"/>
        <v>17958</v>
      </c>
    </row>
    <row r="24" spans="1:8" x14ac:dyDescent="0.25">
      <c r="A24" s="1954" t="s">
        <v>2115</v>
      </c>
      <c r="B24" s="1955" t="s">
        <v>2118</v>
      </c>
      <c r="C24" s="1956" t="s">
        <v>2130</v>
      </c>
      <c r="D24" s="1867">
        <v>3640</v>
      </c>
      <c r="E24" s="1562">
        <f t="shared" si="2"/>
        <v>3640</v>
      </c>
      <c r="F24" s="1815">
        <f t="shared" si="3"/>
        <v>3640</v>
      </c>
      <c r="G24" s="1816">
        <f t="shared" si="4"/>
        <v>0</v>
      </c>
    </row>
    <row r="25" spans="1:8" x14ac:dyDescent="0.25">
      <c r="A25" s="1954" t="s">
        <v>2131</v>
      </c>
      <c r="B25" s="1955" t="s">
        <v>2163</v>
      </c>
      <c r="C25" s="1956" t="s">
        <v>2133</v>
      </c>
      <c r="D25" s="1867">
        <v>5983</v>
      </c>
      <c r="E25" s="1562">
        <f t="shared" si="2"/>
        <v>5983</v>
      </c>
      <c r="F25" s="1815">
        <f t="shared" si="3"/>
        <v>5983</v>
      </c>
      <c r="G25" s="1816">
        <f t="shared" si="4"/>
        <v>0</v>
      </c>
    </row>
    <row r="26" spans="1:8" x14ac:dyDescent="0.25">
      <c r="A26" s="1954" t="s">
        <v>2134</v>
      </c>
      <c r="B26" s="1955" t="s">
        <v>2135</v>
      </c>
      <c r="C26" s="1956" t="s">
        <v>2136</v>
      </c>
      <c r="D26" s="1867">
        <v>800</v>
      </c>
      <c r="E26" s="1562">
        <f t="shared" si="2"/>
        <v>800</v>
      </c>
      <c r="F26" s="1815">
        <f t="shared" si="3"/>
        <v>800</v>
      </c>
      <c r="G26" s="1816">
        <f t="shared" si="4"/>
        <v>0</v>
      </c>
    </row>
    <row r="27" spans="1:8" x14ac:dyDescent="0.25">
      <c r="A27" s="1954" t="s">
        <v>2138</v>
      </c>
      <c r="B27" s="1955" t="s">
        <v>2164</v>
      </c>
      <c r="C27" s="1956" t="s">
        <v>2139</v>
      </c>
      <c r="D27" s="1867">
        <v>2759</v>
      </c>
      <c r="E27" s="1562">
        <f t="shared" si="2"/>
        <v>2759</v>
      </c>
      <c r="F27" s="1815">
        <f t="shared" si="3"/>
        <v>2759</v>
      </c>
      <c r="G27" s="1816">
        <f t="shared" si="4"/>
        <v>0</v>
      </c>
    </row>
    <row r="28" spans="1:8" x14ac:dyDescent="0.25">
      <c r="A28" s="1954" t="s">
        <v>2149</v>
      </c>
      <c r="B28" s="1955" t="s">
        <v>2140</v>
      </c>
      <c r="C28" s="1956" t="s">
        <v>2141</v>
      </c>
      <c r="D28" s="1867">
        <v>1200</v>
      </c>
      <c r="E28" s="1562">
        <f t="shared" si="2"/>
        <v>1200</v>
      </c>
      <c r="F28" s="1815">
        <f t="shared" si="3"/>
        <v>0</v>
      </c>
      <c r="G28" s="1816">
        <f t="shared" si="4"/>
        <v>0</v>
      </c>
    </row>
    <row r="29" spans="1:8" x14ac:dyDescent="0.25">
      <c r="A29" s="1954" t="s">
        <v>2142</v>
      </c>
      <c r="B29" s="1955" t="s">
        <v>2143</v>
      </c>
      <c r="C29" s="1956" t="s">
        <v>2144</v>
      </c>
      <c r="D29" s="1867">
        <v>13290</v>
      </c>
      <c r="E29" s="1562">
        <f t="shared" si="2"/>
        <v>13290</v>
      </c>
      <c r="F29" s="1815">
        <f t="shared" si="3"/>
        <v>0</v>
      </c>
      <c r="G29" s="1816">
        <f t="shared" si="4"/>
        <v>0</v>
      </c>
    </row>
    <row r="30" spans="1:8" x14ac:dyDescent="0.25">
      <c r="A30" s="1954" t="s">
        <v>2145</v>
      </c>
      <c r="B30" s="1955" t="s">
        <v>2165</v>
      </c>
      <c r="C30" s="1956" t="s">
        <v>2146</v>
      </c>
      <c r="D30" s="1867">
        <f>375+391+2286+1562+9125+1590+9146+391+2286</f>
        <v>27152</v>
      </c>
      <c r="E30" s="1562">
        <f t="shared" si="2"/>
        <v>25000</v>
      </c>
      <c r="F30" s="1815">
        <f t="shared" si="3"/>
        <v>25000</v>
      </c>
      <c r="G30" s="1816">
        <f t="shared" si="4"/>
        <v>2152</v>
      </c>
    </row>
    <row r="31" spans="1:8" x14ac:dyDescent="0.25">
      <c r="A31" s="1954" t="s">
        <v>2147</v>
      </c>
      <c r="B31" s="1955" t="s">
        <v>2148</v>
      </c>
      <c r="C31" s="1956" t="s">
        <v>2146</v>
      </c>
      <c r="D31" s="1867">
        <f>957+3828+3396+957</f>
        <v>9138</v>
      </c>
      <c r="E31" s="1562">
        <f t="shared" si="2"/>
        <v>9138</v>
      </c>
      <c r="F31" s="1815">
        <f t="shared" si="3"/>
        <v>9138</v>
      </c>
      <c r="G31" s="1816">
        <f t="shared" si="4"/>
        <v>0</v>
      </c>
    </row>
    <row r="32" spans="1:8" x14ac:dyDescent="0.25">
      <c r="A32" s="1954" t="s">
        <v>2149</v>
      </c>
      <c r="B32" s="1955" t="s">
        <v>2140</v>
      </c>
      <c r="C32" s="1956" t="s">
        <v>2150</v>
      </c>
      <c r="D32" s="1867">
        <v>7725</v>
      </c>
      <c r="E32" s="1562">
        <f t="shared" si="2"/>
        <v>7725</v>
      </c>
      <c r="F32" s="1815">
        <f t="shared" si="3"/>
        <v>0</v>
      </c>
      <c r="G32" s="1816">
        <f t="shared" si="4"/>
        <v>0</v>
      </c>
    </row>
    <row r="33" spans="1:7" x14ac:dyDescent="0.25">
      <c r="A33" s="1954" t="s">
        <v>2149</v>
      </c>
      <c r="B33" s="1955" t="s">
        <v>2140</v>
      </c>
      <c r="C33" s="1956" t="s">
        <v>2151</v>
      </c>
      <c r="D33" s="1867">
        <v>1476</v>
      </c>
      <c r="E33" s="1562">
        <f t="shared" si="2"/>
        <v>1476</v>
      </c>
      <c r="F33" s="1815">
        <f t="shared" si="3"/>
        <v>0</v>
      </c>
      <c r="G33" s="1816">
        <f t="shared" si="4"/>
        <v>0</v>
      </c>
    </row>
    <row r="34" spans="1:7" x14ac:dyDescent="0.25">
      <c r="A34" s="1954" t="s">
        <v>2138</v>
      </c>
      <c r="B34" s="1955" t="s">
        <v>2137</v>
      </c>
      <c r="C34" s="1956" t="s">
        <v>2152</v>
      </c>
      <c r="D34" s="1867">
        <v>3133</v>
      </c>
      <c r="E34" s="1562">
        <f t="shared" si="2"/>
        <v>3133</v>
      </c>
      <c r="F34" s="1815">
        <f t="shared" si="3"/>
        <v>0</v>
      </c>
      <c r="G34" s="1816">
        <f t="shared" si="4"/>
        <v>0</v>
      </c>
    </row>
    <row r="35" spans="1:7" x14ac:dyDescent="0.25">
      <c r="A35" s="1954" t="s">
        <v>2117</v>
      </c>
      <c r="B35" s="1955" t="s">
        <v>2119</v>
      </c>
      <c r="C35" s="1956" t="s">
        <v>2152</v>
      </c>
      <c r="D35" s="1867">
        <v>3000</v>
      </c>
      <c r="E35" s="1562">
        <f t="shared" si="2"/>
        <v>3000</v>
      </c>
      <c r="F35" s="1815">
        <f t="shared" si="3"/>
        <v>0</v>
      </c>
      <c r="G35" s="1816">
        <f t="shared" si="4"/>
        <v>0</v>
      </c>
    </row>
    <row r="36" spans="1:7" x14ac:dyDescent="0.25">
      <c r="A36" s="1954" t="s">
        <v>2147</v>
      </c>
      <c r="B36" s="1955" t="s">
        <v>2153</v>
      </c>
      <c r="C36" s="1956" t="s">
        <v>2154</v>
      </c>
      <c r="D36" s="1867">
        <v>10400</v>
      </c>
      <c r="E36" s="1562">
        <f t="shared" si="2"/>
        <v>10400</v>
      </c>
      <c r="F36" s="1815">
        <f t="shared" si="3"/>
        <v>10400</v>
      </c>
      <c r="G36" s="1816">
        <f t="shared" si="4"/>
        <v>0</v>
      </c>
    </row>
    <row r="37" spans="1:7" x14ac:dyDescent="0.25">
      <c r="A37" s="1954" t="s">
        <v>2131</v>
      </c>
      <c r="B37" s="1955" t="s">
        <v>2140</v>
      </c>
      <c r="C37" s="1956" t="s">
        <v>2155</v>
      </c>
      <c r="D37" s="1867">
        <v>1212</v>
      </c>
      <c r="E37" s="1562">
        <f t="shared" si="2"/>
        <v>1212</v>
      </c>
      <c r="F37" s="1815">
        <f t="shared" si="3"/>
        <v>0</v>
      </c>
      <c r="G37" s="1816">
        <f t="shared" si="4"/>
        <v>0</v>
      </c>
    </row>
    <row r="38" spans="1:7" x14ac:dyDescent="0.25">
      <c r="A38" s="1954" t="s">
        <v>2156</v>
      </c>
      <c r="B38" s="1957" t="s">
        <v>2157</v>
      </c>
      <c r="C38" s="1956" t="s">
        <v>2158</v>
      </c>
      <c r="D38" s="1867">
        <v>1016</v>
      </c>
      <c r="E38" s="1562">
        <f t="shared" si="2"/>
        <v>1016</v>
      </c>
      <c r="F38" s="1815">
        <f t="shared" si="3"/>
        <v>0</v>
      </c>
      <c r="G38" s="1816">
        <f t="shared" si="4"/>
        <v>0</v>
      </c>
    </row>
    <row r="39" spans="1:7" x14ac:dyDescent="0.25">
      <c r="A39" s="1954" t="s">
        <v>2131</v>
      </c>
      <c r="B39" s="1957" t="s">
        <v>2132</v>
      </c>
      <c r="C39" s="1956" t="s">
        <v>2159</v>
      </c>
      <c r="D39" s="1867">
        <f>2796+11938</f>
        <v>14734</v>
      </c>
      <c r="E39" s="1562">
        <f t="shared" si="2"/>
        <v>14734</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196985</v>
      </c>
      <c r="E141" s="1563">
        <f t="shared" si="1"/>
        <v>25000</v>
      </c>
      <c r="F141" s="1817">
        <f>SUM(F17:F140)</f>
        <v>110055</v>
      </c>
      <c r="G141" s="1818">
        <f>SUM(G17:G140)</f>
        <v>20110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1944</v>
      </c>
      <c r="B11" s="2305"/>
      <c r="C11" s="2305"/>
      <c r="D11" s="2306"/>
      <c r="E11" s="978">
        <v>1824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1411309</v>
      </c>
      <c r="F19" s="1822"/>
      <c r="G19" s="1824">
        <f>'Expenditures 15-22'!K33-SUM('Expenditures 15-22'!G33,'Expenditures 15-22'!I33)+'Expenditures 15-22'!D229</f>
        <v>1411309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171590</v>
      </c>
      <c r="F21" s="1825"/>
      <c r="G21" s="1828">
        <f>'Expenditures 15-22'!K42-SUM('Expenditures 15-22'!G42,'Expenditures 15-22'!I42)+'Expenditures 15-22'!K120-SUM('Expenditures 15-22'!G120,'Expenditures 15-22'!I120)+'Expenditures 15-22'!K180-SUM('Expenditures 15-22'!G180,'Expenditures 15-22'!I180)+'Expenditures 15-22'!D238</f>
        <v>171590</v>
      </c>
      <c r="H21" s="988"/>
      <c r="I21" s="162"/>
    </row>
    <row r="22" spans="1:9" s="669" customFormat="1" ht="12" customHeight="1" x14ac:dyDescent="0.2">
      <c r="A22" s="995" t="s">
        <v>585</v>
      </c>
      <c r="B22" s="996"/>
      <c r="C22" s="994">
        <v>2200</v>
      </c>
      <c r="D22" s="1825"/>
      <c r="E22" s="1827">
        <f>'Expenditures 15-22'!K47-SUM('Expenditures 15-22'!G47,'Expenditures 15-22'!I47)+'Expenditures 15-22'!D243</f>
        <v>19070</v>
      </c>
      <c r="F22" s="1825"/>
      <c r="G22" s="1828">
        <f>'Expenditures 15-22'!K47-SUM('Expenditures 15-22'!G47,'Expenditures 15-22'!I47)+'Expenditures 15-22'!D243</f>
        <v>19070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453780</v>
      </c>
      <c r="F23" s="1825"/>
      <c r="G23" s="1827">
        <f>'Expenditures 15-22'!K53-SUM('Expenditures 15-22'!G53,'Expenditures 15-22'!I53)+'Expenditures 15-22'!D257+'Expenditures 15-22'!K330-SUM('Expenditures 15-22'!G330,'Expenditures 15-22'!I330)</f>
        <v>453780</v>
      </c>
      <c r="H23" s="988"/>
      <c r="I23" s="162"/>
    </row>
    <row r="24" spans="1:9" s="669" customFormat="1" ht="12" customHeight="1" x14ac:dyDescent="0.2">
      <c r="A24" s="995" t="s">
        <v>587</v>
      </c>
      <c r="B24" s="996"/>
      <c r="C24" s="994">
        <v>2400</v>
      </c>
      <c r="D24" s="1825"/>
      <c r="E24" s="1827">
        <f>'Expenditures 15-22'!K57-SUM('Expenditures 15-22'!G57,'Expenditures 15-22'!I57)+'Expenditures 15-22'!D261</f>
        <v>137750</v>
      </c>
      <c r="F24" s="1825"/>
      <c r="G24" s="1828">
        <f>'Expenditures 15-22'!K57-SUM('Expenditures 15-22'!G57,'Expenditures 15-22'!I57)+'Expenditures 15-22'!D261</f>
        <v>137750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46147</v>
      </c>
      <c r="E27" s="1827">
        <f>E8</f>
        <v>0</v>
      </c>
      <c r="F27" s="1827">
        <f>'Expenditures 15-22'!K60-SUM('Expenditures 15-22'!G60,'Expenditures 15-22'!I60)+'Expenditures 15-22'!D264-E8</f>
        <v>46147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329067</v>
      </c>
      <c r="F28" s="1829">
        <f>'Expenditures 15-22'!K61-SUM('Expenditures 15-22'!G61,'Expenditures 15-22'!I61)+'Expenditures 15-22'!K124-SUM('Expenditures 15-22'!G124,'Expenditures 15-22'!I124)+'Expenditures 15-22'!D266-E9</f>
        <v>329067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382160</v>
      </c>
      <c r="F29" s="1825"/>
      <c r="G29" s="1828">
        <f>'Expenditures 15-22'!K62-SUM('Expenditures 15-22'!G62,'Expenditures 15-22'!I62)+'Expenditures 15-22'!K125-SUM('Expenditures 15-22'!G125,'Expenditures 15-22'!I125)+'Expenditures 15-22'!K182-SUM('Expenditures 15-22'!G182,'Expenditures 15-22'!I182)+'Expenditures 15-22'!D267</f>
        <v>382160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21669</v>
      </c>
      <c r="F35" s="1825"/>
      <c r="G35" s="1827">
        <f>'Expenditures 15-22'!K69-SUM('Expenditures 15-22'!G69,'Expenditures 15-22'!I69)+'Expenditures 15-22'!D274</f>
        <v>21669</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3789</v>
      </c>
      <c r="F38" s="1825"/>
      <c r="G38" s="1827">
        <f>'Expenditures 15-22'!K73-SUM('Expenditures 15-22'!G73,'Expenditures 15-22'!I73)+'Expenditures 15-22'!K128-SUM('Expenditures 15-22'!G128,'Expenditures 15-22'!I128)+'Expenditures 15-22'!K183-SUM('Expenditures 15-22'!G183,'Expenditures 15-22'!I183)+'Expenditures 15-22'!D278</f>
        <v>3789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-20110</v>
      </c>
      <c r="F40" s="1825"/>
      <c r="G40" s="1829">
        <f>-'Contracts Paid in CY 29'!G141</f>
        <v>-20110</v>
      </c>
    </row>
    <row r="41" spans="1:7" ht="12" customHeight="1" x14ac:dyDescent="0.2">
      <c r="A41" s="999" t="s">
        <v>158</v>
      </c>
      <c r="B41" s="1000"/>
      <c r="C41" s="1001"/>
      <c r="D41" s="1829">
        <f>SUM(D19:D39)</f>
        <v>46147</v>
      </c>
      <c r="E41" s="1829">
        <f>SUM(E19:E40)</f>
        <v>2910074</v>
      </c>
      <c r="F41" s="1829">
        <f>SUM(F19:F39)</f>
        <v>375214</v>
      </c>
      <c r="G41" s="1829">
        <f>SUM(G19:G40)</f>
        <v>2581007</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46147</v>
      </c>
      <c r="F43" s="1830" t="s">
        <v>495</v>
      </c>
      <c r="G43" s="1831">
        <f>F41</f>
        <v>375214</v>
      </c>
    </row>
    <row r="44" spans="1:7" ht="12" customHeight="1" x14ac:dyDescent="0.2">
      <c r="A44" s="988"/>
      <c r="B44" s="162"/>
      <c r="C44" s="1002"/>
      <c r="D44" s="1830" t="s">
        <v>494</v>
      </c>
      <c r="E44" s="1831">
        <f>E41</f>
        <v>2910074</v>
      </c>
      <c r="F44" s="1830" t="s">
        <v>494</v>
      </c>
      <c r="G44" s="1831">
        <f>G41</f>
        <v>2581007</v>
      </c>
    </row>
    <row r="45" spans="1:7" ht="12" customHeight="1" x14ac:dyDescent="0.2">
      <c r="A45" s="988"/>
      <c r="B45" s="162"/>
      <c r="C45" s="162"/>
      <c r="D45" s="1832" t="s">
        <v>1063</v>
      </c>
      <c r="E45" s="1833">
        <f>(E43/E44)</f>
        <v>1.5857672347850949E-2</v>
      </c>
      <c r="F45" s="1832" t="s">
        <v>1063</v>
      </c>
      <c r="G45" s="1833">
        <f>(G43/G44)</f>
        <v>0.14537504160197939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2046</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Newark CHSD 18</v>
      </c>
      <c r="D6" s="2314"/>
      <c r="E6" s="2314"/>
      <c r="F6" s="1875"/>
    </row>
    <row r="7" spans="1:10" ht="11.25" customHeight="1" thickBot="1" x14ac:dyDescent="0.3">
      <c r="A7" s="1873"/>
      <c r="B7" s="1874"/>
      <c r="C7" s="2315">
        <f>COVER!A13</f>
        <v>24047018016</v>
      </c>
      <c r="D7" s="2315"/>
      <c r="E7" s="2315"/>
      <c r="F7" s="1875"/>
    </row>
    <row r="8" spans="1:10" ht="25.5" customHeight="1" thickBot="1" x14ac:dyDescent="0.25">
      <c r="A8" s="1916" t="s">
        <v>2023</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2085</v>
      </c>
      <c r="D13" s="1888" t="s">
        <v>2085</v>
      </c>
      <c r="E13" s="1891" t="s">
        <v>2085</v>
      </c>
      <c r="F13" s="1890" t="s">
        <v>2095</v>
      </c>
      <c r="H13" s="1901">
        <f t="shared" si="0"/>
        <v>5</v>
      </c>
      <c r="I13" s="1901">
        <f t="shared" si="1"/>
        <v>5</v>
      </c>
      <c r="J13" s="1901">
        <f t="shared" si="2"/>
        <v>5</v>
      </c>
    </row>
    <row r="14" spans="1:10" ht="12" customHeight="1" x14ac:dyDescent="0.2">
      <c r="A14" s="1886" t="s">
        <v>1453</v>
      </c>
      <c r="B14" s="1887"/>
      <c r="C14" s="1888" t="s">
        <v>2085</v>
      </c>
      <c r="D14" s="1888" t="s">
        <v>2085</v>
      </c>
      <c r="E14" s="1891" t="s">
        <v>2085</v>
      </c>
      <c r="F14" s="1890" t="s">
        <v>2095</v>
      </c>
      <c r="H14" s="1901">
        <f t="shared" si="0"/>
        <v>5</v>
      </c>
      <c r="I14" s="1901">
        <f t="shared" si="1"/>
        <v>5</v>
      </c>
      <c r="J14" s="1901">
        <f t="shared" si="2"/>
        <v>5</v>
      </c>
    </row>
    <row r="15" spans="1:10" ht="12" customHeight="1" x14ac:dyDescent="0.2">
      <c r="A15" s="1886" t="s">
        <v>1454</v>
      </c>
      <c r="B15" s="1887"/>
      <c r="C15" s="1888" t="s">
        <v>2085</v>
      </c>
      <c r="D15" s="1888" t="s">
        <v>2085</v>
      </c>
      <c r="E15" s="1891" t="s">
        <v>2085</v>
      </c>
      <c r="F15" s="1890" t="s">
        <v>2096</v>
      </c>
      <c r="H15" s="1901">
        <f t="shared" si="0"/>
        <v>5</v>
      </c>
      <c r="I15" s="1901">
        <f t="shared" si="1"/>
        <v>5</v>
      </c>
      <c r="J15" s="1901">
        <f t="shared" si="2"/>
        <v>5</v>
      </c>
    </row>
    <row r="16" spans="1:10" ht="12" customHeight="1" x14ac:dyDescent="0.2">
      <c r="A16" s="1886" t="s">
        <v>1455</v>
      </c>
      <c r="B16" s="1887"/>
      <c r="C16" s="1888" t="s">
        <v>2085</v>
      </c>
      <c r="D16" s="1888" t="s">
        <v>2085</v>
      </c>
      <c r="E16" s="1891" t="s">
        <v>2085</v>
      </c>
      <c r="F16" s="1890" t="s">
        <v>2097</v>
      </c>
      <c r="H16" s="1901">
        <f t="shared" si="0"/>
        <v>5</v>
      </c>
      <c r="I16" s="1901">
        <f t="shared" si="1"/>
        <v>5</v>
      </c>
      <c r="J16" s="1901">
        <f t="shared" si="2"/>
        <v>5</v>
      </c>
    </row>
    <row r="17" spans="1:12" ht="12" customHeight="1" x14ac:dyDescent="0.2">
      <c r="A17" s="1886" t="s">
        <v>1456</v>
      </c>
      <c r="B17" s="1887"/>
      <c r="C17" s="1888" t="s">
        <v>2085</v>
      </c>
      <c r="D17" s="1888" t="s">
        <v>2085</v>
      </c>
      <c r="E17" s="1891" t="s">
        <v>2085</v>
      </c>
      <c r="F17" s="1890" t="s">
        <v>2098</v>
      </c>
      <c r="H17" s="1901">
        <f t="shared" si="0"/>
        <v>5</v>
      </c>
      <c r="I17" s="1901">
        <f t="shared" si="1"/>
        <v>5</v>
      </c>
      <c r="J17" s="1901">
        <f t="shared" si="2"/>
        <v>5</v>
      </c>
    </row>
    <row r="18" spans="1:12" ht="12" customHeight="1" x14ac:dyDescent="0.2">
      <c r="A18" s="1886" t="s">
        <v>1457</v>
      </c>
      <c r="B18" s="1887"/>
      <c r="C18" s="1888" t="s">
        <v>2085</v>
      </c>
      <c r="D18" s="1888" t="s">
        <v>2085</v>
      </c>
      <c r="E18" s="1891" t="s">
        <v>2085</v>
      </c>
      <c r="F18" s="1890" t="s">
        <v>2099</v>
      </c>
      <c r="H18" s="1901">
        <f t="shared" si="0"/>
        <v>5</v>
      </c>
      <c r="I18" s="1901">
        <f t="shared" si="1"/>
        <v>5</v>
      </c>
      <c r="J18" s="1901">
        <f t="shared" si="2"/>
        <v>5</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2085</v>
      </c>
      <c r="D21" s="1888" t="s">
        <v>2085</v>
      </c>
      <c r="E21" s="1891" t="s">
        <v>2085</v>
      </c>
      <c r="F21" s="1890" t="s">
        <v>2100</v>
      </c>
      <c r="H21" s="1901">
        <f t="shared" si="0"/>
        <v>5</v>
      </c>
      <c r="I21" s="1901">
        <f t="shared" si="1"/>
        <v>5</v>
      </c>
      <c r="J21" s="1901">
        <f t="shared" si="2"/>
        <v>5</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2085</v>
      </c>
      <c r="D23" s="1888" t="s">
        <v>2085</v>
      </c>
      <c r="E23" s="1891" t="s">
        <v>2085</v>
      </c>
      <c r="F23" s="1890" t="s">
        <v>2101</v>
      </c>
      <c r="H23" s="1901">
        <f t="shared" si="0"/>
        <v>5</v>
      </c>
      <c r="I23" s="1901">
        <f t="shared" si="1"/>
        <v>5</v>
      </c>
      <c r="J23" s="1901">
        <f t="shared" si="2"/>
        <v>5</v>
      </c>
    </row>
    <row r="24" spans="1:12" ht="12" customHeight="1" x14ac:dyDescent="0.2">
      <c r="A24" s="1886" t="s">
        <v>1613</v>
      </c>
      <c r="B24" s="1887"/>
      <c r="C24" s="1888" t="s">
        <v>2085</v>
      </c>
      <c r="D24" s="1888" t="s">
        <v>2085</v>
      </c>
      <c r="E24" s="1891" t="s">
        <v>2085</v>
      </c>
      <c r="F24" s="1890" t="s">
        <v>2102</v>
      </c>
      <c r="H24" s="1901">
        <f t="shared" si="0"/>
        <v>5</v>
      </c>
      <c r="I24" s="1901">
        <f t="shared" si="1"/>
        <v>5</v>
      </c>
      <c r="J24" s="1901">
        <f t="shared" si="2"/>
        <v>5</v>
      </c>
    </row>
    <row r="25" spans="1:12" ht="12" customHeight="1" x14ac:dyDescent="0.2">
      <c r="A25" s="1886" t="s">
        <v>1614</v>
      </c>
      <c r="B25" s="1887"/>
      <c r="C25" s="1888" t="s">
        <v>2085</v>
      </c>
      <c r="D25" s="1888" t="s">
        <v>2085</v>
      </c>
      <c r="E25" s="1891" t="s">
        <v>2085</v>
      </c>
      <c r="F25" s="1890" t="s">
        <v>2103</v>
      </c>
      <c r="H25" s="1901">
        <f t="shared" si="0"/>
        <v>5</v>
      </c>
      <c r="I25" s="1901">
        <f t="shared" si="1"/>
        <v>5</v>
      </c>
      <c r="J25" s="1901">
        <f t="shared" si="2"/>
        <v>5</v>
      </c>
    </row>
    <row r="26" spans="1:12" ht="12" customHeight="1" x14ac:dyDescent="0.2">
      <c r="A26" s="1886" t="s">
        <v>1615</v>
      </c>
      <c r="B26" s="1887"/>
      <c r="C26" s="1888" t="s">
        <v>2085</v>
      </c>
      <c r="D26" s="1888" t="s">
        <v>2085</v>
      </c>
      <c r="E26" s="1891" t="s">
        <v>2085</v>
      </c>
      <c r="F26" s="1890" t="s">
        <v>2104</v>
      </c>
      <c r="H26" s="1901">
        <f t="shared" si="0"/>
        <v>5</v>
      </c>
      <c r="I26" s="1901">
        <f t="shared" si="1"/>
        <v>5</v>
      </c>
      <c r="J26" s="1901">
        <f t="shared" si="2"/>
        <v>5</v>
      </c>
    </row>
    <row r="27" spans="1:12" ht="18.75" x14ac:dyDescent="0.2">
      <c r="A27" s="1886" t="s">
        <v>1616</v>
      </c>
      <c r="B27" s="1887"/>
      <c r="C27" s="1888" t="s">
        <v>2085</v>
      </c>
      <c r="D27" s="1888" t="s">
        <v>2085</v>
      </c>
      <c r="E27" s="1891" t="s">
        <v>2085</v>
      </c>
      <c r="F27" s="1890" t="s">
        <v>2105</v>
      </c>
      <c r="H27" s="1901">
        <f t="shared" si="0"/>
        <v>5</v>
      </c>
      <c r="I27" s="1901">
        <f t="shared" si="1"/>
        <v>5</v>
      </c>
      <c r="J27" s="1901">
        <f t="shared" si="2"/>
        <v>5</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2085</v>
      </c>
      <c r="D29" s="1888" t="s">
        <v>2085</v>
      </c>
      <c r="E29" s="1891" t="s">
        <v>2085</v>
      </c>
      <c r="F29" s="1890" t="s">
        <v>2106</v>
      </c>
      <c r="H29" s="1901">
        <f t="shared" si="0"/>
        <v>5</v>
      </c>
      <c r="I29" s="1901">
        <f t="shared" si="1"/>
        <v>5</v>
      </c>
      <c r="J29" s="1901">
        <f t="shared" si="2"/>
        <v>5</v>
      </c>
    </row>
    <row r="30" spans="1:12" ht="12" customHeight="1" x14ac:dyDescent="0.2">
      <c r="A30" s="1886" t="s">
        <v>1619</v>
      </c>
      <c r="B30" s="1887"/>
      <c r="C30" s="1888" t="s">
        <v>2085</v>
      </c>
      <c r="D30" s="1888" t="s">
        <v>2085</v>
      </c>
      <c r="E30" s="1891" t="s">
        <v>2085</v>
      </c>
      <c r="F30" s="1890" t="s">
        <v>2107</v>
      </c>
      <c r="H30" s="1901">
        <f t="shared" si="0"/>
        <v>5</v>
      </c>
      <c r="I30" s="1901">
        <f t="shared" si="1"/>
        <v>5</v>
      </c>
      <c r="J30" s="1901">
        <f t="shared" si="2"/>
        <v>5</v>
      </c>
    </row>
    <row r="31" spans="1:12" ht="12" customHeight="1" x14ac:dyDescent="0.2">
      <c r="A31" s="1886" t="s">
        <v>1620</v>
      </c>
      <c r="B31" s="1887"/>
      <c r="C31" s="1888" t="s">
        <v>2085</v>
      </c>
      <c r="D31" s="1888" t="s">
        <v>2085</v>
      </c>
      <c r="E31" s="1891" t="s">
        <v>2085</v>
      </c>
      <c r="F31" s="1890" t="s">
        <v>2108</v>
      </c>
      <c r="H31" s="1901">
        <f t="shared" si="0"/>
        <v>5</v>
      </c>
      <c r="I31" s="1901">
        <f t="shared" si="1"/>
        <v>5</v>
      </c>
      <c r="J31" s="1901">
        <f t="shared" si="2"/>
        <v>5</v>
      </c>
      <c r="L31" s="1892"/>
    </row>
    <row r="32" spans="1:12" ht="12" customHeight="1" x14ac:dyDescent="0.2">
      <c r="A32" s="1886" t="s">
        <v>1621</v>
      </c>
      <c r="B32" s="1887"/>
      <c r="C32" s="1888" t="s">
        <v>2085</v>
      </c>
      <c r="D32" s="1888" t="s">
        <v>2085</v>
      </c>
      <c r="E32" s="1891" t="s">
        <v>2085</v>
      </c>
      <c r="F32" s="1890" t="s">
        <v>2109</v>
      </c>
      <c r="H32" s="1901">
        <f t="shared" si="0"/>
        <v>5</v>
      </c>
      <c r="I32" s="1901">
        <f t="shared" si="1"/>
        <v>5</v>
      </c>
      <c r="J32" s="1901">
        <f t="shared" si="2"/>
        <v>5</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80</v>
      </c>
      <c r="I34" s="1901">
        <f>SUM(I11:I32)</f>
        <v>80</v>
      </c>
      <c r="J34" s="1901">
        <f>SUM(J11:J32)</f>
        <v>80</v>
      </c>
      <c r="K34" s="1901">
        <f>SUM(H34:J34)</f>
        <v>240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Newark CHSD 18</v>
      </c>
      <c r="J6" s="2335"/>
      <c r="Q6" s="1686"/>
    </row>
    <row r="7" spans="1:17" x14ac:dyDescent="0.2">
      <c r="A7" s="2336" t="s">
        <v>924</v>
      </c>
      <c r="B7" s="2337"/>
      <c r="C7" s="2337"/>
      <c r="D7" s="2337"/>
      <c r="E7" s="2338"/>
      <c r="F7" s="1018"/>
      <c r="G7" s="1010"/>
      <c r="H7" s="1017" t="s">
        <v>390</v>
      </c>
      <c r="I7" s="2339">
        <f>COVER!A13</f>
        <v>24047018016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204241</v>
      </c>
      <c r="F12" s="1040"/>
      <c r="G12" s="1834">
        <f t="shared" ref="G12:G18" si="0">SUM(E12:F12)</f>
        <v>204241</v>
      </c>
      <c r="H12" s="1041">
        <v>189717</v>
      </c>
      <c r="I12" s="1040"/>
      <c r="J12" s="1834">
        <f t="shared" ref="J12:J18" si="1">SUM(H12:I12)</f>
        <v>189717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204241</v>
      </c>
      <c r="F19" s="1836">
        <f t="shared" si="2"/>
        <v>0</v>
      </c>
      <c r="G19" s="1836">
        <f t="shared" si="2"/>
        <v>204241</v>
      </c>
      <c r="H19" s="1836">
        <f t="shared" si="2"/>
        <v>189717</v>
      </c>
      <c r="I19" s="1836">
        <f t="shared" si="2"/>
        <v>0</v>
      </c>
      <c r="J19" s="1836">
        <f t="shared" si="2"/>
        <v>189717</v>
      </c>
    </row>
    <row r="20" spans="1:10" ht="13.5" thickTop="1" x14ac:dyDescent="0.2">
      <c r="A20" s="1036">
        <v>9</v>
      </c>
      <c r="B20" s="2346" t="s">
        <v>1703</v>
      </c>
      <c r="C20" s="2346"/>
      <c r="D20" s="2347"/>
      <c r="E20" s="1047"/>
      <c r="F20" s="1047"/>
      <c r="G20" s="1047"/>
      <c r="H20" s="1047"/>
      <c r="I20" s="1047"/>
      <c r="J20" s="1837">
        <f>IF(AND(G19&gt;0,J19&gt;0),(((J19-G19)/G19)),"Enter Budget Data")</f>
        <v>-7.1112068585641466E-2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v>2</v>
      </c>
      <c r="B6" s="329" t="s">
        <v>2111</v>
      </c>
    </row>
    <row r="7" spans="1:2" x14ac:dyDescent="0.2">
      <c r="A7" s="1069">
        <v>3</v>
      </c>
      <c r="B7" s="329" t="s">
        <v>2112</v>
      </c>
    </row>
    <row r="8" spans="1:2" x14ac:dyDescent="0.2">
      <c r="A8" s="1069">
        <v>4</v>
      </c>
      <c r="B8" s="329" t="s">
        <v>2160</v>
      </c>
    </row>
    <row r="9" spans="1:2" x14ac:dyDescent="0.2">
      <c r="A9" s="1069">
        <v>5</v>
      </c>
      <c r="B9" s="329" t="s">
        <v>2161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Newark CHSD 18</v>
      </c>
    </row>
    <row r="65" spans="2:2" x14ac:dyDescent="0.2">
      <c r="B65" s="1071">
        <f>COVER!A13</f>
        <v>24047018016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5" sqref="A1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autoPict="0" r:id="rId5">
            <anchor moveWithCells="1">
              <from>
                <xdr:col>0</xdr:col>
                <xdr:colOff>28575</xdr:colOff>
                <xdr:row>1</xdr:row>
                <xdr:rowOff>57150</xdr:rowOff>
              </from>
              <to>
                <xdr:col>1</xdr:col>
                <xdr:colOff>771525</xdr:colOff>
                <xdr:row>5</xdr:row>
                <xdr:rowOff>114300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autoPict="0" r:id="rId5">
            <anchor moveWithCells="1">
              <from>
                <xdr:col>1</xdr:col>
                <xdr:colOff>904875</xdr:colOff>
                <xdr:row>1</xdr:row>
                <xdr:rowOff>76200</xdr:rowOff>
              </from>
              <to>
                <xdr:col>1</xdr:col>
                <xdr:colOff>1771650</xdr:colOff>
                <xdr:row>5</xdr:row>
                <xdr:rowOff>133350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autoPict="0" r:id="rId5">
            <anchor moveWithCells="1">
              <from>
                <xdr:col>1</xdr:col>
                <xdr:colOff>1943100</xdr:colOff>
                <xdr:row>1</xdr:row>
                <xdr:rowOff>76200</xdr:rowOff>
              </from>
              <to>
                <xdr:col>1</xdr:col>
                <xdr:colOff>2800350</xdr:colOff>
                <xdr:row>5</xdr:row>
                <xdr:rowOff>133350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1</xdr:col>
                <xdr:colOff>3019425</xdr:colOff>
                <xdr:row>1</xdr:row>
                <xdr:rowOff>66675</xdr:rowOff>
              </from>
              <to>
                <xdr:col>1</xdr:col>
                <xdr:colOff>3933825</xdr:colOff>
                <xdr:row>5</xdr:row>
                <xdr:rowOff>104775</xdr:rowOff>
              </to>
            </anchor>
          </objectPr>
        </oleObject>
      </mc:Choice>
      <mc:Fallback>
        <oleObject progId="AcroExch.Document.11" dvAspect="DVASPECT_ICON" shapeId="50180" r:id="rId8"/>
      </mc:Fallback>
    </mc:AlternateContent>
    <mc:AlternateContent xmlns:mc="http://schemas.openxmlformats.org/markup-compatibility/2006">
      <mc:Choice Requires="x14">
        <oleObject progId="Acrobat Document" dvAspect="DVASPECT_ICON" shapeId="50181" r:id="rId10">
          <objectPr defaultSize="0" r:id="rId11">
            <anchor moveWithCells="1">
              <from>
                <xdr:col>3</xdr:col>
                <xdr:colOff>66675</xdr:colOff>
                <xdr:row>2</xdr:row>
                <xdr:rowOff>28575</xdr:rowOff>
              </from>
              <to>
                <xdr:col>4</xdr:col>
                <xdr:colOff>371475</xdr:colOff>
                <xdr:row>6</xdr:row>
                <xdr:rowOff>142875</xdr:rowOff>
              </to>
            </anchor>
          </objectPr>
        </oleObject>
      </mc:Choice>
      <mc:Fallback>
        <oleObject progId="Acrobat Document" dvAspect="DVASPECT_ICON" shapeId="50181"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2540810</v>
      </c>
      <c r="C8" s="1838">
        <f>'Acct Summary 7-8'!D8</f>
        <v>312990</v>
      </c>
      <c r="D8" s="1838">
        <f>'Acct Summary 7-8'!F8</f>
        <v>356313</v>
      </c>
      <c r="E8" s="1838">
        <f>'Acct Summary 7-8'!I8</f>
        <v>56706</v>
      </c>
      <c r="F8" s="1838">
        <f>SUM(B8:E8)</f>
        <v>3266819</v>
      </c>
    </row>
    <row r="9" spans="1:8" s="1080" customFormat="1" ht="14.25" customHeight="1" thickBot="1" x14ac:dyDescent="0.25">
      <c r="A9" s="1079" t="s">
        <v>1436</v>
      </c>
      <c r="B9" s="1839">
        <f>'Acct Summary 7-8'!C17</f>
        <v>2469942</v>
      </c>
      <c r="C9" s="1839">
        <f>'Acct Summary 7-8'!D17</f>
        <v>308336</v>
      </c>
      <c r="D9" s="1839">
        <f>'Acct Summary 7-8'!F17</f>
        <v>345413</v>
      </c>
      <c r="E9" s="1838"/>
      <c r="F9" s="1838">
        <f>SUM(B9:E9)</f>
        <v>3123691</v>
      </c>
    </row>
    <row r="10" spans="1:8" s="1080" customFormat="1" ht="14.25" thickTop="1" thickBot="1" x14ac:dyDescent="0.25">
      <c r="A10" s="1081" t="s">
        <v>1437</v>
      </c>
      <c r="B10" s="1840">
        <f>(B8-B9)</f>
        <v>70868</v>
      </c>
      <c r="C10" s="1840">
        <f>(C8-C9)</f>
        <v>4654</v>
      </c>
      <c r="D10" s="1840">
        <f>(D8-D9)</f>
        <v>10900</v>
      </c>
      <c r="E10" s="1839">
        <f>(E8-E9)</f>
        <v>56706</v>
      </c>
      <c r="F10" s="1841">
        <f>SUM(F8-F9)</f>
        <v>143128</v>
      </c>
    </row>
    <row r="11" spans="1:8" s="1080" customFormat="1" ht="14.25" thickTop="1" thickBot="1" x14ac:dyDescent="0.25">
      <c r="A11" s="1082" t="s">
        <v>1785</v>
      </c>
      <c r="B11" s="1842">
        <f>'Acct Summary 7-8'!C81</f>
        <v>2516429</v>
      </c>
      <c r="C11" s="1842">
        <f>'Acct Summary 7-8'!D81</f>
        <v>575578</v>
      </c>
      <c r="D11" s="1842">
        <f>'Acct Summary 7-8'!F81</f>
        <v>320473</v>
      </c>
      <c r="E11" s="1842">
        <f>'Acct Summary 7-8'!I81</f>
        <v>1222758</v>
      </c>
      <c r="F11" s="1843">
        <f>SUM(B11:E11)</f>
        <v>4635238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24047018016</v>
      </c>
    </row>
    <row r="3" spans="1:2" x14ac:dyDescent="0.2">
      <c r="A3" t="s">
        <v>1013</v>
      </c>
      <c r="B3" s="138" t="str">
        <f>COVER!A15</f>
        <v>Kendall</v>
      </c>
    </row>
    <row r="4" spans="1:2" x14ac:dyDescent="0.2">
      <c r="A4" t="s">
        <v>1064</v>
      </c>
      <c r="B4" s="138" t="str">
        <f>COVER!A17</f>
        <v>Newark CHSD 18</v>
      </c>
    </row>
    <row r="5" spans="1:2" x14ac:dyDescent="0.2">
      <c r="A5" t="s">
        <v>728</v>
      </c>
      <c r="B5" s="138" t="str">
        <f>COVER!A38</f>
        <v>Amy 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1554205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2516429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2352192</v>
      </c>
      <c r="D92" s="2" t="str">
        <f t="shared" si="0"/>
        <v>Error?</v>
      </c>
    </row>
    <row r="93" spans="1:4" x14ac:dyDescent="0.2">
      <c r="A93" s="5">
        <v>32</v>
      </c>
      <c r="B93" s="138">
        <f>'Assets-Liab 5-6'!C41</f>
        <v>2516429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246700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575578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575578</v>
      </c>
      <c r="D123" s="2" t="str">
        <f t="shared" si="0"/>
        <v>Error?</v>
      </c>
    </row>
    <row r="124" spans="1:4" x14ac:dyDescent="0.2">
      <c r="A124" s="5">
        <v>63</v>
      </c>
      <c r="B124" s="138">
        <f>'Assets-Liab 5-6'!D41</f>
        <v>575578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88998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88998</v>
      </c>
      <c r="D140" s="2" t="str">
        <f t="shared" si="1"/>
        <v>Error?</v>
      </c>
    </row>
    <row r="141" spans="1:4" x14ac:dyDescent="0.2">
      <c r="A141" s="5">
        <v>80</v>
      </c>
      <c r="B141" s="138">
        <f>'Assets-Liab 5-6'!E41</f>
        <v>88998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247500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320473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320473</v>
      </c>
      <c r="D170" s="2" t="str">
        <f t="shared" si="1"/>
        <v>Error?</v>
      </c>
    </row>
    <row r="171" spans="1:4" x14ac:dyDescent="0.2">
      <c r="A171" s="5">
        <v>110</v>
      </c>
      <c r="B171" s="138">
        <f>'Assets-Liab 5-6'!F41</f>
        <v>320473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94070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62089</v>
      </c>
      <c r="D189" s="2" t="str">
        <f t="shared" si="1"/>
        <v>Error?</v>
      </c>
    </row>
    <row r="190" spans="1:4" x14ac:dyDescent="0.2">
      <c r="A190" s="5">
        <v>129</v>
      </c>
      <c r="B190" s="138">
        <f>'Assets-Liab 5-6'!G41</f>
        <v>94070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177257</v>
      </c>
      <c r="D273" s="2" t="str">
        <f t="shared" si="3"/>
        <v>Error?</v>
      </c>
    </row>
    <row r="274" spans="1:4" x14ac:dyDescent="0.2">
      <c r="A274" s="5">
        <v>213</v>
      </c>
      <c r="B274" s="138">
        <f>'Assets-Liab 5-6'!M17</f>
        <v>2357560</v>
      </c>
      <c r="D274" s="2" t="str">
        <f t="shared" si="3"/>
        <v>Error?</v>
      </c>
    </row>
    <row r="275" spans="1:4" x14ac:dyDescent="0.2">
      <c r="A275" s="5">
        <v>214</v>
      </c>
      <c r="B275" s="138">
        <f>'Assets-Liab 5-6'!M18</f>
        <v>94628</v>
      </c>
      <c r="D275" s="2" t="str">
        <f t="shared" si="3"/>
        <v>Error?</v>
      </c>
    </row>
    <row r="276" spans="1:4" x14ac:dyDescent="0.2">
      <c r="A276" s="5">
        <v>215</v>
      </c>
      <c r="B276" s="138">
        <f>'Assets-Liab 5-6'!M19</f>
        <v>244008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2873453</v>
      </c>
      <c r="C279" s="2" t="s">
        <v>594</v>
      </c>
      <c r="D279" s="2" t="str">
        <f t="shared" si="3"/>
        <v>Error?</v>
      </c>
    </row>
    <row r="280" spans="1:4" x14ac:dyDescent="0.2">
      <c r="A280" s="5">
        <v>219</v>
      </c>
      <c r="B280" s="138">
        <f>'Assets-Liab 5-6'!M40</f>
        <v>2873453</v>
      </c>
      <c r="D280" s="2" t="str">
        <f t="shared" si="3"/>
        <v>Error?</v>
      </c>
    </row>
    <row r="281" spans="1:4" x14ac:dyDescent="0.2">
      <c r="A281" s="5">
        <v>220</v>
      </c>
      <c r="B281" s="138">
        <f>'Assets-Liab 5-6'!M41</f>
        <v>2873453</v>
      </c>
      <c r="C281" s="2" t="s">
        <v>594</v>
      </c>
      <c r="D281" s="2" t="str">
        <f t="shared" si="3"/>
        <v>Error?</v>
      </c>
    </row>
    <row r="282" spans="1:4" x14ac:dyDescent="0.2">
      <c r="A282" s="5">
        <v>221</v>
      </c>
      <c r="B282" s="138">
        <f>'Assets-Liab 5-6'!N21</f>
        <v>88998</v>
      </c>
      <c r="D282" s="2" t="str">
        <f t="shared" si="3"/>
        <v>Error?</v>
      </c>
    </row>
    <row r="283" spans="1:4" x14ac:dyDescent="0.2">
      <c r="A283" s="5">
        <v>222</v>
      </c>
      <c r="B283" s="138">
        <f>'Assets-Liab 5-6'!N22</f>
        <v>71002</v>
      </c>
      <c r="D283" s="2" t="str">
        <f t="shared" si="3"/>
        <v>Error?</v>
      </c>
    </row>
    <row r="284" spans="1:4" x14ac:dyDescent="0.2">
      <c r="A284" s="5">
        <v>223</v>
      </c>
      <c r="B284" s="138">
        <f>'Assets-Liab 5-6'!N23</f>
        <v>160000</v>
      </c>
      <c r="C284" s="2" t="s">
        <v>594</v>
      </c>
      <c r="D284" s="2" t="str">
        <f t="shared" si="3"/>
        <v>Error?</v>
      </c>
    </row>
    <row r="285" spans="1:4" x14ac:dyDescent="0.2">
      <c r="A285" s="5">
        <v>224</v>
      </c>
      <c r="B285" s="138">
        <f>'Assets-Liab 5-6'!N36</f>
        <v>160000</v>
      </c>
      <c r="D285" s="2" t="str">
        <f t="shared" si="3"/>
        <v>Error?</v>
      </c>
    </row>
    <row r="286" spans="1:4" x14ac:dyDescent="0.2">
      <c r="A286" s="10">
        <v>225</v>
      </c>
      <c r="D286" s="2" t="str">
        <f t="shared" si="3"/>
        <v>OK</v>
      </c>
    </row>
    <row r="287" spans="1:4" x14ac:dyDescent="0.2">
      <c r="A287" s="5">
        <v>226</v>
      </c>
      <c r="B287" s="138">
        <f>'Assets-Liab 5-6'!N37</f>
        <v>160000</v>
      </c>
      <c r="C287" s="2" t="s">
        <v>594</v>
      </c>
      <c r="D287" s="2" t="str">
        <f t="shared" si="3"/>
        <v>Error?</v>
      </c>
    </row>
    <row r="288" spans="1:4" x14ac:dyDescent="0.2">
      <c r="A288" s="5">
        <v>227</v>
      </c>
      <c r="B288" s="138">
        <f>'Assets-Liab 5-6'!N41</f>
        <v>160000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23600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687477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171676</v>
      </c>
      <c r="D717" s="2" t="str">
        <f t="shared" si="10"/>
        <v>Error?</v>
      </c>
    </row>
    <row r="718" spans="1:4" x14ac:dyDescent="0.2">
      <c r="A718" s="5">
        <v>657</v>
      </c>
      <c r="B718" s="138">
        <f>'Expenditures 15-22'!C14</f>
        <v>58175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1017962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121251</v>
      </c>
      <c r="D722" s="2" t="str">
        <f t="shared" si="10"/>
        <v>Error?</v>
      </c>
    </row>
    <row r="723" spans="1:4" x14ac:dyDescent="0.2">
      <c r="A723" s="5">
        <v>662</v>
      </c>
      <c r="B723" s="138">
        <f>'Expenditures 15-22'!C38</f>
        <v>8077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129328</v>
      </c>
      <c r="C727" s="2" t="s">
        <v>594</v>
      </c>
      <c r="D727" s="2" t="str">
        <f t="shared" si="10"/>
        <v>Error?</v>
      </c>
    </row>
    <row r="728" spans="1:4" x14ac:dyDescent="0.2">
      <c r="A728" s="5">
        <v>667</v>
      </c>
      <c r="B728" s="138">
        <f>'Expenditures 15-22'!C44</f>
        <v>1825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1825</v>
      </c>
      <c r="C731" s="2" t="s">
        <v>594</v>
      </c>
      <c r="D731" s="2" t="str">
        <f t="shared" si="10"/>
        <v>Error?</v>
      </c>
    </row>
    <row r="732" spans="1:4" x14ac:dyDescent="0.2">
      <c r="A732" s="5">
        <v>671</v>
      </c>
      <c r="B732" s="138">
        <f>'Expenditures 15-22'!C49</f>
        <v>2715</v>
      </c>
      <c r="D732" s="2" t="str">
        <f t="shared" si="10"/>
        <v>Error?</v>
      </c>
    </row>
    <row r="733" spans="1:4" x14ac:dyDescent="0.2">
      <c r="A733" s="5">
        <v>672</v>
      </c>
      <c r="B733" s="138">
        <f>'Expenditures 15-22'!C50</f>
        <v>125586</v>
      </c>
      <c r="D733" s="2" t="str">
        <f t="shared" si="10"/>
        <v>Error?</v>
      </c>
    </row>
    <row r="734" spans="1:4" x14ac:dyDescent="0.2">
      <c r="A734" s="5">
        <v>673</v>
      </c>
      <c r="B734" s="138">
        <f>'Expenditures 15-22'!C53</f>
        <v>128301</v>
      </c>
      <c r="C734" s="2" t="s">
        <v>594</v>
      </c>
      <c r="D734" s="2" t="str">
        <f t="shared" si="10"/>
        <v>Error?</v>
      </c>
    </row>
    <row r="735" spans="1:4" x14ac:dyDescent="0.2">
      <c r="A735" s="5">
        <v>674</v>
      </c>
      <c r="B735" s="138">
        <f>'Expenditures 15-22'!C55</f>
        <v>102195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102195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33532</v>
      </c>
      <c r="D739" s="2" t="str">
        <f t="shared" si="10"/>
        <v>Error?</v>
      </c>
    </row>
    <row r="740" spans="1:4" x14ac:dyDescent="0.2">
      <c r="A740" s="5">
        <v>679</v>
      </c>
      <c r="B740" s="138">
        <f>'Expenditures 15-22'!C61</f>
        <v>57204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90736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452385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1470347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158819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37181</v>
      </c>
      <c r="D775" s="2" t="str">
        <f t="shared" si="11"/>
        <v>Error?</v>
      </c>
    </row>
    <row r="776" spans="1:4" x14ac:dyDescent="0.2">
      <c r="A776" s="5">
        <v>715</v>
      </c>
      <c r="B776" s="138">
        <f>'Expenditures 15-22'!D14</f>
        <v>4277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229567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30784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30784</v>
      </c>
      <c r="C785" s="2" t="s">
        <v>594</v>
      </c>
      <c r="D785" s="2" t="str">
        <f t="shared" si="11"/>
        <v>Error?</v>
      </c>
    </row>
    <row r="786" spans="1:4" x14ac:dyDescent="0.2">
      <c r="A786" s="5">
        <v>725</v>
      </c>
      <c r="B786" s="138">
        <f>'Expenditures 15-22'!D44</f>
        <v>89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41685</v>
      </c>
      <c r="D791" s="2" t="str">
        <f t="shared" si="11"/>
        <v>Error?</v>
      </c>
    </row>
    <row r="792" spans="1:4" x14ac:dyDescent="0.2">
      <c r="A792" s="5">
        <v>731</v>
      </c>
      <c r="B792" s="138">
        <f>'Expenditures 15-22'!D53</f>
        <v>43546</v>
      </c>
      <c r="C792" s="2" t="s">
        <v>594</v>
      </c>
      <c r="D792" s="2" t="str">
        <f t="shared" si="11"/>
        <v>Error?</v>
      </c>
    </row>
    <row r="793" spans="1:4" x14ac:dyDescent="0.2">
      <c r="A793" s="5">
        <v>732</v>
      </c>
      <c r="B793" s="138">
        <f>'Expenditures 15-22'!D55</f>
        <v>23045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23045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1500</v>
      </c>
      <c r="D797" s="2" t="str">
        <f t="shared" si="11"/>
        <v>Error?</v>
      </c>
    </row>
    <row r="798" spans="1:4" x14ac:dyDescent="0.2">
      <c r="A798" s="5">
        <v>737</v>
      </c>
      <c r="B798" s="138">
        <f>'Expenditures 15-22'!D61</f>
        <v>5334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6834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104298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333865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9907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3026</v>
      </c>
      <c r="D833" s="2" t="str">
        <f t="shared" si="12"/>
        <v>Error?</v>
      </c>
    </row>
    <row r="834" spans="1:4" x14ac:dyDescent="0.2">
      <c r="A834" s="5">
        <v>773</v>
      </c>
      <c r="B834" s="138">
        <f>'Expenditures 15-22'!E14</f>
        <v>14300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27995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4190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4190</v>
      </c>
      <c r="C843" s="2" t="s">
        <v>594</v>
      </c>
      <c r="D843" s="2" t="str">
        <f t="shared" si="12"/>
        <v>Error?</v>
      </c>
    </row>
    <row r="844" spans="1:4" x14ac:dyDescent="0.2">
      <c r="A844" s="5">
        <v>783</v>
      </c>
      <c r="B844" s="138">
        <f>'Expenditures 15-22'!E44</f>
        <v>1182</v>
      </c>
      <c r="D844" s="2" t="str">
        <f t="shared" si="12"/>
        <v>Error?</v>
      </c>
    </row>
    <row r="845" spans="1:4" x14ac:dyDescent="0.2">
      <c r="A845" s="5">
        <v>784</v>
      </c>
      <c r="B845" s="138">
        <f>'Expenditures 15-22'!E45</f>
        <v>5795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6977</v>
      </c>
      <c r="C847" s="2" t="s">
        <v>594</v>
      </c>
      <c r="D847" s="2" t="str">
        <f t="shared" si="12"/>
        <v>Error?</v>
      </c>
    </row>
    <row r="848" spans="1:4" x14ac:dyDescent="0.2">
      <c r="A848" s="5">
        <v>787</v>
      </c>
      <c r="B848" s="138">
        <f>'Expenditures 15-22'!E49</f>
        <v>23470</v>
      </c>
      <c r="D848" s="2" t="str">
        <f t="shared" si="12"/>
        <v>Error?</v>
      </c>
    </row>
    <row r="849" spans="1:4" x14ac:dyDescent="0.2">
      <c r="A849" s="5">
        <v>788</v>
      </c>
      <c r="B849" s="138">
        <f>'Expenditures 15-22'!E50</f>
        <v>18454</v>
      </c>
      <c r="D849" s="2" t="str">
        <f t="shared" si="12"/>
        <v>Error?</v>
      </c>
    </row>
    <row r="850" spans="1:4" x14ac:dyDescent="0.2">
      <c r="A850" s="5">
        <v>789</v>
      </c>
      <c r="B850" s="138">
        <f>'Expenditures 15-22'!E53</f>
        <v>41924</v>
      </c>
      <c r="C850" s="2" t="s">
        <v>594</v>
      </c>
      <c r="D850" s="2" t="str">
        <f t="shared" si="12"/>
        <v>Error?</v>
      </c>
    </row>
    <row r="851" spans="1:4" x14ac:dyDescent="0.2">
      <c r="A851" s="5">
        <v>790</v>
      </c>
      <c r="B851" s="138">
        <f>'Expenditures 15-22'!E55</f>
        <v>798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2922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17821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17821</v>
      </c>
      <c r="C869" s="2" t="s">
        <v>594</v>
      </c>
      <c r="D869" s="2" t="str">
        <f t="shared" si="12"/>
        <v>Error?</v>
      </c>
    </row>
    <row r="870" spans="1:4" x14ac:dyDescent="0.2">
      <c r="A870" s="5">
        <v>809</v>
      </c>
      <c r="B870" s="138">
        <f>'Expenditures 15-22'!E73</f>
        <v>3789</v>
      </c>
      <c r="D870" s="2" t="str">
        <f t="shared" si="12"/>
        <v>Error?</v>
      </c>
    </row>
    <row r="871" spans="1:4" x14ac:dyDescent="0.2">
      <c r="A871" s="5">
        <v>810</v>
      </c>
      <c r="B871" s="138">
        <f>'Expenditures 15-22'!E74</f>
        <v>78421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402336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51725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17059</v>
      </c>
      <c r="D891" s="2" t="str">
        <f t="shared" si="12"/>
        <v>Error?</v>
      </c>
    </row>
    <row r="892" spans="1:4" x14ac:dyDescent="0.2">
      <c r="A892" s="5">
        <v>831</v>
      </c>
      <c r="B892" s="138">
        <f>'Expenditures 15-22'!F14</f>
        <v>30767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101365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1121</v>
      </c>
      <c r="D896" s="2" t="str">
        <f t="shared" si="13"/>
        <v>Error?</v>
      </c>
    </row>
    <row r="897" spans="1:4" x14ac:dyDescent="0.2">
      <c r="A897" s="5">
        <v>836</v>
      </c>
      <c r="B897" s="138">
        <f>'Expenditures 15-22'!F38</f>
        <v>671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1792</v>
      </c>
      <c r="C901" s="2" t="s">
        <v>594</v>
      </c>
      <c r="D901" s="2" t="str">
        <f t="shared" si="13"/>
        <v>Error?</v>
      </c>
    </row>
    <row r="902" spans="1:4" x14ac:dyDescent="0.2">
      <c r="A902" s="5">
        <v>841</v>
      </c>
      <c r="B902" s="138">
        <f>'Expenditures 15-22'!F44</f>
        <v>4449</v>
      </c>
      <c r="D902" s="2" t="str">
        <f t="shared" si="13"/>
        <v>Error?</v>
      </c>
    </row>
    <row r="903" spans="1:4" x14ac:dyDescent="0.2">
      <c r="A903" s="5">
        <v>842</v>
      </c>
      <c r="B903" s="138">
        <f>'Expenditures 15-22'!F45</f>
        <v>5717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10166</v>
      </c>
      <c r="C905" s="2" t="s">
        <v>594</v>
      </c>
      <c r="D905" s="2" t="str">
        <f t="shared" si="13"/>
        <v>Error?</v>
      </c>
    </row>
    <row r="906" spans="1:4" x14ac:dyDescent="0.2">
      <c r="A906" s="5">
        <v>845</v>
      </c>
      <c r="B906" s="138">
        <f>'Expenditures 15-22'!F49</f>
        <v>592</v>
      </c>
      <c r="D906" s="2" t="str">
        <f t="shared" si="13"/>
        <v>Error?</v>
      </c>
    </row>
    <row r="907" spans="1:4" x14ac:dyDescent="0.2">
      <c r="A907" s="5">
        <v>846</v>
      </c>
      <c r="B907" s="138">
        <f>'Expenditures 15-22'!F50</f>
        <v>5310</v>
      </c>
      <c r="D907" s="2" t="str">
        <f t="shared" si="13"/>
        <v>Error?</v>
      </c>
    </row>
    <row r="908" spans="1:4" x14ac:dyDescent="0.2">
      <c r="A908" s="5">
        <v>847</v>
      </c>
      <c r="B908" s="138">
        <f>'Expenditures 15-22'!F53</f>
        <v>5902</v>
      </c>
      <c r="C908" s="2" t="s">
        <v>594</v>
      </c>
      <c r="D908" s="2" t="str">
        <f t="shared" si="13"/>
        <v>Error?</v>
      </c>
    </row>
    <row r="909" spans="1:4" x14ac:dyDescent="0.2">
      <c r="A909" s="5">
        <v>848</v>
      </c>
      <c r="B909" s="138">
        <f>'Expenditures 15-22'!F55</f>
        <v>3675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3675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940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3848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3848</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26323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127688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15664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7591</v>
      </c>
      <c r="D949" s="2" t="str">
        <f t="shared" si="13"/>
        <v>Error?</v>
      </c>
    </row>
    <row r="950" spans="1:4" x14ac:dyDescent="0.2">
      <c r="A950" s="5">
        <v>889</v>
      </c>
      <c r="B950" s="138">
        <f>'Expenditures 15-22'!G14</f>
        <v>6622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29877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21245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21245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340</v>
      </c>
      <c r="D965" s="2" t="str">
        <f t="shared" si="14"/>
        <v>Error?</v>
      </c>
    </row>
    <row r="966" spans="1:4" x14ac:dyDescent="0.2">
      <c r="A966" s="5">
        <v>905</v>
      </c>
      <c r="B966" s="138">
        <f>'Expenditures 15-22'!G53</f>
        <v>340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21585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51462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1454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390</v>
      </c>
      <c r="D1007" s="2" t="str">
        <f t="shared" si="14"/>
        <v>Error?</v>
      </c>
    </row>
    <row r="1008" spans="1:4" x14ac:dyDescent="0.2">
      <c r="A1008" s="5">
        <v>947</v>
      </c>
      <c r="B1008" s="138">
        <f>'Expenditures 15-22'!H14</f>
        <v>5504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7933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586</v>
      </c>
      <c r="D1022" s="2" t="str">
        <f t="shared" si="14"/>
        <v>Error?</v>
      </c>
    </row>
    <row r="1023" spans="1:4" x14ac:dyDescent="0.2">
      <c r="A1023" s="5">
        <v>962</v>
      </c>
      <c r="B1023" s="138">
        <f>'Expenditures 15-22'!H50</f>
        <v>12866</v>
      </c>
      <c r="D1023" s="2" t="str">
        <f t="shared" ref="D1023:D1086" si="15">IF(ISBLANK(B1023),"OK",IF(A1023-B1023=0,"OK","Error?"))</f>
        <v>Error?</v>
      </c>
    </row>
    <row r="1024" spans="1:4" x14ac:dyDescent="0.2">
      <c r="A1024" s="5">
        <v>963</v>
      </c>
      <c r="B1024" s="138">
        <f>'Expenditures 15-22'!H53</f>
        <v>13452</v>
      </c>
      <c r="C1024" s="2" t="s">
        <v>594</v>
      </c>
      <c r="D1024" s="2" t="str">
        <f t="shared" si="15"/>
        <v>Error?</v>
      </c>
    </row>
    <row r="1025" spans="1:4" x14ac:dyDescent="0.2">
      <c r="A1025" s="5">
        <v>964</v>
      </c>
      <c r="B1025" s="138">
        <f>'Expenditures 15-22'!H55</f>
        <v>865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865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14317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61994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84244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925046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236923</v>
      </c>
      <c r="C1105" s="2" t="s">
        <v>594</v>
      </c>
      <c r="D1105" s="2" t="str">
        <f t="shared" si="16"/>
        <v>Error?</v>
      </c>
    </row>
    <row r="1106" spans="1:4" x14ac:dyDescent="0.2">
      <c r="A1106" s="5">
        <v>1045</v>
      </c>
      <c r="B1106" s="138">
        <f>'Expenditures 15-22'!K14</f>
        <v>119645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1414699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157346</v>
      </c>
      <c r="C1110" s="2" t="s">
        <v>594</v>
      </c>
      <c r="D1110" s="2" t="str">
        <f t="shared" si="16"/>
        <v>Error?</v>
      </c>
    </row>
    <row r="1111" spans="1:4" x14ac:dyDescent="0.2">
      <c r="A1111" s="5">
        <v>1050</v>
      </c>
      <c r="B1111" s="138">
        <f>'Expenditures 15-22'!K38</f>
        <v>8748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166094</v>
      </c>
      <c r="C1115" s="2" t="s">
        <v>594</v>
      </c>
      <c r="D1115" s="2" t="str">
        <f t="shared" si="16"/>
        <v>Error?</v>
      </c>
    </row>
    <row r="1116" spans="1:4" x14ac:dyDescent="0.2">
      <c r="A1116" s="5">
        <v>1055</v>
      </c>
      <c r="B1116" s="138">
        <f>'Expenditures 15-22'!K44</f>
        <v>28790</v>
      </c>
      <c r="C1116" s="2" t="s">
        <v>594</v>
      </c>
      <c r="D1116" s="2" t="str">
        <f t="shared" si="16"/>
        <v>Error?</v>
      </c>
    </row>
    <row r="1117" spans="1:4" x14ac:dyDescent="0.2">
      <c r="A1117" s="5">
        <v>1056</v>
      </c>
      <c r="B1117" s="138">
        <f>'Expenditures 15-22'!K45</f>
        <v>11512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40302</v>
      </c>
      <c r="C1119" s="2" t="s">
        <v>594</v>
      </c>
      <c r="D1119" s="2" t="str">
        <f t="shared" si="16"/>
        <v>Error?</v>
      </c>
    </row>
    <row r="1120" spans="1:4" x14ac:dyDescent="0.2">
      <c r="A1120" s="5">
        <v>1059</v>
      </c>
      <c r="B1120" s="138">
        <f>'Expenditures 15-22'!K49</f>
        <v>27363</v>
      </c>
      <c r="C1120" s="2" t="s">
        <v>594</v>
      </c>
      <c r="D1120" s="2" t="str">
        <f t="shared" si="16"/>
        <v>Error?</v>
      </c>
    </row>
    <row r="1121" spans="1:4" x14ac:dyDescent="0.2">
      <c r="A1121" s="5">
        <v>1060</v>
      </c>
      <c r="B1121" s="138">
        <f>'Expenditures 15-22'!K50</f>
        <v>204241</v>
      </c>
      <c r="C1121" s="2" t="s">
        <v>594</v>
      </c>
      <c r="D1121" s="2" t="str">
        <f t="shared" si="16"/>
        <v>Error?</v>
      </c>
    </row>
    <row r="1122" spans="1:4" x14ac:dyDescent="0.2">
      <c r="A1122" s="5">
        <v>1061</v>
      </c>
      <c r="B1122" s="138">
        <f>'Expenditures 15-22'!K53</f>
        <v>233465</v>
      </c>
      <c r="C1122" s="2" t="s">
        <v>594</v>
      </c>
      <c r="D1122" s="2" t="str">
        <f t="shared" si="16"/>
        <v>Error?</v>
      </c>
    </row>
    <row r="1123" spans="1:4" x14ac:dyDescent="0.2">
      <c r="A1123" s="5">
        <v>1062</v>
      </c>
      <c r="B1123" s="138">
        <f>'Expenditures 15-22'!K55</f>
        <v>130578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130578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38894</v>
      </c>
      <c r="C1127" s="2" t="s">
        <v>594</v>
      </c>
      <c r="D1127" s="2" t="str">
        <f t="shared" si="16"/>
        <v>Error?</v>
      </c>
    </row>
    <row r="1128" spans="1:4" x14ac:dyDescent="0.2">
      <c r="A1128" s="5">
        <v>1067</v>
      </c>
      <c r="B1128" s="138">
        <f>'Expenditures 15-22'!K61</f>
        <v>62538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101432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21669</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21669</v>
      </c>
      <c r="C1141" s="2" t="s">
        <v>594</v>
      </c>
      <c r="D1141" s="2" t="str">
        <f t="shared" si="16"/>
        <v>Error?</v>
      </c>
    </row>
    <row r="1142" spans="1:4" x14ac:dyDescent="0.2">
      <c r="A1142" s="5">
        <v>1081</v>
      </c>
      <c r="B1142" s="138">
        <f>'Expenditures 15-22'!K73</f>
        <v>3789</v>
      </c>
      <c r="C1142" s="2" t="s">
        <v>594</v>
      </c>
      <c r="D1142" s="2" t="str">
        <f t="shared" si="16"/>
        <v>Error?</v>
      </c>
    </row>
    <row r="1143" spans="1:4" x14ac:dyDescent="0.2">
      <c r="A1143" s="5">
        <v>1082</v>
      </c>
      <c r="B1143" s="138">
        <f>'Expenditures 15-22'!K74</f>
        <v>697329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357914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2469942</v>
      </c>
      <c r="C1152" s="2" t="s">
        <v>594</v>
      </c>
      <c r="D1152" s="2" t="str">
        <f t="shared" si="17"/>
        <v>Error?</v>
      </c>
    </row>
    <row r="1153" spans="1:4" x14ac:dyDescent="0.2">
      <c r="A1153" s="5">
        <v>1092</v>
      </c>
      <c r="B1153" s="138">
        <f>'Expenditures 15-22'!K115</f>
        <v>70868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89201</v>
      </c>
      <c r="D1221" s="2" t="str">
        <f t="shared" si="18"/>
        <v>Error?</v>
      </c>
    </row>
    <row r="1222" spans="1:4" x14ac:dyDescent="0.2">
      <c r="A1222" s="10">
        <v>1161</v>
      </c>
      <c r="D1222" s="2" t="str">
        <f t="shared" si="18"/>
        <v>OK</v>
      </c>
    </row>
    <row r="1223" spans="1:4" x14ac:dyDescent="0.2">
      <c r="A1223" s="5">
        <v>1162</v>
      </c>
      <c r="B1223" s="138">
        <f>'Expenditures 15-22'!C127</f>
        <v>89201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89201</v>
      </c>
      <c r="C1225" s="2" t="s">
        <v>594</v>
      </c>
      <c r="D1225" s="2" t="str">
        <f t="shared" si="18"/>
        <v>Error?</v>
      </c>
    </row>
    <row r="1226" spans="1:4" x14ac:dyDescent="0.2">
      <c r="A1226" s="5">
        <v>1165</v>
      </c>
      <c r="B1226" s="138">
        <f>'Expenditures 15-22'!C151</f>
        <v>89201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12722</v>
      </c>
      <c r="D1229" s="2" t="str">
        <f t="shared" si="18"/>
        <v>Error?</v>
      </c>
    </row>
    <row r="1230" spans="1:4" x14ac:dyDescent="0.2">
      <c r="A1230" s="10">
        <v>1169</v>
      </c>
      <c r="D1230" s="2" t="str">
        <f t="shared" si="18"/>
        <v>OK</v>
      </c>
    </row>
    <row r="1231" spans="1:4" x14ac:dyDescent="0.2">
      <c r="A1231" s="5">
        <v>1170</v>
      </c>
      <c r="B1231" s="138">
        <f>'Expenditures 15-22'!D127</f>
        <v>12722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12722</v>
      </c>
      <c r="C1233" s="2" t="s">
        <v>594</v>
      </c>
      <c r="D1233" s="2" t="str">
        <f t="shared" si="18"/>
        <v>Error?</v>
      </c>
    </row>
    <row r="1234" spans="1:4" x14ac:dyDescent="0.2">
      <c r="A1234" s="5">
        <v>1173</v>
      </c>
      <c r="B1234" s="138">
        <f>'Expenditures 15-22'!D151</f>
        <v>12722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71929</v>
      </c>
      <c r="D1237" s="2" t="str">
        <f t="shared" si="18"/>
        <v>Error?</v>
      </c>
    </row>
    <row r="1238" spans="1:4" x14ac:dyDescent="0.2">
      <c r="A1238" s="10">
        <v>1177</v>
      </c>
      <c r="D1238" s="2" t="str">
        <f t="shared" si="18"/>
        <v>OK</v>
      </c>
    </row>
    <row r="1239" spans="1:4" x14ac:dyDescent="0.2">
      <c r="A1239" s="5">
        <v>1178</v>
      </c>
      <c r="B1239" s="138">
        <f>'Expenditures 15-22'!E127</f>
        <v>71929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71929</v>
      </c>
      <c r="C1241" s="2" t="s">
        <v>594</v>
      </c>
      <c r="D1241" s="2" t="str">
        <f t="shared" si="18"/>
        <v>Error?</v>
      </c>
    </row>
    <row r="1242" spans="1:4" x14ac:dyDescent="0.2">
      <c r="A1242" s="5">
        <v>1181</v>
      </c>
      <c r="B1242" s="138">
        <f>'Expenditures 15-22'!E151</f>
        <v>71929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59521</v>
      </c>
      <c r="D1245" s="2" t="str">
        <f t="shared" si="18"/>
        <v>Error?</v>
      </c>
    </row>
    <row r="1246" spans="1:4" x14ac:dyDescent="0.2">
      <c r="A1246" s="10">
        <v>1185</v>
      </c>
      <c r="D1246" s="2" t="str">
        <f t="shared" si="18"/>
        <v>OK</v>
      </c>
    </row>
    <row r="1247" spans="1:4" x14ac:dyDescent="0.2">
      <c r="A1247" s="5">
        <v>1186</v>
      </c>
      <c r="B1247" s="138">
        <f>'Expenditures 15-22'!F127</f>
        <v>59521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59521</v>
      </c>
      <c r="C1249" s="2" t="s">
        <v>594</v>
      </c>
      <c r="D1249" s="2" t="str">
        <f t="shared" si="18"/>
        <v>Error?</v>
      </c>
    </row>
    <row r="1250" spans="1:4" x14ac:dyDescent="0.2">
      <c r="A1250" s="5">
        <v>1189</v>
      </c>
      <c r="B1250" s="138">
        <f>'Expenditures 15-22'!F151</f>
        <v>59521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70501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70501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70501</v>
      </c>
      <c r="C1258" s="2" t="s">
        <v>594</v>
      </c>
      <c r="D1258" s="2" t="str">
        <f t="shared" si="18"/>
        <v>Error?</v>
      </c>
    </row>
    <row r="1259" spans="1:4" x14ac:dyDescent="0.2">
      <c r="A1259" s="5">
        <v>1198</v>
      </c>
      <c r="B1259" s="138">
        <f>'Expenditures 15-22'!G151</f>
        <v>70501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4462</v>
      </c>
      <c r="D1262" s="2" t="str">
        <f t="shared" si="18"/>
        <v>Error?</v>
      </c>
    </row>
    <row r="1263" spans="1:4" x14ac:dyDescent="0.2">
      <c r="A1263" s="10">
        <v>1202</v>
      </c>
      <c r="D1263" s="2" t="str">
        <f t="shared" si="18"/>
        <v>OK</v>
      </c>
    </row>
    <row r="1264" spans="1:4" x14ac:dyDescent="0.2">
      <c r="A1264" s="5">
        <v>1203</v>
      </c>
      <c r="B1264" s="138">
        <f>'Expenditures 15-22'!H127</f>
        <v>4462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4462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4462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308336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308336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308336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308336</v>
      </c>
      <c r="C1288" s="2" t="s">
        <v>594</v>
      </c>
      <c r="D1288" s="2" t="str">
        <f t="shared" si="19"/>
        <v>Error?</v>
      </c>
    </row>
    <row r="1289" spans="1:4" x14ac:dyDescent="0.2">
      <c r="A1289" s="5">
        <v>1228</v>
      </c>
      <c r="B1289" s="138">
        <f>'Expenditures 15-22'!K152</f>
        <v>4654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11150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161150</v>
      </c>
      <c r="C1317" s="2" t="s">
        <v>594</v>
      </c>
      <c r="D1317" s="2" t="str">
        <f t="shared" si="19"/>
        <v>Error?</v>
      </c>
    </row>
    <row r="1318" spans="1:4" x14ac:dyDescent="0.2">
      <c r="A1318" s="5">
        <v>1257</v>
      </c>
      <c r="B1318" s="138">
        <f>'Expenditures 15-22'!H174</f>
        <v>161150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11150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161150</v>
      </c>
      <c r="C1331" s="2" t="s">
        <v>594</v>
      </c>
      <c r="D1331" s="2" t="str">
        <f t="shared" si="19"/>
        <v>Error?</v>
      </c>
    </row>
    <row r="1332" spans="1:4" x14ac:dyDescent="0.2">
      <c r="A1332" s="5">
        <v>1271</v>
      </c>
      <c r="B1332" s="138">
        <f>'Expenditures 15-22'!K174</f>
        <v>161150</v>
      </c>
      <c r="C1332" s="2" t="s">
        <v>594</v>
      </c>
      <c r="D1332" s="2" t="str">
        <f t="shared" si="19"/>
        <v>Error?</v>
      </c>
    </row>
    <row r="1333" spans="1:4" x14ac:dyDescent="0.2">
      <c r="A1333" s="5">
        <v>1272</v>
      </c>
      <c r="B1333" s="138">
        <f>'Expenditures 15-22'!K175</f>
        <v>5305</v>
      </c>
      <c r="C1333" s="2" t="s">
        <v>594</v>
      </c>
      <c r="D1333" s="2" t="str">
        <f t="shared" si="19"/>
        <v>Error?</v>
      </c>
    </row>
    <row r="1334" spans="1:4" x14ac:dyDescent="0.2">
      <c r="A1334" s="10">
        <v>1273</v>
      </c>
      <c r="D1334" s="2" t="str">
        <f t="shared" si="19"/>
        <v>OK</v>
      </c>
    </row>
    <row r="1335" spans="1:4" x14ac:dyDescent="0.2">
      <c r="A1335" s="5">
        <v>1274</v>
      </c>
      <c r="B1335" s="138">
        <f>'Expenditures 15-22'!C182</f>
        <v>181397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181397</v>
      </c>
      <c r="C1339" s="2" t="s">
        <v>594</v>
      </c>
      <c r="D1339" s="2" t="str">
        <f t="shared" si="19"/>
        <v>Error?</v>
      </c>
    </row>
    <row r="1340" spans="1:4" x14ac:dyDescent="0.2">
      <c r="A1340" s="5">
        <v>1279</v>
      </c>
      <c r="B1340" s="138">
        <f>'Expenditures 15-22'!C210</f>
        <v>181397</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114330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114330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114330</v>
      </c>
      <c r="C1353" s="2" t="s">
        <v>594</v>
      </c>
      <c r="D1353" s="2" t="str">
        <f t="shared" si="20"/>
        <v>Error?</v>
      </c>
    </row>
    <row r="1354" spans="1:4" x14ac:dyDescent="0.2">
      <c r="A1354" s="5">
        <v>1293</v>
      </c>
      <c r="B1354" s="138">
        <f>'Expenditures 15-22'!F182</f>
        <v>39874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39874</v>
      </c>
      <c r="C1358" s="2" t="s">
        <v>594</v>
      </c>
      <c r="D1358" s="2" t="str">
        <f t="shared" si="20"/>
        <v>Error?</v>
      </c>
    </row>
    <row r="1359" spans="1:4" x14ac:dyDescent="0.2">
      <c r="A1359" s="5">
        <v>1298</v>
      </c>
      <c r="B1359" s="138">
        <f>'Expenditures 15-22'!F210</f>
        <v>39874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9812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9812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9812</v>
      </c>
      <c r="C1376" s="2" t="s">
        <v>594</v>
      </c>
      <c r="D1376" s="2" t="str">
        <f t="shared" si="20"/>
        <v>Error?</v>
      </c>
    </row>
    <row r="1377" spans="1:4" x14ac:dyDescent="0.2">
      <c r="A1377" s="5">
        <v>1316</v>
      </c>
      <c r="B1377" s="138">
        <f>'Expenditures 15-22'!K182</f>
        <v>345413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345413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345413</v>
      </c>
      <c r="C1388" s="2" t="s">
        <v>594</v>
      </c>
      <c r="D1388" s="2" t="str">
        <f t="shared" si="20"/>
        <v>Error?</v>
      </c>
    </row>
    <row r="1389" spans="1:4" x14ac:dyDescent="0.2">
      <c r="A1389" s="5">
        <v>1328</v>
      </c>
      <c r="B1389" s="138">
        <f>'Expenditures 15-22'!K211</f>
        <v>10900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2574</v>
      </c>
      <c r="D1407" s="2" t="str">
        <f t="shared" ref="D1407:D1470" si="21">IF(ISBLANK(B1407),"OK",IF(A1407-B1407=0,"OK","Error?"))</f>
        <v>Error?</v>
      </c>
    </row>
    <row r="1408" spans="1:4" x14ac:dyDescent="0.2">
      <c r="A1408" s="5">
        <v>1347</v>
      </c>
      <c r="B1408" s="138">
        <f>'Expenditures 15-22'!D223</f>
        <v>4750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26487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4245</v>
      </c>
      <c r="D1412" s="2" t="str">
        <f t="shared" si="21"/>
        <v>Error?</v>
      </c>
    </row>
    <row r="1413" spans="1:4" x14ac:dyDescent="0.2">
      <c r="A1413" s="5">
        <v>1352</v>
      </c>
      <c r="B1413" s="138">
        <f>'Expenditures 15-22'!D234</f>
        <v>1251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5496</v>
      </c>
      <c r="C1417" s="2" t="s">
        <v>594</v>
      </c>
      <c r="D1417" s="2" t="str">
        <f t="shared" si="21"/>
        <v>Error?</v>
      </c>
    </row>
    <row r="1418" spans="1:4" x14ac:dyDescent="0.2">
      <c r="A1418" s="5">
        <v>1357</v>
      </c>
      <c r="B1418" s="138">
        <f>'Expenditures 15-22'!D240</f>
        <v>13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v>
      </c>
      <c r="C1421" s="2" t="s">
        <v>594</v>
      </c>
      <c r="D1421" s="2" t="str">
        <f t="shared" si="21"/>
        <v>Error?</v>
      </c>
    </row>
    <row r="1422" spans="1:4" x14ac:dyDescent="0.2">
      <c r="A1422" s="5">
        <v>1361</v>
      </c>
      <c r="B1422" s="138">
        <f>'Expenditures 15-22'!D245</f>
        <v>296</v>
      </c>
      <c r="D1422" s="2" t="str">
        <f t="shared" si="21"/>
        <v>Error?</v>
      </c>
    </row>
    <row r="1423" spans="1:4" x14ac:dyDescent="0.2">
      <c r="A1423" s="5">
        <v>1362</v>
      </c>
      <c r="B1423" s="138">
        <f>'Expenditures 15-22'!D246</f>
        <v>8962</v>
      </c>
      <c r="D1423" s="2" t="str">
        <f t="shared" si="21"/>
        <v>Error?</v>
      </c>
    </row>
    <row r="1424" spans="1:4" x14ac:dyDescent="0.2">
      <c r="A1424" s="5">
        <v>1363</v>
      </c>
      <c r="B1424" s="138">
        <f>'Expenditures 15-22'!D257</f>
        <v>19487</v>
      </c>
      <c r="C1424" s="2" t="s">
        <v>594</v>
      </c>
      <c r="D1424" s="2" t="str">
        <f t="shared" si="21"/>
        <v>Error?</v>
      </c>
    </row>
    <row r="1425" spans="1:4" x14ac:dyDescent="0.2">
      <c r="A1425" s="5">
        <v>1364</v>
      </c>
      <c r="B1425" s="138">
        <f>'Expenditures 15-22'!D259</f>
        <v>7172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7172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28694</v>
      </c>
      <c r="D1431" s="2" t="str">
        <f t="shared" si="21"/>
        <v>Error?</v>
      </c>
    </row>
    <row r="1432" spans="1:4" x14ac:dyDescent="0.2">
      <c r="A1432" s="5">
        <v>1371</v>
      </c>
      <c r="B1432" s="138">
        <f>'Expenditures 15-22'!D267</f>
        <v>36747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72694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104862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131349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2574</v>
      </c>
      <c r="C1471" s="2" t="s">
        <v>594</v>
      </c>
      <c r="D1471" s="2" t="str">
        <f t="shared" ref="D1471:D1534" si="22">IF(ISBLANK(B1471),"OK",IF(A1471-B1471=0,"OK","Error?"))</f>
        <v>Error?</v>
      </c>
    </row>
    <row r="1472" spans="1:4" x14ac:dyDescent="0.2">
      <c r="A1472" s="5">
        <v>1411</v>
      </c>
      <c r="B1472" s="138">
        <f>'Expenditures 15-22'!K223</f>
        <v>4750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26487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4245</v>
      </c>
      <c r="C1476" s="2" t="s">
        <v>594</v>
      </c>
      <c r="D1476" s="2" t="str">
        <f t="shared" si="22"/>
        <v>Error?</v>
      </c>
    </row>
    <row r="1477" spans="1:4" x14ac:dyDescent="0.2">
      <c r="A1477" s="5">
        <v>1416</v>
      </c>
      <c r="B1477" s="138">
        <f>'Expenditures 15-22'!K234</f>
        <v>1251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5496</v>
      </c>
      <c r="C1481" s="2" t="s">
        <v>594</v>
      </c>
      <c r="D1481" s="2" t="str">
        <f t="shared" si="22"/>
        <v>Error?</v>
      </c>
    </row>
    <row r="1482" spans="1:4" x14ac:dyDescent="0.2">
      <c r="A1482" s="5">
        <v>1421</v>
      </c>
      <c r="B1482" s="138">
        <f>'Expenditures 15-22'!K240</f>
        <v>13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v>
      </c>
      <c r="C1485" s="2" t="s">
        <v>594</v>
      </c>
      <c r="D1485" s="2" t="str">
        <f t="shared" si="22"/>
        <v>Error?</v>
      </c>
    </row>
    <row r="1486" spans="1:4" x14ac:dyDescent="0.2">
      <c r="A1486" s="5">
        <v>1425</v>
      </c>
      <c r="B1486" s="138">
        <f>'Expenditures 15-22'!K245</f>
        <v>296</v>
      </c>
      <c r="C1486" s="2" t="s">
        <v>594</v>
      </c>
      <c r="D1486" s="2" t="str">
        <f t="shared" si="22"/>
        <v>Error?</v>
      </c>
    </row>
    <row r="1487" spans="1:4" x14ac:dyDescent="0.2">
      <c r="A1487" s="5">
        <v>1426</v>
      </c>
      <c r="B1487" s="138">
        <f>'Expenditures 15-22'!K246</f>
        <v>8962</v>
      </c>
      <c r="C1487" s="2" t="s">
        <v>594</v>
      </c>
      <c r="D1487" s="2" t="str">
        <f t="shared" si="22"/>
        <v>Error?</v>
      </c>
    </row>
    <row r="1488" spans="1:4" x14ac:dyDescent="0.2">
      <c r="A1488" s="5">
        <v>1427</v>
      </c>
      <c r="B1488" s="138">
        <f>'Expenditures 15-22'!K257</f>
        <v>19487</v>
      </c>
      <c r="C1488" s="2" t="s">
        <v>594</v>
      </c>
      <c r="D1488" s="2" t="str">
        <f t="shared" si="22"/>
        <v>Error?</v>
      </c>
    </row>
    <row r="1489" spans="1:4" x14ac:dyDescent="0.2">
      <c r="A1489" s="5">
        <v>1428</v>
      </c>
      <c r="B1489" s="138">
        <f>'Expenditures 15-22'!K259</f>
        <v>7172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7172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7253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28694</v>
      </c>
      <c r="C1495" s="2" t="s">
        <v>594</v>
      </c>
      <c r="D1495" s="2" t="str">
        <f t="shared" si="22"/>
        <v>Error?</v>
      </c>
    </row>
    <row r="1496" spans="1:4" x14ac:dyDescent="0.2">
      <c r="A1496" s="5">
        <v>1435</v>
      </c>
      <c r="B1496" s="138">
        <f>'Expenditures 15-22'!K267</f>
        <v>36747</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72694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104862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131349</v>
      </c>
      <c r="C1517" s="2" t="s">
        <v>594</v>
      </c>
      <c r="D1517" s="2" t="str">
        <f t="shared" si="22"/>
        <v>Error?</v>
      </c>
    </row>
    <row r="1518" spans="1:4" x14ac:dyDescent="0.2">
      <c r="A1518" s="5">
        <v>1457</v>
      </c>
      <c r="B1518" s="138">
        <f>'Expenditures 15-22'!K296</f>
        <v>-3666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2445561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2516429</v>
      </c>
      <c r="C1630" s="2" t="s">
        <v>594</v>
      </c>
      <c r="D1630" s="2" t="str">
        <f t="shared" si="24"/>
        <v>Error?</v>
      </c>
    </row>
    <row r="1631" spans="1:4" x14ac:dyDescent="0.2">
      <c r="A1631" s="5">
        <v>1570</v>
      </c>
      <c r="B1631" s="138">
        <f>'Acct Summary 7-8'!D79</f>
        <v>547324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575578</v>
      </c>
      <c r="C1644" s="2" t="s">
        <v>594</v>
      </c>
      <c r="D1644" s="2" t="str">
        <f t="shared" si="24"/>
        <v>Error?</v>
      </c>
    </row>
    <row r="1645" spans="1:4" x14ac:dyDescent="0.2">
      <c r="A1645" s="5">
        <v>1584</v>
      </c>
      <c r="B1645" s="138">
        <f>'Acct Summary 7-8'!E79</f>
        <v>83693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88998</v>
      </c>
      <c r="C1658" s="2" t="s">
        <v>594</v>
      </c>
      <c r="D1658" s="2" t="str">
        <f t="shared" si="24"/>
        <v>Error?</v>
      </c>
    </row>
    <row r="1659" spans="1:4" x14ac:dyDescent="0.2">
      <c r="A1659" s="5">
        <v>1598</v>
      </c>
      <c r="B1659" s="138">
        <f>'Acct Summary 7-8'!F79</f>
        <v>309573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320473</v>
      </c>
      <c r="C1672" s="2" t="s">
        <v>594</v>
      </c>
      <c r="D1672" s="2" t="str">
        <f t="shared" si="25"/>
        <v>Error?</v>
      </c>
    </row>
    <row r="1673" spans="1:4" x14ac:dyDescent="0.2">
      <c r="A1673" s="5">
        <v>1612</v>
      </c>
      <c r="B1673" s="138">
        <f>'Acct Summary 7-8'!G79</f>
        <v>97736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94070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1893989</v>
      </c>
      <c r="C1744" s="2" t="s">
        <v>594</v>
      </c>
      <c r="D1744" s="2" t="str">
        <f t="shared" si="26"/>
        <v>Error?</v>
      </c>
    </row>
    <row r="1745" spans="1:5" x14ac:dyDescent="0.2">
      <c r="A1745" s="5">
        <v>1684</v>
      </c>
      <c r="B1745" s="138">
        <f>'Tax Sched 23'!B5</f>
        <v>283531</v>
      </c>
      <c r="C1745" s="2" t="s">
        <v>594</v>
      </c>
      <c r="D1745" s="2" t="str">
        <f t="shared" si="26"/>
        <v>Error?</v>
      </c>
    </row>
    <row r="1746" spans="1:5" x14ac:dyDescent="0.2">
      <c r="A1746" s="5">
        <v>1685</v>
      </c>
      <c r="B1746" s="138">
        <f>'Tax Sched 23'!B6</f>
        <v>166455</v>
      </c>
      <c r="C1746" s="2" t="s">
        <v>594</v>
      </c>
      <c r="D1746" s="2" t="str">
        <f t="shared" si="26"/>
        <v>Error?</v>
      </c>
    </row>
    <row r="1747" spans="1:5" x14ac:dyDescent="0.2">
      <c r="A1747" s="5">
        <v>1686</v>
      </c>
      <c r="B1747" s="138">
        <f>'Tax Sched 23'!B7</f>
        <v>136095</v>
      </c>
      <c r="C1747" s="2" t="s">
        <v>594</v>
      </c>
      <c r="D1747" s="2" t="str">
        <f t="shared" si="26"/>
        <v>Error?</v>
      </c>
    </row>
    <row r="1748" spans="1:5" x14ac:dyDescent="0.2">
      <c r="A1748" s="5">
        <v>1687</v>
      </c>
      <c r="B1748" s="138">
        <f>'Tax Sched 23'!B8</f>
        <v>58671</v>
      </c>
      <c r="C1748" s="2" t="s">
        <v>594</v>
      </c>
      <c r="D1748" s="2" t="str">
        <f t="shared" si="26"/>
        <v>Error?</v>
      </c>
    </row>
    <row r="1749" spans="1:5" x14ac:dyDescent="0.2">
      <c r="A1749" s="5">
        <v>1688</v>
      </c>
      <c r="B1749" s="138">
        <f>'Tax Sched 23'!B10</f>
        <v>56706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194298</v>
      </c>
      <c r="C1752" s="2" t="s">
        <v>594</v>
      </c>
      <c r="D1752" s="2" t="str">
        <f t="shared" si="26"/>
        <v>Error?</v>
      </c>
    </row>
    <row r="1753" spans="1:5" x14ac:dyDescent="0.2">
      <c r="A1753" s="5">
        <v>1692</v>
      </c>
      <c r="B1753" s="138">
        <f>'Tax Sched 23'!B12</f>
        <v>56706</v>
      </c>
      <c r="C1753" s="2" t="s">
        <v>594</v>
      </c>
      <c r="D1753" s="2" t="str">
        <f t="shared" si="26"/>
        <v>Error?</v>
      </c>
    </row>
    <row r="1754" spans="1:5" x14ac:dyDescent="0.2">
      <c r="A1754" s="5">
        <v>1693</v>
      </c>
      <c r="B1754" s="138">
        <f>'Tax Sched 23'!B14</f>
        <v>22682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2973681</v>
      </c>
      <c r="C1759" s="2" t="s">
        <v>594</v>
      </c>
      <c r="D1759" s="2" t="str">
        <f t="shared" si="26"/>
        <v>Error?</v>
      </c>
    </row>
    <row r="1760" spans="1:5" x14ac:dyDescent="0.2">
      <c r="A1760" s="5">
        <v>1699</v>
      </c>
      <c r="B1760" s="138">
        <f>'Tax Sched 23'!D4</f>
        <v>923301</v>
      </c>
      <c r="C1760" s="2" t="s">
        <v>594</v>
      </c>
      <c r="D1760" s="2" t="str">
        <f t="shared" si="26"/>
        <v>Error?</v>
      </c>
    </row>
    <row r="1761" spans="1:5" x14ac:dyDescent="0.2">
      <c r="A1761" s="5">
        <v>1700</v>
      </c>
      <c r="B1761" s="138">
        <f>'Tax Sched 23'!D5</f>
        <v>138218</v>
      </c>
      <c r="C1761" s="2" t="s">
        <v>594</v>
      </c>
      <c r="D1761" s="2" t="str">
        <f t="shared" si="26"/>
        <v>Error?</v>
      </c>
    </row>
    <row r="1762" spans="1:5" s="8" customFormat="1" x14ac:dyDescent="0.2">
      <c r="A1762" s="5">
        <v>1701</v>
      </c>
      <c r="B1762" s="138">
        <f>'Tax Sched 23'!D6</f>
        <v>81425</v>
      </c>
      <c r="C1762" s="2" t="s">
        <v>594</v>
      </c>
      <c r="D1762" s="2" t="str">
        <f t="shared" si="26"/>
        <v>Error?</v>
      </c>
      <c r="E1762" s="9"/>
    </row>
    <row r="1763" spans="1:5" x14ac:dyDescent="0.2">
      <c r="A1763" s="5">
        <v>1702</v>
      </c>
      <c r="B1763" s="138">
        <f>'Tax Sched 23'!D7</f>
        <v>66345</v>
      </c>
      <c r="C1763" s="2" t="s">
        <v>594</v>
      </c>
      <c r="D1763" s="2" t="str">
        <f t="shared" si="26"/>
        <v>Error?</v>
      </c>
    </row>
    <row r="1764" spans="1:5" x14ac:dyDescent="0.2">
      <c r="A1764" s="5">
        <v>1703</v>
      </c>
      <c r="B1764" s="138">
        <f>'Tax Sched 23'!D8</f>
        <v>25923</v>
      </c>
      <c r="C1764" s="2" t="s">
        <v>594</v>
      </c>
      <c r="D1764" s="2" t="str">
        <f t="shared" si="26"/>
        <v>Error?</v>
      </c>
    </row>
    <row r="1765" spans="1:5" x14ac:dyDescent="0.2">
      <c r="A1765" s="5">
        <v>1704</v>
      </c>
      <c r="B1765" s="138">
        <f>'Tax Sched 23'!D10</f>
        <v>27644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96067</v>
      </c>
      <c r="C1768" s="2" t="s">
        <v>594</v>
      </c>
      <c r="D1768" s="2" t="str">
        <f t="shared" si="26"/>
        <v>Error?</v>
      </c>
    </row>
    <row r="1769" spans="1:5" x14ac:dyDescent="0.2">
      <c r="A1769" s="5">
        <v>1708</v>
      </c>
      <c r="B1769" s="138">
        <f>'Tax Sched 23'!D12</f>
        <v>27644</v>
      </c>
      <c r="C1769" s="2" t="s">
        <v>594</v>
      </c>
      <c r="D1769" s="2" t="str">
        <f t="shared" si="26"/>
        <v>Error?</v>
      </c>
    </row>
    <row r="1770" spans="1:5" x14ac:dyDescent="0.2">
      <c r="A1770" s="5">
        <v>1709</v>
      </c>
      <c r="B1770" s="138">
        <f>'Tax Sched 23'!D14</f>
        <v>11057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1449157</v>
      </c>
      <c r="C1775" s="2" t="s">
        <v>594</v>
      </c>
      <c r="D1775" s="2" t="str">
        <f t="shared" si="26"/>
        <v>Error?</v>
      </c>
    </row>
    <row r="1776" spans="1:5" x14ac:dyDescent="0.2">
      <c r="A1776" s="5">
        <v>1715</v>
      </c>
      <c r="B1776" s="138">
        <f>'Tax Sched 23'!C4</f>
        <v>970688</v>
      </c>
      <c r="D1776" s="2" t="str">
        <f t="shared" si="26"/>
        <v>Error?</v>
      </c>
    </row>
    <row r="1777" spans="1:4" x14ac:dyDescent="0.2">
      <c r="A1777" s="5">
        <v>1716</v>
      </c>
      <c r="B1777" s="138">
        <f>'Tax Sched 23'!C5</f>
        <v>145313</v>
      </c>
      <c r="D1777" s="2" t="str">
        <f t="shared" si="26"/>
        <v>Error?</v>
      </c>
    </row>
    <row r="1778" spans="1:4" x14ac:dyDescent="0.2">
      <c r="A1778" s="5">
        <v>1717</v>
      </c>
      <c r="B1778" s="138">
        <f>'Tax Sched 23'!C6</f>
        <v>85030</v>
      </c>
      <c r="D1778" s="2" t="str">
        <f t="shared" si="26"/>
        <v>Error?</v>
      </c>
    </row>
    <row r="1779" spans="1:4" x14ac:dyDescent="0.2">
      <c r="A1779" s="5">
        <v>1718</v>
      </c>
      <c r="B1779" s="138">
        <f>'Tax Sched 23'!C7</f>
        <v>69750</v>
      </c>
      <c r="D1779" s="2" t="str">
        <f t="shared" si="26"/>
        <v>Error?</v>
      </c>
    </row>
    <row r="1780" spans="1:4" x14ac:dyDescent="0.2">
      <c r="A1780" s="5">
        <v>1719</v>
      </c>
      <c r="B1780" s="138">
        <f>'Tax Sched 23'!C8</f>
        <v>32748</v>
      </c>
      <c r="D1780" s="2" t="str">
        <f t="shared" si="26"/>
        <v>Error?</v>
      </c>
    </row>
    <row r="1781" spans="1:4" x14ac:dyDescent="0.2">
      <c r="A1781" s="5">
        <v>1720</v>
      </c>
      <c r="B1781" s="138">
        <f>'Tax Sched 23'!C10</f>
        <v>29062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98231</v>
      </c>
      <c r="D1784" s="2" t="str">
        <f t="shared" si="26"/>
        <v>Error?</v>
      </c>
    </row>
    <row r="1785" spans="1:4" x14ac:dyDescent="0.2">
      <c r="A1785" s="5">
        <v>1724</v>
      </c>
      <c r="B1785" s="138">
        <f>'Tax Sched 23'!C12</f>
        <v>29062</v>
      </c>
      <c r="D1785" s="2" t="str">
        <f t="shared" si="26"/>
        <v>Error?</v>
      </c>
    </row>
    <row r="1786" spans="1:4" x14ac:dyDescent="0.2">
      <c r="A1786" s="5">
        <v>1725</v>
      </c>
      <c r="B1786" s="138">
        <f>'Tax Sched 23'!C14</f>
        <v>11625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1524524</v>
      </c>
      <c r="C1791" s="2" t="s">
        <v>594</v>
      </c>
      <c r="D1791" s="2" t="str">
        <f t="shared" ref="D1791:D1854" si="27">IF(ISBLANK(B1791),"OK",IF(A1791-B1791=0,"OK","Error?"))</f>
        <v>Error?</v>
      </c>
    </row>
    <row r="1792" spans="1:4" x14ac:dyDescent="0.2">
      <c r="A1792" s="5">
        <v>1731</v>
      </c>
      <c r="B1792" s="138">
        <f>'Tax Sched 23'!F4</f>
        <v>896997</v>
      </c>
      <c r="C1792" s="2" t="s">
        <v>594</v>
      </c>
      <c r="D1792" s="2" t="str">
        <f t="shared" si="27"/>
        <v>Error?</v>
      </c>
    </row>
    <row r="1793" spans="1:4" x14ac:dyDescent="0.2">
      <c r="A1793" s="5">
        <v>1732</v>
      </c>
      <c r="B1793" s="138">
        <f>'Tax Sched 23'!F5</f>
        <v>134281</v>
      </c>
      <c r="C1793" s="2" t="s">
        <v>594</v>
      </c>
      <c r="D1793" s="2" t="str">
        <f t="shared" si="27"/>
        <v>Error?</v>
      </c>
    </row>
    <row r="1794" spans="1:4" x14ac:dyDescent="0.2">
      <c r="A1794" s="5">
        <v>1733</v>
      </c>
      <c r="B1794" s="138">
        <f>'Tax Sched 23'!F6</f>
        <v>78784</v>
      </c>
      <c r="C1794" s="2" t="s">
        <v>594</v>
      </c>
      <c r="D1794" s="2" t="str">
        <f t="shared" si="27"/>
        <v>Error?</v>
      </c>
    </row>
    <row r="1795" spans="1:4" x14ac:dyDescent="0.2">
      <c r="A1795" s="5">
        <v>1734</v>
      </c>
      <c r="B1795" s="138">
        <f>'Tax Sched 23'!F7</f>
        <v>64455</v>
      </c>
      <c r="C1795" s="2" t="s">
        <v>594</v>
      </c>
      <c r="D1795" s="2" t="str">
        <f t="shared" si="27"/>
        <v>Error?</v>
      </c>
    </row>
    <row r="1796" spans="1:4" x14ac:dyDescent="0.2">
      <c r="A1796" s="5">
        <v>1735</v>
      </c>
      <c r="B1796" s="138">
        <f>'Tax Sched 23'!F8</f>
        <v>30340</v>
      </c>
      <c r="C1796" s="2" t="s">
        <v>594</v>
      </c>
      <c r="D1796" s="2" t="str">
        <f t="shared" si="27"/>
        <v>Error?</v>
      </c>
    </row>
    <row r="1797" spans="1:4" x14ac:dyDescent="0.2">
      <c r="A1797" s="5">
        <v>1736</v>
      </c>
      <c r="B1797" s="138">
        <f>'Tax Sched 23'!F10</f>
        <v>26857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91013</v>
      </c>
      <c r="C1800" s="2" t="s">
        <v>594</v>
      </c>
      <c r="D1800" s="2" t="str">
        <f t="shared" si="27"/>
        <v>Error?</v>
      </c>
    </row>
    <row r="1801" spans="1:4" x14ac:dyDescent="0.2">
      <c r="A1801" s="5">
        <v>1740</v>
      </c>
      <c r="B1801" s="138">
        <f>'Tax Sched 23'!F12</f>
        <v>26857</v>
      </c>
      <c r="C1801" s="2" t="s">
        <v>594</v>
      </c>
      <c r="D1801" s="2" t="str">
        <f t="shared" si="27"/>
        <v>Error?</v>
      </c>
    </row>
    <row r="1802" spans="1:4" x14ac:dyDescent="0.2">
      <c r="A1802" s="5">
        <v>1741</v>
      </c>
      <c r="B1802" s="138">
        <f>'Tax Sched 23'!F14</f>
        <v>10742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1409447</v>
      </c>
      <c r="C1807" s="2" t="s">
        <v>594</v>
      </c>
      <c r="D1807" s="2" t="str">
        <f t="shared" si="27"/>
        <v>Error?</v>
      </c>
    </row>
    <row r="1808" spans="1:4" x14ac:dyDescent="0.2">
      <c r="A1808" s="5">
        <v>1747</v>
      </c>
      <c r="B1808" s="138">
        <f>'Tax Sched 23'!E4</f>
        <v>1867685</v>
      </c>
      <c r="D1808" s="2" t="str">
        <f t="shared" si="27"/>
        <v>Error?</v>
      </c>
    </row>
    <row r="1809" spans="1:4" x14ac:dyDescent="0.2">
      <c r="A1809" s="5">
        <v>1748</v>
      </c>
      <c r="B1809" s="138">
        <f>'Tax Sched 23'!E5</f>
        <v>279594</v>
      </c>
      <c r="D1809" s="2" t="str">
        <f t="shared" si="27"/>
        <v>Error?</v>
      </c>
    </row>
    <row r="1810" spans="1:4" x14ac:dyDescent="0.2">
      <c r="A1810" s="5">
        <v>1749</v>
      </c>
      <c r="B1810" s="138">
        <f>'Tax Sched 23'!E6</f>
        <v>163814</v>
      </c>
      <c r="D1810" s="2" t="str">
        <f t="shared" si="27"/>
        <v>Error?</v>
      </c>
    </row>
    <row r="1811" spans="1:4" x14ac:dyDescent="0.2">
      <c r="A1811" s="5">
        <v>1750</v>
      </c>
      <c r="B1811" s="138">
        <f>'Tax Sched 23'!E7</f>
        <v>134205</v>
      </c>
      <c r="D1811" s="2" t="str">
        <f t="shared" si="27"/>
        <v>Error?</v>
      </c>
    </row>
    <row r="1812" spans="1:4" x14ac:dyDescent="0.2">
      <c r="A1812" s="5">
        <v>1751</v>
      </c>
      <c r="B1812" s="138">
        <f>'Tax Sched 23'!E8</f>
        <v>63088</v>
      </c>
      <c r="D1812" s="2" t="str">
        <f t="shared" si="27"/>
        <v>Error?</v>
      </c>
    </row>
    <row r="1813" spans="1:4" x14ac:dyDescent="0.2">
      <c r="A1813" s="5">
        <v>1752</v>
      </c>
      <c r="B1813" s="138">
        <f>'Tax Sched 23'!E10</f>
        <v>55919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189244</v>
      </c>
      <c r="D1816" s="2" t="str">
        <f t="shared" si="27"/>
        <v>Error?</v>
      </c>
    </row>
    <row r="1817" spans="1:4" x14ac:dyDescent="0.2">
      <c r="A1817" s="5">
        <v>1756</v>
      </c>
      <c r="B1817" s="138">
        <f>'Tax Sched 23'!E12</f>
        <v>55919</v>
      </c>
      <c r="D1817" s="2" t="str">
        <f t="shared" si="27"/>
        <v>Error?</v>
      </c>
    </row>
    <row r="1818" spans="1:4" x14ac:dyDescent="0.2">
      <c r="A1818" s="5">
        <v>1757</v>
      </c>
      <c r="B1818" s="138">
        <f>'Tax Sched 23'!E14</f>
        <v>22367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2933971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22682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22682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22682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177257</v>
      </c>
      <c r="D2008" s="2" t="str">
        <f t="shared" si="30"/>
        <v>Error?</v>
      </c>
    </row>
    <row r="2009" spans="1:4" x14ac:dyDescent="0.2">
      <c r="A2009" s="5">
        <v>1948</v>
      </c>
      <c r="B2009" s="138">
        <f>'Cap Outlay Deprec 26'!C8</f>
        <v>3835225</v>
      </c>
      <c r="D2009" s="2" t="str">
        <f t="shared" si="30"/>
        <v>Error?</v>
      </c>
    </row>
    <row r="2010" spans="1:4" x14ac:dyDescent="0.2">
      <c r="A2010" s="5">
        <v>1949</v>
      </c>
      <c r="B2010" s="138">
        <f>'Cap Outlay Deprec 26'!C10</f>
        <v>352375</v>
      </c>
      <c r="D2010" s="2" t="str">
        <f t="shared" si="30"/>
        <v>Error?</v>
      </c>
    </row>
    <row r="2011" spans="1:4" x14ac:dyDescent="0.2">
      <c r="A2011" s="5">
        <v>1950</v>
      </c>
      <c r="B2011" s="138">
        <f>'Cap Outlay Deprec 26'!C12</f>
        <v>729930</v>
      </c>
      <c r="D2011" s="2" t="str">
        <f t="shared" si="30"/>
        <v>Error?</v>
      </c>
    </row>
    <row r="2012" spans="1:4" x14ac:dyDescent="0.2">
      <c r="A2012" s="5">
        <v>1951</v>
      </c>
      <c r="B2012" s="138">
        <f>'Cap Outlay Deprec 26'!C13</f>
        <v>9756</v>
      </c>
      <c r="D2012" s="2" t="str">
        <f t="shared" si="30"/>
        <v>Error?</v>
      </c>
    </row>
    <row r="2013" spans="1:4" x14ac:dyDescent="0.2">
      <c r="A2013" s="5">
        <v>1952</v>
      </c>
      <c r="B2013" s="138">
        <f>'Cap Outlay Deprec 26'!C16</f>
        <v>5104543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14195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49045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63240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177257</v>
      </c>
      <c r="C2026" s="2" t="s">
        <v>594</v>
      </c>
      <c r="D2026" s="2" t="str">
        <f t="shared" si="30"/>
        <v>Error?</v>
      </c>
    </row>
    <row r="2027" spans="1:4" x14ac:dyDescent="0.2">
      <c r="A2027" s="5">
        <v>1966</v>
      </c>
      <c r="B2027" s="138">
        <f>'Cap Outlay Deprec 26'!F8</f>
        <v>3849420</v>
      </c>
      <c r="C2027" s="2" t="s">
        <v>594</v>
      </c>
      <c r="D2027" s="2" t="str">
        <f t="shared" si="30"/>
        <v>Error?</v>
      </c>
    </row>
    <row r="2028" spans="1:4" x14ac:dyDescent="0.2">
      <c r="A2028" s="5">
        <v>1967</v>
      </c>
      <c r="B2028" s="138">
        <f>'Cap Outlay Deprec 26'!F10</f>
        <v>352375</v>
      </c>
      <c r="C2028" s="2" t="s">
        <v>594</v>
      </c>
      <c r="D2028" s="2" t="str">
        <f t="shared" si="30"/>
        <v>Error?</v>
      </c>
    </row>
    <row r="2029" spans="1:4" x14ac:dyDescent="0.2">
      <c r="A2029" s="5">
        <v>1968</v>
      </c>
      <c r="B2029" s="138">
        <f>'Cap Outlay Deprec 26'!F12</f>
        <v>778975</v>
      </c>
      <c r="C2029" s="2" t="s">
        <v>594</v>
      </c>
      <c r="D2029" s="2" t="str">
        <f t="shared" si="30"/>
        <v>Error?</v>
      </c>
    </row>
    <row r="2030" spans="1:4" x14ac:dyDescent="0.2">
      <c r="A2030" s="5">
        <v>1969</v>
      </c>
      <c r="B2030" s="138">
        <f>'Cap Outlay Deprec 26'!F13</f>
        <v>9756</v>
      </c>
      <c r="C2030" s="2" t="s">
        <v>594</v>
      </c>
      <c r="D2030" s="2" t="str">
        <f t="shared" si="30"/>
        <v>Error?</v>
      </c>
    </row>
    <row r="2031" spans="1:4" x14ac:dyDescent="0.2">
      <c r="A2031" s="5">
        <v>1970</v>
      </c>
      <c r="B2031" s="138">
        <f>'Cap Outlay Deprec 26'!F16</f>
        <v>5167783</v>
      </c>
      <c r="C2031" s="2" t="s">
        <v>594</v>
      </c>
      <c r="D2031" s="2" t="str">
        <f t="shared" si="30"/>
        <v>Error?</v>
      </c>
    </row>
    <row r="2032" spans="1:4" x14ac:dyDescent="0.2">
      <c r="A2032" s="10">
        <v>1971</v>
      </c>
      <c r="D2032" s="2" t="str">
        <f t="shared" si="30"/>
        <v>OK</v>
      </c>
    </row>
    <row r="2033" spans="1:4" x14ac:dyDescent="0.2">
      <c r="A2033" s="5">
        <v>1972</v>
      </c>
      <c r="B2033" s="138">
        <f>'Cap Outlay Deprec 26'!H8</f>
        <v>1422814</v>
      </c>
      <c r="D2033" s="2" t="str">
        <f t="shared" si="30"/>
        <v>Error?</v>
      </c>
    </row>
    <row r="2034" spans="1:4" x14ac:dyDescent="0.2">
      <c r="A2034" s="5">
        <v>1973</v>
      </c>
      <c r="B2034" s="138">
        <f>'Cap Outlay Deprec 26'!H10</f>
        <v>246812</v>
      </c>
      <c r="D2034" s="2" t="str">
        <f t="shared" si="30"/>
        <v>Error?</v>
      </c>
    </row>
    <row r="2035" spans="1:4" x14ac:dyDescent="0.2">
      <c r="A2035" s="5">
        <v>1974</v>
      </c>
      <c r="B2035" s="138">
        <f>'Cap Outlay Deprec 26'!H12</f>
        <v>453212</v>
      </c>
      <c r="D2035" s="2" t="str">
        <f t="shared" si="30"/>
        <v>Error?</v>
      </c>
    </row>
    <row r="2036" spans="1:4" x14ac:dyDescent="0.2">
      <c r="A2036" s="5">
        <v>1975</v>
      </c>
      <c r="B2036" s="138">
        <f>'Cap Outlay Deprec 26'!H13</f>
        <v>9756</v>
      </c>
      <c r="D2036" s="2" t="str">
        <f t="shared" si="30"/>
        <v>Error?</v>
      </c>
    </row>
    <row r="2037" spans="1:4" x14ac:dyDescent="0.2">
      <c r="A2037" s="5">
        <v>1976</v>
      </c>
      <c r="B2037" s="138">
        <f>'Cap Outlay Deprec 26'!H16</f>
        <v>2132594</v>
      </c>
      <c r="C2037" s="2" t="s">
        <v>594</v>
      </c>
      <c r="D2037" s="2" t="str">
        <f t="shared" si="30"/>
        <v>Error?</v>
      </c>
    </row>
    <row r="2038" spans="1:4" x14ac:dyDescent="0.2">
      <c r="A2038" s="10">
        <v>1977</v>
      </c>
      <c r="D2038" s="2" t="str">
        <f t="shared" si="30"/>
        <v>OK</v>
      </c>
    </row>
    <row r="2039" spans="1:4" x14ac:dyDescent="0.2">
      <c r="A2039" s="5">
        <v>1978</v>
      </c>
      <c r="B2039" s="138">
        <f>'Cap Outlay Deprec 26'!I8</f>
        <v>69046</v>
      </c>
      <c r="D2039" s="2" t="str">
        <f t="shared" si="30"/>
        <v>Error?</v>
      </c>
    </row>
    <row r="2040" spans="1:4" x14ac:dyDescent="0.2">
      <c r="A2040" s="5">
        <v>1979</v>
      </c>
      <c r="B2040" s="138">
        <f>'Cap Outlay Deprec 26'!I10</f>
        <v>10935</v>
      </c>
      <c r="D2040" s="2" t="str">
        <f t="shared" si="30"/>
        <v>Error?</v>
      </c>
    </row>
    <row r="2041" spans="1:4" x14ac:dyDescent="0.2">
      <c r="A2041" s="5">
        <v>1980</v>
      </c>
      <c r="B2041" s="138">
        <f>'Cap Outlay Deprec 26'!I12</f>
        <v>81755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161736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1491860</v>
      </c>
      <c r="C2051" s="2" t="s">
        <v>594</v>
      </c>
      <c r="D2051" s="2" t="str">
        <f t="shared" si="31"/>
        <v>Error?</v>
      </c>
    </row>
    <row r="2052" spans="1:4" x14ac:dyDescent="0.2">
      <c r="A2052" s="5">
        <v>1991</v>
      </c>
      <c r="B2052" s="138">
        <f>'Cap Outlay Deprec 26'!K10</f>
        <v>257747</v>
      </c>
      <c r="C2052" s="2" t="s">
        <v>594</v>
      </c>
      <c r="D2052" s="2" t="str">
        <f t="shared" si="31"/>
        <v>Error?</v>
      </c>
    </row>
    <row r="2053" spans="1:4" x14ac:dyDescent="0.2">
      <c r="A2053" s="5">
        <v>1992</v>
      </c>
      <c r="B2053" s="138">
        <f>'Cap Outlay Deprec 26'!K12</f>
        <v>534967</v>
      </c>
      <c r="C2053" s="2" t="s">
        <v>594</v>
      </c>
      <c r="D2053" s="2" t="str">
        <f t="shared" si="31"/>
        <v>Error?</v>
      </c>
    </row>
    <row r="2054" spans="1:4" x14ac:dyDescent="0.2">
      <c r="A2054" s="5">
        <v>1993</v>
      </c>
      <c r="B2054" s="138">
        <f>'Cap Outlay Deprec 26'!K13</f>
        <v>9756</v>
      </c>
      <c r="C2054" s="2" t="s">
        <v>594</v>
      </c>
      <c r="D2054" s="2" t="str">
        <f t="shared" si="31"/>
        <v>Error?</v>
      </c>
    </row>
    <row r="2055" spans="1:4" x14ac:dyDescent="0.2">
      <c r="A2055" s="5">
        <v>1994</v>
      </c>
      <c r="B2055" s="138">
        <f>'Cap Outlay Deprec 26'!K16</f>
        <v>2294330</v>
      </c>
      <c r="C2055" s="2" t="s">
        <v>594</v>
      </c>
      <c r="D2055" s="2" t="str">
        <f t="shared" si="31"/>
        <v>Error?</v>
      </c>
    </row>
    <row r="2056" spans="1:4" x14ac:dyDescent="0.2">
      <c r="A2056" s="5">
        <v>1995</v>
      </c>
      <c r="B2056" s="138">
        <f>'Cap Outlay Deprec 26'!L5</f>
        <v>177257</v>
      </c>
      <c r="C2056" s="2" t="s">
        <v>594</v>
      </c>
      <c r="D2056" s="2" t="str">
        <f t="shared" si="31"/>
        <v>Error?</v>
      </c>
    </row>
    <row r="2057" spans="1:4" x14ac:dyDescent="0.2">
      <c r="A2057" s="5">
        <v>1996</v>
      </c>
      <c r="B2057" s="138">
        <f>'Cap Outlay Deprec 26'!L8</f>
        <v>2357560</v>
      </c>
      <c r="C2057" s="2" t="s">
        <v>594</v>
      </c>
      <c r="D2057" s="2" t="str">
        <f t="shared" si="31"/>
        <v>Error?</v>
      </c>
    </row>
    <row r="2058" spans="1:4" x14ac:dyDescent="0.2">
      <c r="A2058" s="5">
        <v>1997</v>
      </c>
      <c r="B2058" s="138">
        <f>'Cap Outlay Deprec 26'!L10</f>
        <v>94628</v>
      </c>
      <c r="C2058" s="2" t="s">
        <v>594</v>
      </c>
      <c r="D2058" s="2" t="str">
        <f t="shared" si="31"/>
        <v>Error?</v>
      </c>
    </row>
    <row r="2059" spans="1:4" x14ac:dyDescent="0.2">
      <c r="A2059" s="5">
        <v>1998</v>
      </c>
      <c r="B2059" s="138">
        <f>'Cap Outlay Deprec 26'!L12</f>
        <v>244008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2873453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295920</v>
      </c>
      <c r="C2088" s="2" t="s">
        <v>594</v>
      </c>
      <c r="D2088" s="2" t="str">
        <f t="shared" si="31"/>
        <v>Error?</v>
      </c>
    </row>
    <row r="2089" spans="1:4" x14ac:dyDescent="0.2">
      <c r="A2089" s="5">
        <v>2028</v>
      </c>
      <c r="B2089" s="138">
        <f>'Expenditures 15-22'!K92</f>
        <v>61994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23600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164237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31981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2229630</v>
      </c>
      <c r="C2551" s="2" t="s">
        <v>594</v>
      </c>
      <c r="D2551" s="2" t="str">
        <f t="shared" si="38"/>
        <v>Error?</v>
      </c>
    </row>
    <row r="2552" spans="1:4" x14ac:dyDescent="0.2">
      <c r="A2552" s="10">
        <v>2491</v>
      </c>
      <c r="D2552" s="2" t="str">
        <f t="shared" si="38"/>
        <v>OK</v>
      </c>
    </row>
    <row r="2553" spans="1:4" x14ac:dyDescent="0.2">
      <c r="A2553" s="5">
        <v>2492</v>
      </c>
      <c r="B2553" s="138">
        <f>'Acct Summary 7-8'!C6</f>
        <v>235139</v>
      </c>
      <c r="C2553" s="2" t="s">
        <v>594</v>
      </c>
      <c r="D2553" s="2" t="str">
        <f t="shared" si="38"/>
        <v>Error?</v>
      </c>
    </row>
    <row r="2554" spans="1:4" x14ac:dyDescent="0.2">
      <c r="A2554" s="5">
        <v>2493</v>
      </c>
      <c r="B2554" s="138">
        <f>'Acct Summary 7-8'!C7</f>
        <v>74541</v>
      </c>
      <c r="C2554" s="2" t="s">
        <v>594</v>
      </c>
      <c r="D2554" s="2" t="str">
        <f t="shared" si="38"/>
        <v>Error?</v>
      </c>
    </row>
    <row r="2555" spans="1:4" x14ac:dyDescent="0.2">
      <c r="A2555" s="5">
        <v>2494</v>
      </c>
      <c r="B2555" s="138">
        <f>'Acct Summary 7-8'!C8</f>
        <v>2540810</v>
      </c>
      <c r="C2555" s="2" t="s">
        <v>594</v>
      </c>
      <c r="D2555" s="2" t="str">
        <f t="shared" si="38"/>
        <v>Error?</v>
      </c>
    </row>
    <row r="2556" spans="1:4" x14ac:dyDescent="0.2">
      <c r="A2556" s="5">
        <v>2495</v>
      </c>
      <c r="B2556" s="138">
        <f>'Acct Summary 7-8'!C12</f>
        <v>1414699</v>
      </c>
      <c r="C2556" s="2" t="s">
        <v>594</v>
      </c>
      <c r="D2556" s="2" t="str">
        <f t="shared" si="38"/>
        <v>Error?</v>
      </c>
    </row>
    <row r="2557" spans="1:4" x14ac:dyDescent="0.2">
      <c r="A2557" s="5">
        <v>2496</v>
      </c>
      <c r="B2557" s="138">
        <f>'Acct Summary 7-8'!C13</f>
        <v>697329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357914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2469942</v>
      </c>
      <c r="C2561" s="2" t="s">
        <v>594</v>
      </c>
      <c r="D2561" s="2" t="str">
        <f t="shared" si="39"/>
        <v>Error?</v>
      </c>
    </row>
    <row r="2562" spans="1:4" x14ac:dyDescent="0.2">
      <c r="A2562" s="5">
        <v>2501</v>
      </c>
      <c r="B2562" s="138">
        <f>'Acct Summary 7-8'!C20</f>
        <v>70868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312990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312990</v>
      </c>
      <c r="C2568" s="2" t="s">
        <v>594</v>
      </c>
      <c r="D2568" s="2" t="str">
        <f t="shared" si="39"/>
        <v>Error?</v>
      </c>
    </row>
    <row r="2569" spans="1:4" x14ac:dyDescent="0.2">
      <c r="A2569" s="5">
        <v>2508</v>
      </c>
      <c r="B2569" s="138">
        <f>'Acct Summary 7-8'!D13</f>
        <v>308336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308336</v>
      </c>
      <c r="C2573" s="2" t="s">
        <v>594</v>
      </c>
      <c r="D2573" s="2" t="str">
        <f t="shared" si="39"/>
        <v>Error?</v>
      </c>
    </row>
    <row r="2574" spans="1:4" x14ac:dyDescent="0.2">
      <c r="A2574" s="5">
        <v>2513</v>
      </c>
      <c r="B2574" s="138">
        <f>'Acct Summary 7-8'!D20</f>
        <v>4654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253583</v>
      </c>
      <c r="C2591" s="2" t="s">
        <v>594</v>
      </c>
      <c r="D2591" s="2" t="str">
        <f t="shared" si="39"/>
        <v>Error?</v>
      </c>
    </row>
    <row r="2592" spans="1:4" x14ac:dyDescent="0.2">
      <c r="A2592" s="10">
        <v>2531</v>
      </c>
      <c r="D2592" s="2" t="str">
        <f t="shared" si="39"/>
        <v>OK</v>
      </c>
    </row>
    <row r="2593" spans="1:4" x14ac:dyDescent="0.2">
      <c r="A2593" s="5">
        <v>2532</v>
      </c>
      <c r="B2593" s="138">
        <f>'Acct Summary 7-8'!F6</f>
        <v>102730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356313</v>
      </c>
      <c r="C2595" s="2" t="s">
        <v>594</v>
      </c>
      <c r="D2595" s="2" t="str">
        <f t="shared" si="39"/>
        <v>Error?</v>
      </c>
    </row>
    <row r="2596" spans="1:4" x14ac:dyDescent="0.2">
      <c r="A2596" s="5">
        <v>2535</v>
      </c>
      <c r="B2596" s="138">
        <f>'Acct Summary 7-8'!F13</f>
        <v>345413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345413</v>
      </c>
      <c r="C2600" s="2" t="s">
        <v>594</v>
      </c>
      <c r="D2600" s="2" t="str">
        <f t="shared" si="39"/>
        <v>Error?</v>
      </c>
    </row>
    <row r="2601" spans="1:4" x14ac:dyDescent="0.2">
      <c r="A2601" s="5">
        <v>2540</v>
      </c>
      <c r="B2601" s="138">
        <f>'Acct Summary 7-8'!F20</f>
        <v>10900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127683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127683</v>
      </c>
      <c r="C2606" s="2" t="s">
        <v>594</v>
      </c>
      <c r="D2606" s="2" t="str">
        <f t="shared" si="39"/>
        <v>Error?</v>
      </c>
    </row>
    <row r="2607" spans="1:4" x14ac:dyDescent="0.2">
      <c r="A2607" s="5">
        <v>2546</v>
      </c>
      <c r="B2607" s="138">
        <f>'Acct Summary 7-8'!G12</f>
        <v>26487</v>
      </c>
      <c r="C2607" s="2" t="s">
        <v>594</v>
      </c>
      <c r="D2607" s="2" t="str">
        <f t="shared" si="39"/>
        <v>Error?</v>
      </c>
    </row>
    <row r="2608" spans="1:4" x14ac:dyDescent="0.2">
      <c r="A2608" s="5">
        <v>2547</v>
      </c>
      <c r="B2608" s="138">
        <f>'Acct Summary 7-8'!G13</f>
        <v>104862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131349</v>
      </c>
      <c r="C2612" s="2" t="s">
        <v>594</v>
      </c>
      <c r="D2612" s="2" t="str">
        <f t="shared" si="39"/>
        <v>Error?</v>
      </c>
    </row>
    <row r="2613" spans="1:4" x14ac:dyDescent="0.2">
      <c r="A2613" s="5">
        <v>2552</v>
      </c>
      <c r="B2613" s="138">
        <f>'Acct Summary 7-8'!G20</f>
        <v>-3666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166455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166455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161150</v>
      </c>
      <c r="C2634" s="2" t="s">
        <v>594</v>
      </c>
      <c r="D2634" s="2" t="str">
        <f t="shared" si="40"/>
        <v>Error?</v>
      </c>
    </row>
    <row r="2635" spans="1:4" x14ac:dyDescent="0.2">
      <c r="A2635" s="5">
        <v>2574</v>
      </c>
      <c r="B2635" s="138">
        <f>'Acct Summary 7-8'!E17</f>
        <v>161150</v>
      </c>
      <c r="C2635" s="2" t="s">
        <v>594</v>
      </c>
      <c r="D2635" s="2" t="str">
        <f t="shared" si="40"/>
        <v>Error?</v>
      </c>
    </row>
    <row r="2636" spans="1:4" x14ac:dyDescent="0.2">
      <c r="A2636" s="5">
        <v>2575</v>
      </c>
      <c r="B2636" s="138">
        <f>'Acct Summary 7-8'!E20</f>
        <v>5305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295920</v>
      </c>
      <c r="C2789" s="2" t="s">
        <v>594</v>
      </c>
      <c r="D2789" s="2" t="str">
        <f t="shared" si="42"/>
        <v>Error?</v>
      </c>
    </row>
    <row r="2790" spans="1:4" x14ac:dyDescent="0.2">
      <c r="A2790" s="5">
        <v>2729</v>
      </c>
      <c r="B2790" s="138">
        <f>'Expenditures 15-22'!E102</f>
        <v>295920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497332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1222758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82484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1222758</v>
      </c>
      <c r="D2912" s="2" t="str">
        <f t="shared" si="44"/>
        <v>Error?</v>
      </c>
    </row>
    <row r="2913" spans="1:4" x14ac:dyDescent="0.2">
      <c r="A2913" s="5">
        <v>2852</v>
      </c>
      <c r="B2913" s="138">
        <f>'Assets-Liab 5-6'!I41</f>
        <v>1222758</v>
      </c>
      <c r="C2913" s="2" t="s">
        <v>594</v>
      </c>
      <c r="D2913" s="2" t="str">
        <f t="shared" si="44"/>
        <v>Error?</v>
      </c>
    </row>
    <row r="2914" spans="1:4" x14ac:dyDescent="0.2">
      <c r="A2914" s="5">
        <v>2853</v>
      </c>
      <c r="B2914" s="138">
        <f>'Assets-Liab 5-6'!L33</f>
        <v>82484</v>
      </c>
      <c r="D2914" s="2" t="str">
        <f t="shared" si="44"/>
        <v>Error?</v>
      </c>
    </row>
    <row r="2915" spans="1:4" x14ac:dyDescent="0.2">
      <c r="A2915" s="10">
        <v>2854</v>
      </c>
      <c r="D2915" s="2" t="str">
        <f t="shared" si="44"/>
        <v>OK</v>
      </c>
    </row>
    <row r="2916" spans="1:4" x14ac:dyDescent="0.2">
      <c r="A2916" s="5">
        <v>2855</v>
      </c>
      <c r="B2916" s="138">
        <f>'Assets-Liab 5-6'!L34</f>
        <v>82484</v>
      </c>
      <c r="C2916" s="2" t="s">
        <v>594</v>
      </c>
      <c r="D2916" s="2" t="str">
        <f t="shared" si="44"/>
        <v>Error?</v>
      </c>
    </row>
    <row r="2917" spans="1:4" x14ac:dyDescent="0.2">
      <c r="A2917" s="5">
        <v>2856</v>
      </c>
      <c r="B2917" s="138">
        <f>'Assets-Liab 5-6'!L41</f>
        <v>82484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14142</v>
      </c>
      <c r="D2949" s="2" t="str">
        <f t="shared" si="45"/>
        <v>Error?</v>
      </c>
    </row>
    <row r="2950" spans="1:4" x14ac:dyDescent="0.2">
      <c r="A2950" s="5">
        <v>2889</v>
      </c>
      <c r="B2950" s="138">
        <f>'Expenditures 15-22'!E79</f>
        <v>178321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15115</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88342</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14142</v>
      </c>
      <c r="C2973" s="2" t="s">
        <v>594</v>
      </c>
      <c r="D2973" s="2" t="str">
        <f t="shared" si="45"/>
        <v>Error?</v>
      </c>
    </row>
    <row r="2974" spans="1:4" x14ac:dyDescent="0.2">
      <c r="A2974" s="5">
        <v>2913</v>
      </c>
      <c r="B2974" s="138">
        <f>'Expenditures 15-22'!K79</f>
        <v>178321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15115</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88342</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13678</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13678</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56706</v>
      </c>
      <c r="C3225" s="2" t="s">
        <v>594</v>
      </c>
      <c r="D3225" s="2" t="str">
        <f t="shared" si="49"/>
        <v>Error?</v>
      </c>
    </row>
    <row r="3226" spans="1:4" x14ac:dyDescent="0.2">
      <c r="A3226" s="5">
        <v>3165</v>
      </c>
      <c r="B3226" s="138">
        <f>'Acct Summary 7-8'!I8</f>
        <v>56706</v>
      </c>
      <c r="C3226" s="2" t="s">
        <v>594</v>
      </c>
      <c r="D3226" s="2" t="str">
        <f t="shared" si="49"/>
        <v>Error?</v>
      </c>
    </row>
    <row r="3227" spans="1:4" x14ac:dyDescent="0.2">
      <c r="A3227" s="5">
        <v>3166</v>
      </c>
      <c r="B3227" s="138">
        <f>'Acct Summary 7-8'!I20</f>
        <v>56706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70868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23600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23600</v>
      </c>
      <c r="C3238" s="2" t="s">
        <v>594</v>
      </c>
      <c r="D3238" s="2" t="str">
        <f t="shared" si="49"/>
        <v>Error?</v>
      </c>
    </row>
    <row r="3239" spans="1:4" x14ac:dyDescent="0.2">
      <c r="A3239" s="5">
        <v>3178</v>
      </c>
      <c r="B3239" s="138">
        <f>'Acct Summary 7-8'!D78</f>
        <v>28254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10900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-3666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5305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23600</v>
      </c>
      <c r="C3318" s="2" t="s">
        <v>594</v>
      </c>
      <c r="D3318" s="2" t="str">
        <f t="shared" si="50"/>
        <v>Error?</v>
      </c>
    </row>
    <row r="3319" spans="1:4" x14ac:dyDescent="0.2">
      <c r="A3319" s="5">
        <v>3258</v>
      </c>
      <c r="B3319" s="138">
        <f>'Acct Summary 7-8'!I77</f>
        <v>-23600</v>
      </c>
      <c r="C3319" s="2" t="s">
        <v>594</v>
      </c>
      <c r="D3319" s="2" t="str">
        <f t="shared" si="50"/>
        <v>Error?</v>
      </c>
    </row>
    <row r="3320" spans="1:4" x14ac:dyDescent="0.2">
      <c r="A3320" s="5">
        <v>3259</v>
      </c>
      <c r="B3320" s="138">
        <f>'Acct Summary 7-8'!I78</f>
        <v>33106</v>
      </c>
      <c r="C3320" s="2" t="s">
        <v>594</v>
      </c>
      <c r="D3320" s="2" t="str">
        <f t="shared" si="50"/>
        <v>Error?</v>
      </c>
    </row>
    <row r="3321" spans="1:4" x14ac:dyDescent="0.2">
      <c r="A3321" s="5">
        <v>3260</v>
      </c>
      <c r="B3321" s="138">
        <f>'Acct Summary 7-8'!I79</f>
        <v>1189652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1222758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57792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18889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585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78655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13723</v>
      </c>
      <c r="D3387" s="2" t="str">
        <f t="shared" si="51"/>
        <v>Error?</v>
      </c>
    </row>
    <row r="3388" spans="1:4" x14ac:dyDescent="0.2">
      <c r="A3388" s="5">
        <v>3327</v>
      </c>
      <c r="B3388" s="138">
        <f>'Expenditures 15-22'!D217</f>
        <v>5063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13723</v>
      </c>
      <c r="C3390" s="2" t="s">
        <v>594</v>
      </c>
      <c r="D3390" s="2" t="str">
        <f t="shared" si="51"/>
        <v>Error?</v>
      </c>
    </row>
    <row r="3391" spans="1:4" x14ac:dyDescent="0.2">
      <c r="A3391" s="5">
        <v>3330</v>
      </c>
      <c r="B3391" s="138">
        <f>'Expenditures 15-22'!K217</f>
        <v>5063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1500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962224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328878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88998</v>
      </c>
      <c r="D3417" s="2" t="str">
        <f t="shared" si="52"/>
        <v>Error?</v>
      </c>
    </row>
    <row r="3418" spans="1:4" x14ac:dyDescent="0.2">
      <c r="A3418" s="10">
        <v>3357</v>
      </c>
      <c r="D3418" s="2" t="str">
        <f t="shared" si="52"/>
        <v>OK</v>
      </c>
    </row>
    <row r="3419" spans="1:4" x14ac:dyDescent="0.2">
      <c r="A3419" s="5">
        <v>3358</v>
      </c>
      <c r="B3419" s="138">
        <f>'Assets-Liab 5-6'!F4</f>
        <v>72973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94070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725426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82484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50917</v>
      </c>
      <c r="C3446" s="2" t="s">
        <v>594</v>
      </c>
      <c r="D3446" s="2" t="str">
        <f t="shared" si="52"/>
        <v>Error?</v>
      </c>
    </row>
    <row r="3447" spans="1:4" x14ac:dyDescent="0.2">
      <c r="A3447" s="5">
        <v>3386</v>
      </c>
      <c r="B3447" s="138">
        <f>'Tax Sched 23'!D16</f>
        <v>23889</v>
      </c>
      <c r="C3447" s="2" t="s">
        <v>594</v>
      </c>
      <c r="D3447" s="2" t="str">
        <f t="shared" si="52"/>
        <v>Error?</v>
      </c>
    </row>
    <row r="3448" spans="1:4" x14ac:dyDescent="0.2">
      <c r="A3448" s="5">
        <v>3387</v>
      </c>
      <c r="B3448" s="138">
        <f>'Tax Sched 23'!C16</f>
        <v>27028</v>
      </c>
      <c r="D3448" s="2" t="str">
        <f t="shared" si="52"/>
        <v>Error?</v>
      </c>
    </row>
    <row r="3449" spans="1:4" x14ac:dyDescent="0.2">
      <c r="A3449" s="5">
        <v>3388</v>
      </c>
      <c r="B3449" s="138">
        <f>'Tax Sched 23'!F16</f>
        <v>25043</v>
      </c>
      <c r="C3449" s="2" t="s">
        <v>594</v>
      </c>
      <c r="D3449" s="2" t="str">
        <f t="shared" si="52"/>
        <v>Error?</v>
      </c>
    </row>
    <row r="3450" spans="1:4" x14ac:dyDescent="0.2">
      <c r="A3450" s="5">
        <v>3389</v>
      </c>
      <c r="B3450" s="138">
        <f>'Tax Sched 23'!E16</f>
        <v>52071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211614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211614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211614</v>
      </c>
      <c r="D3567" s="2" t="str">
        <f t="shared" si="54"/>
        <v>Error?</v>
      </c>
    </row>
    <row r="3568" spans="1:4" x14ac:dyDescent="0.2">
      <c r="A3568" s="5">
        <v>3507</v>
      </c>
      <c r="B3568" s="138">
        <f>'Assets-Liab 5-6'!K41</f>
        <v>211614</v>
      </c>
      <c r="C3568" s="2" t="s">
        <v>594</v>
      </c>
      <c r="D3568" s="2" t="str">
        <f t="shared" si="54"/>
        <v>Error?</v>
      </c>
    </row>
    <row r="3569" spans="1:4" x14ac:dyDescent="0.2">
      <c r="A3569" s="5">
        <v>3508</v>
      </c>
      <c r="B3569" s="138">
        <f>'Acct Summary 7-8'!K4</f>
        <v>56706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56706</v>
      </c>
      <c r="C3571" s="2" t="s">
        <v>594</v>
      </c>
      <c r="D3571" s="2" t="str">
        <f t="shared" si="54"/>
        <v>Error?</v>
      </c>
    </row>
    <row r="3572" spans="1:4" x14ac:dyDescent="0.2">
      <c r="A3572" s="5">
        <v>3511</v>
      </c>
      <c r="B3572" s="138">
        <f>'Acct Summary 7-8'!K13</f>
        <v>33995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33995</v>
      </c>
      <c r="C3575" s="2" t="s">
        <v>594</v>
      </c>
      <c r="D3575" s="2" t="str">
        <f t="shared" si="54"/>
        <v>Error?</v>
      </c>
    </row>
    <row r="3576" spans="1:4" x14ac:dyDescent="0.2">
      <c r="A3576" s="5">
        <v>3515</v>
      </c>
      <c r="B3576" s="138">
        <f>'Acct Summary 7-8'!K20</f>
        <v>22711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22711</v>
      </c>
      <c r="C3588" s="2" t="s">
        <v>594</v>
      </c>
      <c r="D3588" s="2" t="str">
        <f t="shared" si="55"/>
        <v>Error?</v>
      </c>
    </row>
    <row r="3589" spans="1:4" x14ac:dyDescent="0.2">
      <c r="A3589" s="5">
        <v>3528</v>
      </c>
      <c r="B3589" s="138">
        <f>'Acct Summary 7-8'!K79</f>
        <v>188903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211614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17378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17378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17378</v>
      </c>
      <c r="C3635" s="2" t="s">
        <v>594</v>
      </c>
      <c r="D3635" s="2" t="str">
        <f t="shared" si="55"/>
        <v>Error?</v>
      </c>
    </row>
    <row r="3636" spans="1:4" x14ac:dyDescent="0.2">
      <c r="A3636" s="5">
        <v>3575</v>
      </c>
      <c r="B3636" s="138">
        <f>'Expenditures 15-22'!E367</f>
        <v>17378</v>
      </c>
      <c r="C3636" s="2" t="s">
        <v>594</v>
      </c>
      <c r="D3636" s="2" t="str">
        <f t="shared" si="55"/>
        <v>Error?</v>
      </c>
    </row>
    <row r="3637" spans="1:4" x14ac:dyDescent="0.2">
      <c r="A3637" s="10">
        <v>3576</v>
      </c>
      <c r="D3637" s="2" t="str">
        <f t="shared" si="55"/>
        <v>OK</v>
      </c>
    </row>
    <row r="3638" spans="1:4" x14ac:dyDescent="0.2">
      <c r="A3638" s="5">
        <v>3577</v>
      </c>
      <c r="B3638" s="138">
        <f>'Expenditures 15-22'!F348</f>
        <v>482</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482</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482</v>
      </c>
      <c r="C3642" s="2" t="s">
        <v>594</v>
      </c>
      <c r="D3642" s="2" t="str">
        <f t="shared" si="55"/>
        <v>Error?</v>
      </c>
    </row>
    <row r="3643" spans="1:4" x14ac:dyDescent="0.2">
      <c r="A3643" s="5">
        <v>3582</v>
      </c>
      <c r="B3643" s="138">
        <f>'Expenditures 15-22'!F367</f>
        <v>482</v>
      </c>
      <c r="C3643" s="2" t="s">
        <v>594</v>
      </c>
      <c r="D3643" s="2" t="str">
        <f t="shared" si="55"/>
        <v>Error?</v>
      </c>
    </row>
    <row r="3644" spans="1:4" x14ac:dyDescent="0.2">
      <c r="A3644" s="10">
        <v>3583</v>
      </c>
      <c r="D3644" s="2" t="str">
        <f t="shared" si="55"/>
        <v>OK</v>
      </c>
    </row>
    <row r="3645" spans="1:4" x14ac:dyDescent="0.2">
      <c r="A3645" s="5">
        <v>3584</v>
      </c>
      <c r="B3645" s="138">
        <f>'Expenditures 15-22'!G348</f>
        <v>16135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16135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16135</v>
      </c>
      <c r="C3649" s="2" t="s">
        <v>594</v>
      </c>
      <c r="D3649" s="2" t="str">
        <f t="shared" si="56"/>
        <v>Error?</v>
      </c>
    </row>
    <row r="3650" spans="1:4" x14ac:dyDescent="0.2">
      <c r="A3650" s="5">
        <v>3589</v>
      </c>
      <c r="B3650" s="138">
        <f>'Expenditures 15-22'!G367</f>
        <v>16135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33995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33995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33995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33995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22711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53631</v>
      </c>
      <c r="C3725" s="2" t="s">
        <v>594</v>
      </c>
      <c r="D3725" s="2" t="str">
        <f t="shared" si="57"/>
        <v>Error?</v>
      </c>
    </row>
    <row r="3726" spans="1:4" x14ac:dyDescent="0.2">
      <c r="A3726" s="5">
        <v>3665</v>
      </c>
      <c r="B3726" s="138">
        <f>'Tax Sched 23'!D13</f>
        <v>27644</v>
      </c>
      <c r="C3726" s="2" t="s">
        <v>594</v>
      </c>
      <c r="D3726" s="2" t="str">
        <f t="shared" si="57"/>
        <v>Error?</v>
      </c>
    </row>
    <row r="3727" spans="1:4" x14ac:dyDescent="0.2">
      <c r="A3727" s="5">
        <v>3666</v>
      </c>
      <c r="B3727" s="138">
        <f>'Tax Sched 23'!C13</f>
        <v>25987</v>
      </c>
      <c r="D3727" s="2" t="str">
        <f t="shared" si="57"/>
        <v>Error?</v>
      </c>
    </row>
    <row r="3728" spans="1:4" x14ac:dyDescent="0.2">
      <c r="A3728" s="5">
        <v>3667</v>
      </c>
      <c r="B3728" s="138">
        <f>'Tax Sched 23'!F13</f>
        <v>24078</v>
      </c>
      <c r="C3728" s="2" t="s">
        <v>594</v>
      </c>
      <c r="D3728" s="2" t="str">
        <f t="shared" si="57"/>
        <v>Error?</v>
      </c>
    </row>
    <row r="3729" spans="1:4" x14ac:dyDescent="0.2">
      <c r="A3729" s="5">
        <v>3668</v>
      </c>
      <c r="B3729" s="138">
        <f>'Tax Sched 23'!E13</f>
        <v>50065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156374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2697184</v>
      </c>
      <c r="C4122" s="2" t="s">
        <v>594</v>
      </c>
      <c r="D4122" s="2" t="str">
        <f t="shared" si="63"/>
        <v>Error?</v>
      </c>
    </row>
    <row r="4123" spans="1:4" x14ac:dyDescent="0.2">
      <c r="A4123" s="5">
        <v>4062</v>
      </c>
      <c r="B4123" s="138">
        <f>'Acct Summary 7-8'!D10</f>
        <v>312990</v>
      </c>
      <c r="C4123" s="2" t="s">
        <v>594</v>
      </c>
      <c r="D4123" s="2" t="str">
        <f t="shared" si="63"/>
        <v>Error?</v>
      </c>
    </row>
    <row r="4124" spans="1:4" x14ac:dyDescent="0.2">
      <c r="A4124" s="5">
        <v>4063</v>
      </c>
      <c r="B4124" s="138">
        <f>'Acct Summary 7-8'!E10</f>
        <v>166455</v>
      </c>
      <c r="C4124" s="2" t="s">
        <v>594</v>
      </c>
      <c r="D4124" s="2" t="str">
        <f t="shared" si="63"/>
        <v>Error?</v>
      </c>
    </row>
    <row r="4125" spans="1:4" x14ac:dyDescent="0.2">
      <c r="A4125" s="5">
        <v>4064</v>
      </c>
      <c r="B4125" s="138">
        <f>'Acct Summary 7-8'!F10</f>
        <v>356313</v>
      </c>
      <c r="C4125" s="2" t="s">
        <v>594</v>
      </c>
      <c r="D4125" s="2" t="str">
        <f t="shared" si="63"/>
        <v>Error?</v>
      </c>
    </row>
    <row r="4126" spans="1:4" x14ac:dyDescent="0.2">
      <c r="A4126" s="5">
        <v>4065</v>
      </c>
      <c r="B4126" s="138">
        <f>'Acct Summary 7-8'!G10</f>
        <v>127683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56706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56706</v>
      </c>
      <c r="C4130" s="2" t="s">
        <v>594</v>
      </c>
      <c r="D4130" s="2" t="str">
        <f t="shared" si="63"/>
        <v>Error?</v>
      </c>
    </row>
    <row r="4131" spans="1:4" x14ac:dyDescent="0.2">
      <c r="A4131" s="5">
        <v>4070</v>
      </c>
      <c r="B4131" s="138">
        <f>'Acct Summary 7-8'!C18</f>
        <v>156374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2626316</v>
      </c>
      <c r="C4136" s="2" t="s">
        <v>594</v>
      </c>
      <c r="D4136" s="2" t="str">
        <f t="shared" si="63"/>
        <v>Error?</v>
      </c>
    </row>
    <row r="4137" spans="1:4" x14ac:dyDescent="0.2">
      <c r="A4137" s="5">
        <v>4076</v>
      </c>
      <c r="B4137" s="138">
        <f>'Acct Summary 7-8'!D19</f>
        <v>308336</v>
      </c>
      <c r="C4137" s="2" t="s">
        <v>594</v>
      </c>
      <c r="D4137" s="2" t="str">
        <f t="shared" si="63"/>
        <v>Error?</v>
      </c>
    </row>
    <row r="4138" spans="1:4" x14ac:dyDescent="0.2">
      <c r="A4138" s="5">
        <v>4077</v>
      </c>
      <c r="B4138" s="138">
        <f>'Acct Summary 7-8'!E19</f>
        <v>161150</v>
      </c>
      <c r="C4138" s="2" t="s">
        <v>594</v>
      </c>
      <c r="D4138" s="2" t="str">
        <f t="shared" si="63"/>
        <v>Error?</v>
      </c>
    </row>
    <row r="4139" spans="1:4" x14ac:dyDescent="0.2">
      <c r="A4139" s="5">
        <v>4078</v>
      </c>
      <c r="B4139" s="138">
        <f>'Acct Summary 7-8'!F19</f>
        <v>345413</v>
      </c>
      <c r="C4139" s="2" t="s">
        <v>594</v>
      </c>
      <c r="D4139" s="2" t="str">
        <f t="shared" si="63"/>
        <v>Error?</v>
      </c>
    </row>
    <row r="4140" spans="1:4" x14ac:dyDescent="0.2">
      <c r="A4140" s="5">
        <v>4079</v>
      </c>
      <c r="B4140" s="138">
        <f>'Acct Summary 7-8'!G19</f>
        <v>131349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33995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160000</v>
      </c>
      <c r="C4171" s="2" t="s">
        <v>594</v>
      </c>
      <c r="D4171" s="2" t="str">
        <f t="shared" si="64"/>
        <v>Error?</v>
      </c>
    </row>
    <row r="4172" spans="1:4" x14ac:dyDescent="0.2">
      <c r="A4172" s="5">
        <v>4111</v>
      </c>
      <c r="B4172" s="138">
        <f>'Short-Term Long-Term Debt 24'!J49</f>
        <v>71002</v>
      </c>
      <c r="C4172" s="2" t="s">
        <v>594</v>
      </c>
      <c r="D4172" s="2" t="str">
        <f t="shared" si="64"/>
        <v>Error?</v>
      </c>
    </row>
    <row r="4173" spans="1:4" x14ac:dyDescent="0.2">
      <c r="A4173" s="5">
        <v>4112</v>
      </c>
      <c r="B4173" s="138">
        <f>'Short-Term Long-Term Debt 24'!H49</f>
        <v>150000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1670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2040.0000000000002</v>
      </c>
      <c r="C4268" s="2" t="s">
        <v>594</v>
      </c>
      <c r="D4268" s="2" t="str">
        <f t="shared" si="65"/>
        <v>Error?</v>
      </c>
    </row>
    <row r="4269" spans="1:5" x14ac:dyDescent="0.2">
      <c r="A4269" s="12">
        <v>4208</v>
      </c>
      <c r="B4269" s="138">
        <f>'FP Info 3'!J16</f>
        <v>4635238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3643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23352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23352</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6141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111837405</v>
      </c>
      <c r="D4995" s="2" t="str">
        <f t="shared" si="77"/>
        <v>Error?</v>
      </c>
    </row>
    <row r="4996" spans="1:4" x14ac:dyDescent="0.2">
      <c r="A4996" s="12">
        <v>4935</v>
      </c>
      <c r="B4996" s="138">
        <f>'FP Info 3'!H31</f>
        <v>7716780.9450000003</v>
      </c>
      <c r="D4996" s="2" t="str">
        <f t="shared" si="77"/>
        <v>Error?</v>
      </c>
    </row>
    <row r="4997" spans="1:4" x14ac:dyDescent="0.2">
      <c r="A4997" s="12">
        <v>4936</v>
      </c>
      <c r="B4997" s="138">
        <f>'FP Info 3'!H37</f>
        <v>160000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53631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1893989</v>
      </c>
      <c r="D5061" s="2" t="str">
        <f t="shared" si="78"/>
        <v>Error?</v>
      </c>
    </row>
    <row r="5062" spans="1:4" x14ac:dyDescent="0.2">
      <c r="A5062" s="10">
        <v>5001</v>
      </c>
      <c r="D5062" s="2" t="str">
        <f t="shared" si="78"/>
        <v>OK</v>
      </c>
    </row>
    <row r="5063" spans="1:4" x14ac:dyDescent="0.2">
      <c r="A5063" s="5">
        <v>5002</v>
      </c>
      <c r="B5063" s="138">
        <f>'Revenues 9-14'!C7</f>
        <v>22682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1970302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73139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73139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33986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33986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7326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29883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37209</v>
      </c>
      <c r="C5102" s="2" t="s">
        <v>594</v>
      </c>
      <c r="D5102" s="2" t="str">
        <f t="shared" si="78"/>
        <v>Error?</v>
      </c>
    </row>
    <row r="5103" spans="1:4" x14ac:dyDescent="0.2">
      <c r="A5103" s="5">
        <v>5042</v>
      </c>
      <c r="B5103" s="138">
        <f>'Revenues 9-14'!C84</f>
        <v>31729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70</v>
      </c>
      <c r="D5107" s="2" t="str">
        <f t="shared" si="78"/>
        <v>Error?</v>
      </c>
    </row>
    <row r="5108" spans="1:4" x14ac:dyDescent="0.2">
      <c r="A5108" s="5">
        <v>5047</v>
      </c>
      <c r="B5108" s="138">
        <f>'Revenues 9-14'!C89</f>
        <v>4223</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36022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766</v>
      </c>
      <c r="D5114" s="2" t="str">
        <f t="shared" si="78"/>
        <v>Error?</v>
      </c>
    </row>
    <row r="5115" spans="1:4" x14ac:dyDescent="0.2">
      <c r="A5115" s="5">
        <v>5054</v>
      </c>
      <c r="B5115" s="138">
        <f>'Revenues 9-14'!C98</f>
        <v>43078</v>
      </c>
      <c r="D5115" s="2" t="str">
        <f t="shared" si="78"/>
        <v>Error?</v>
      </c>
    </row>
    <row r="5116" spans="1:4" x14ac:dyDescent="0.2">
      <c r="A5116" s="5">
        <v>5055</v>
      </c>
      <c r="B5116" s="138">
        <f>'Revenues 9-14'!C99</f>
        <v>7974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24954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78972</v>
      </c>
      <c r="C5120" s="2" t="s">
        <v>594</v>
      </c>
      <c r="D5120" s="2" t="str">
        <f t="shared" si="79"/>
        <v>Error?</v>
      </c>
    </row>
    <row r="5121" spans="1:4" x14ac:dyDescent="0.2">
      <c r="A5121" s="5">
        <v>5060</v>
      </c>
      <c r="B5121" s="138">
        <f>'Revenues 9-14'!C109</f>
        <v>2229630</v>
      </c>
      <c r="C5121" s="2" t="s">
        <v>594</v>
      </c>
      <c r="D5121" s="2" t="str">
        <f t="shared" si="79"/>
        <v>Error?</v>
      </c>
    </row>
    <row r="5122" spans="1:4" x14ac:dyDescent="0.2">
      <c r="A5122" s="5">
        <v>5061</v>
      </c>
      <c r="B5122" s="138">
        <f>'Revenues 9-14'!C111</f>
        <v>1500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1500</v>
      </c>
      <c r="C5125" s="2" t="s">
        <v>594</v>
      </c>
      <c r="D5125" s="2" t="str">
        <f t="shared" si="79"/>
        <v>Error?</v>
      </c>
    </row>
    <row r="5126" spans="1:4" x14ac:dyDescent="0.2">
      <c r="A5126" s="5">
        <v>5065</v>
      </c>
      <c r="B5126" s="138">
        <f>'Revenues 9-14'!C117</f>
        <v>129634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129634</v>
      </c>
      <c r="C5132" s="2" t="s">
        <v>594</v>
      </c>
      <c r="D5132" s="2" t="str">
        <f t="shared" si="79"/>
        <v>Error?</v>
      </c>
    </row>
    <row r="5133" spans="1:4" x14ac:dyDescent="0.2">
      <c r="A5133" s="5">
        <v>5072</v>
      </c>
      <c r="B5133" s="138">
        <f>'Revenues 9-14'!C124</f>
        <v>22400</v>
      </c>
      <c r="D5133" s="2" t="str">
        <f t="shared" si="79"/>
        <v>Error?</v>
      </c>
    </row>
    <row r="5134" spans="1:4" x14ac:dyDescent="0.2">
      <c r="A5134" s="5">
        <v>5073</v>
      </c>
      <c r="B5134" s="138">
        <f>'Revenues 9-14'!C125</f>
        <v>11520</v>
      </c>
      <c r="D5134" s="2" t="str">
        <f t="shared" si="79"/>
        <v>Error?</v>
      </c>
    </row>
    <row r="5135" spans="1:4" x14ac:dyDescent="0.2">
      <c r="A5135" s="5">
        <v>5074</v>
      </c>
      <c r="B5135" s="138">
        <f>'Revenues 9-14'!C126</f>
        <v>24360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311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58591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23898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39264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104</v>
      </c>
      <c r="D5167" s="2" t="str">
        <f t="shared" si="79"/>
        <v>Error?</v>
      </c>
    </row>
    <row r="5168" spans="1:4" x14ac:dyDescent="0.2">
      <c r="A5168" s="5">
        <v>5107</v>
      </c>
      <c r="B5168" s="138">
        <f>'Revenues 9-14'!C147</f>
        <v>7546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105505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235139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10290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10290</v>
      </c>
      <c r="C5246" s="2" t="s">
        <v>594</v>
      </c>
      <c r="D5246" s="2" t="str">
        <f t="shared" si="80"/>
        <v>Error?</v>
      </c>
    </row>
    <row r="5247" spans="1:4" x14ac:dyDescent="0.2">
      <c r="A5247" s="5">
        <v>5186</v>
      </c>
      <c r="B5247" s="138">
        <f>'Revenues 9-14'!C203</f>
        <v>27116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6141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27116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74541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74541</v>
      </c>
      <c r="C5326" s="2" t="s">
        <v>594</v>
      </c>
      <c r="D5326" s="2" t="str">
        <f t="shared" si="82"/>
        <v>Error?</v>
      </c>
    </row>
    <row r="5327" spans="1:4" x14ac:dyDescent="0.2">
      <c r="A5327" s="5">
        <v>5266</v>
      </c>
      <c r="B5327" s="138">
        <f>'Revenues 9-14'!C275</f>
        <v>2540810</v>
      </c>
      <c r="C5327" s="2" t="s">
        <v>594</v>
      </c>
      <c r="D5327" s="2" t="str">
        <f t="shared" si="82"/>
        <v>Error?</v>
      </c>
    </row>
    <row r="5328" spans="1:4" x14ac:dyDescent="0.2">
      <c r="A5328" s="5">
        <v>5267</v>
      </c>
      <c r="B5328" s="138">
        <f>'Revenues 9-14'!D5</f>
        <v>283531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283531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4458</v>
      </c>
      <c r="D5338" s="2" t="str">
        <f t="shared" si="82"/>
        <v>Error?</v>
      </c>
    </row>
    <row r="5339" spans="1:4" x14ac:dyDescent="0.2">
      <c r="A5339" s="5">
        <v>5278</v>
      </c>
      <c r="B5339" s="138">
        <f>'Revenues 9-14'!D18</f>
        <v>4458</v>
      </c>
      <c r="C5339" s="2" t="s">
        <v>594</v>
      </c>
      <c r="D5339" s="2" t="str">
        <f t="shared" si="82"/>
        <v>Error?</v>
      </c>
    </row>
    <row r="5340" spans="1:4" x14ac:dyDescent="0.2">
      <c r="A5340" s="5">
        <v>5279</v>
      </c>
      <c r="B5340" s="138">
        <f>'Revenues 9-14'!D65</f>
        <v>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4360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4360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1300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19327</v>
      </c>
      <c r="D5354" s="2" t="str">
        <f t="shared" si="82"/>
        <v>Error?</v>
      </c>
    </row>
    <row r="5355" spans="1:4" x14ac:dyDescent="0.2">
      <c r="A5355" s="5">
        <v>5294</v>
      </c>
      <c r="B5355" s="138">
        <f>'Revenues 9-14'!D108</f>
        <v>20627</v>
      </c>
      <c r="C5355" s="2" t="s">
        <v>594</v>
      </c>
      <c r="D5355" s="2" t="str">
        <f t="shared" si="82"/>
        <v>Error?</v>
      </c>
    </row>
    <row r="5356" spans="1:4" x14ac:dyDescent="0.2">
      <c r="A5356" s="5">
        <v>5295</v>
      </c>
      <c r="B5356" s="138">
        <f>'Revenues 9-14'!D109</f>
        <v>312990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312990</v>
      </c>
      <c r="C5508" s="2" t="s">
        <v>594</v>
      </c>
      <c r="D5508" s="2" t="str">
        <f t="shared" si="85"/>
        <v>Error?</v>
      </c>
    </row>
    <row r="5509" spans="1:4" x14ac:dyDescent="0.2">
      <c r="A5509" s="5">
        <v>5448</v>
      </c>
      <c r="B5509" s="138">
        <f>'Revenues 9-14'!E5</f>
        <v>166455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166455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166455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166455</v>
      </c>
      <c r="C5552" s="2" t="s">
        <v>594</v>
      </c>
      <c r="D5552" s="2" t="str">
        <f t="shared" si="85"/>
        <v>Error?</v>
      </c>
    </row>
    <row r="5553" spans="1:4" x14ac:dyDescent="0.2">
      <c r="A5553" s="5">
        <v>5492</v>
      </c>
      <c r="B5553" s="138">
        <f>'Revenues 9-14'!F5</f>
        <v>136095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136095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107561</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9927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117488</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253583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28296</v>
      </c>
      <c r="D5615" s="2" t="str">
        <f t="shared" si="86"/>
        <v>Error?</v>
      </c>
    </row>
    <row r="5616" spans="1:4" x14ac:dyDescent="0.2">
      <c r="A5616" s="10">
        <v>5555</v>
      </c>
      <c r="D5616" s="2" t="str">
        <f t="shared" si="86"/>
        <v>OK</v>
      </c>
    </row>
    <row r="5617" spans="1:4" x14ac:dyDescent="0.2">
      <c r="A5617" s="5">
        <v>5556</v>
      </c>
      <c r="B5617" s="138">
        <f>'Revenues 9-14'!F152</f>
        <v>74434</v>
      </c>
      <c r="D5617" s="2" t="str">
        <f t="shared" si="86"/>
        <v>Error?</v>
      </c>
    </row>
    <row r="5618" spans="1:4" x14ac:dyDescent="0.2">
      <c r="A5618" s="5">
        <v>5557</v>
      </c>
      <c r="B5618" s="138">
        <f>'Revenues 9-14'!F154</f>
        <v>102730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102730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102730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356313</v>
      </c>
      <c r="C5720" s="2" t="s">
        <v>594</v>
      </c>
      <c r="D5720" s="2" t="str">
        <f t="shared" si="88"/>
        <v>Error?</v>
      </c>
    </row>
    <row r="5721" spans="1:4" x14ac:dyDescent="0.2">
      <c r="A5721" s="5">
        <v>5660</v>
      </c>
      <c r="B5721" s="138">
        <f>'Revenues 9-14'!G5</f>
        <v>58671</v>
      </c>
      <c r="D5721" s="2" t="str">
        <f t="shared" si="88"/>
        <v>Error?</v>
      </c>
    </row>
    <row r="5722" spans="1:4" x14ac:dyDescent="0.2">
      <c r="A5722" s="5">
        <v>5661</v>
      </c>
      <c r="B5722" s="138">
        <f>'Revenues 9-14'!G7</f>
        <v>0</v>
      </c>
      <c r="D5722" s="2" t="str">
        <f t="shared" si="88"/>
        <v>Error?</v>
      </c>
    </row>
    <row r="5723" spans="1:4" x14ac:dyDescent="0.2">
      <c r="A5723" s="5">
        <v>5662</v>
      </c>
      <c r="B5723" s="138">
        <f>'Revenues 9-14'!G8</f>
        <v>50917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109588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12095</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127683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56706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56706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56706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56706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56706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56706</v>
      </c>
      <c r="C6023" s="2" t="s">
        <v>594</v>
      </c>
      <c r="D6023" s="2" t="str">
        <f t="shared" si="93"/>
        <v>Error?</v>
      </c>
    </row>
    <row r="6024" spans="1:5" x14ac:dyDescent="0.2">
      <c r="A6024" s="5">
        <v>5963</v>
      </c>
      <c r="B6024" s="138">
        <f>'Revenues 9-14'!G109</f>
        <v>127683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56706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56706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161.51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220591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220591</v>
      </c>
      <c r="D6215" s="2" t="str">
        <f t="shared" si="96"/>
        <v>Error?</v>
      </c>
      <c r="E6215" s="2" t="s">
        <v>199</v>
      </c>
    </row>
    <row r="6216" spans="1:5" x14ac:dyDescent="0.2">
      <c r="A6216">
        <v>6155</v>
      </c>
      <c r="B6216" s="138">
        <f>'Assets-Liab 5-6'!J41</f>
        <v>220591</v>
      </c>
      <c r="D6216" s="2" t="str">
        <f t="shared" si="96"/>
        <v>Error?</v>
      </c>
      <c r="E6216" s="2" t="s">
        <v>199</v>
      </c>
    </row>
    <row r="6217" spans="1:5" x14ac:dyDescent="0.2">
      <c r="A6217">
        <v>6156</v>
      </c>
      <c r="B6217" s="138">
        <f>'Assets-Liab 5-6'!J4</f>
        <v>220591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194898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194898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194898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201168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201168</v>
      </c>
      <c r="D6229" s="2" t="str">
        <f t="shared" si="96"/>
        <v>Error?</v>
      </c>
      <c r="E6229" s="2" t="s">
        <v>199</v>
      </c>
    </row>
    <row r="6230" spans="1:5" x14ac:dyDescent="0.2">
      <c r="A6230">
        <v>6169</v>
      </c>
      <c r="B6230" s="138">
        <f>'Acct Summary 7-8'!J20</f>
        <v>-6270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-6270</v>
      </c>
      <c r="D6263" s="2" t="str">
        <f t="shared" si="96"/>
        <v>Error?</v>
      </c>
      <c r="E6263" s="2" t="s">
        <v>199</v>
      </c>
    </row>
    <row r="6264" spans="1:5" x14ac:dyDescent="0.2">
      <c r="A6264">
        <v>6203</v>
      </c>
      <c r="B6264" s="138">
        <f>'Acct Summary 7-8'!J79</f>
        <v>226861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220591</v>
      </c>
      <c r="D6266" s="2" t="str">
        <f t="shared" si="96"/>
        <v>Error?</v>
      </c>
      <c r="E6266" s="2" t="s">
        <v>199</v>
      </c>
    </row>
    <row r="6267" spans="1:5" x14ac:dyDescent="0.2">
      <c r="A6267">
        <v>6206</v>
      </c>
      <c r="B6267" s="138">
        <f>'Acct Summary 7-8'!C82</f>
        <v>70868</v>
      </c>
      <c r="D6267" s="2" t="str">
        <f t="shared" si="96"/>
        <v>Error?</v>
      </c>
      <c r="E6267" s="2" t="s">
        <v>199</v>
      </c>
    </row>
    <row r="6268" spans="1:5" x14ac:dyDescent="0.2">
      <c r="A6268">
        <v>6207</v>
      </c>
      <c r="B6268" s="138">
        <f>'Acct Summary 7-8'!D82</f>
        <v>28254</v>
      </c>
      <c r="D6268" s="2" t="str">
        <f t="shared" si="96"/>
        <v>Error?</v>
      </c>
      <c r="E6268" s="2" t="s">
        <v>199</v>
      </c>
    </row>
    <row r="6269" spans="1:5" x14ac:dyDescent="0.2">
      <c r="A6269">
        <v>6208</v>
      </c>
      <c r="B6269" s="138">
        <f>'Acct Summary 7-8'!E82</f>
        <v>5305</v>
      </c>
      <c r="D6269" s="2" t="str">
        <f t="shared" si="96"/>
        <v>Error?</v>
      </c>
      <c r="E6269" s="2" t="s">
        <v>199</v>
      </c>
    </row>
    <row r="6270" spans="1:5" x14ac:dyDescent="0.2">
      <c r="A6270">
        <v>6209</v>
      </c>
      <c r="B6270" s="138">
        <f>'Acct Summary 7-8'!F82</f>
        <v>10900</v>
      </c>
      <c r="D6270" s="2" t="str">
        <f t="shared" si="96"/>
        <v>Error?</v>
      </c>
      <c r="E6270" s="2" t="s">
        <v>199</v>
      </c>
    </row>
    <row r="6271" spans="1:5" x14ac:dyDescent="0.2">
      <c r="A6271">
        <v>6210</v>
      </c>
      <c r="B6271" s="138">
        <f>'Acct Summary 7-8'!G82</f>
        <v>-3666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33106</v>
      </c>
      <c r="D6273" s="2" t="str">
        <f t="shared" si="97"/>
        <v>Error?</v>
      </c>
      <c r="E6273" s="2" t="s">
        <v>199</v>
      </c>
    </row>
    <row r="6274" spans="1:5" x14ac:dyDescent="0.2">
      <c r="A6274">
        <v>6213</v>
      </c>
      <c r="B6274" s="138">
        <f>'Acct Summary 7-8'!J82</f>
        <v>-6270</v>
      </c>
      <c r="D6274" s="2" t="str">
        <f t="shared" si="97"/>
        <v>Error?</v>
      </c>
      <c r="E6274" s="2" t="s">
        <v>199</v>
      </c>
    </row>
    <row r="6275" spans="1:5" x14ac:dyDescent="0.2">
      <c r="A6275">
        <v>6214</v>
      </c>
      <c r="B6275" s="138">
        <f>'Acct Summary 7-8'!K82</f>
        <v>22711</v>
      </c>
      <c r="D6275" s="2" t="str">
        <f t="shared" si="97"/>
        <v>Error?</v>
      </c>
      <c r="E6275" s="2" t="s">
        <v>199</v>
      </c>
    </row>
    <row r="6276" spans="1:5" x14ac:dyDescent="0.2">
      <c r="A6276">
        <v>6215</v>
      </c>
      <c r="B6276" s="138">
        <f>'Acct Summary 7-8'!C83</f>
        <v>2.8162129748147077E-2</v>
      </c>
      <c r="D6276" s="2" t="str">
        <f t="shared" si="97"/>
        <v>Error?</v>
      </c>
      <c r="E6276" s="2" t="s">
        <v>199</v>
      </c>
    </row>
    <row r="6277" spans="1:5" x14ac:dyDescent="0.2">
      <c r="A6277">
        <v>6216</v>
      </c>
      <c r="B6277" s="138">
        <f>'Acct Summary 7-8'!D83</f>
        <v>4.9088047145651847E-2</v>
      </c>
      <c r="D6277" s="2" t="str">
        <f t="shared" si="97"/>
        <v>Error?</v>
      </c>
      <c r="E6277" s="2" t="s">
        <v>199</v>
      </c>
    </row>
    <row r="6278" spans="1:5" x14ac:dyDescent="0.2">
      <c r="A6278">
        <v>6217</v>
      </c>
      <c r="B6278" s="138">
        <f>'Acct Summary 7-8'!E83</f>
        <v>5.9608081080473718E-2</v>
      </c>
      <c r="D6278" s="2" t="str">
        <f t="shared" si="97"/>
        <v>Error?</v>
      </c>
      <c r="E6278" s="2" t="s">
        <v>199</v>
      </c>
    </row>
    <row r="6279" spans="1:5" x14ac:dyDescent="0.2">
      <c r="A6279">
        <v>6218</v>
      </c>
      <c r="B6279" s="138">
        <f>'Acct Summary 7-8'!F83</f>
        <v>3.4012225678918352E-2</v>
      </c>
      <c r="D6279" s="2" t="str">
        <f t="shared" si="97"/>
        <v>Error?</v>
      </c>
      <c r="E6279" s="2" t="s">
        <v>199</v>
      </c>
    </row>
    <row r="6280" spans="1:5" x14ac:dyDescent="0.2">
      <c r="A6280">
        <v>6219</v>
      </c>
      <c r="B6280" s="138">
        <f>'Acct Summary 7-8'!G83</f>
        <v>-3.897097905814819E-2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2.7074858639240144E-2</v>
      </c>
      <c r="D6282" s="2" t="str">
        <f t="shared" si="97"/>
        <v>Error?</v>
      </c>
      <c r="E6282" s="2" t="s">
        <v>199</v>
      </c>
    </row>
    <row r="6283" spans="1:5" x14ac:dyDescent="0.2">
      <c r="A6283">
        <v>6222</v>
      </c>
      <c r="B6283" s="138">
        <f>'Acct Summary 7-8'!J83</f>
        <v>-2.8423643756998247E-2</v>
      </c>
      <c r="D6283" s="2" t="str">
        <f t="shared" si="97"/>
        <v>Error?</v>
      </c>
      <c r="E6283" s="2" t="s">
        <v>199</v>
      </c>
    </row>
    <row r="6284" spans="1:5" x14ac:dyDescent="0.2">
      <c r="A6284">
        <v>6223</v>
      </c>
      <c r="B6284" s="138">
        <f>'Acct Summary 7-8'!K83</f>
        <v>0.10732276692468362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194298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194298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12095</v>
      </c>
      <c r="D6349" s="2" t="str">
        <f t="shared" si="98"/>
        <v>Error?</v>
      </c>
      <c r="E6349" s="2" t="s">
        <v>199</v>
      </c>
    </row>
    <row r="6350" spans="1:5" x14ac:dyDescent="0.2">
      <c r="A6350">
        <v>6289</v>
      </c>
      <c r="B6350" s="138">
        <f>'Revenues 9-14'!J107</f>
        <v>600</v>
      </c>
      <c r="D6350" s="2" t="str">
        <f t="shared" si="98"/>
        <v>Error?</v>
      </c>
      <c r="E6350" s="2" t="s">
        <v>199</v>
      </c>
    </row>
    <row r="6351" spans="1:5" x14ac:dyDescent="0.2">
      <c r="A6351">
        <v>6290</v>
      </c>
      <c r="B6351" s="138">
        <f>'Revenues 9-14'!J108</f>
        <v>600</v>
      </c>
      <c r="D6351" s="2" t="str">
        <f t="shared" si="98"/>
        <v>Error?</v>
      </c>
      <c r="E6351" s="2" t="s">
        <v>199</v>
      </c>
    </row>
    <row r="6352" spans="1:5" x14ac:dyDescent="0.2">
      <c r="A6352">
        <v>6291</v>
      </c>
      <c r="B6352" s="138">
        <f>'Revenues 9-14'!J109</f>
        <v>194898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15366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40752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1861</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1861</v>
      </c>
      <c r="D6940" s="2" t="str">
        <f t="shared" si="107"/>
        <v>Error?</v>
      </c>
    </row>
    <row r="6941" spans="1:4" x14ac:dyDescent="0.2">
      <c r="A6941">
        <v>6880</v>
      </c>
      <c r="B6941" s="138">
        <f>'Expenditures 15-22'!L52</f>
        <v>1240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22094</v>
      </c>
      <c r="D6983" s="2" t="str">
        <f t="shared" si="108"/>
        <v>Error?</v>
      </c>
    </row>
    <row r="6984" spans="1:4" x14ac:dyDescent="0.2">
      <c r="A6984">
        <v>6923</v>
      </c>
      <c r="B6984" s="138">
        <f>'Expenditures 15-22'!K86</f>
        <v>22094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39900</v>
      </c>
      <c r="D6987" s="2" t="str">
        <f t="shared" si="108"/>
        <v>Error?</v>
      </c>
    </row>
    <row r="6988" spans="1:4" x14ac:dyDescent="0.2">
      <c r="A6988">
        <v>6927</v>
      </c>
      <c r="B6988" s="138">
        <f>'Expenditures 15-22'!K88</f>
        <v>39900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61994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201168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194898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377</v>
      </c>
      <c r="D7079" s="2" t="str">
        <f t="shared" si="109"/>
        <v>Error?</v>
      </c>
    </row>
    <row r="7080" spans="1:4" x14ac:dyDescent="0.2">
      <c r="A7080">
        <v>7019</v>
      </c>
      <c r="B7080" s="138">
        <f>'Expenditures 15-22'!K226</f>
        <v>377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10229</v>
      </c>
      <c r="D7093" s="2" t="str">
        <f t="shared" si="109"/>
        <v>Error?</v>
      </c>
    </row>
    <row r="7094" spans="1:4" x14ac:dyDescent="0.2">
      <c r="A7094">
        <v>7033</v>
      </c>
      <c r="B7094" s="138">
        <f>'Expenditures 15-22'!K254</f>
        <v>10229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42991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42991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127206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29355</v>
      </c>
      <c r="D7174" s="2" t="str">
        <f t="shared" si="111"/>
        <v>Error?</v>
      </c>
    </row>
    <row r="7175" spans="1:4" x14ac:dyDescent="0.2">
      <c r="A7175">
        <v>7114</v>
      </c>
      <c r="B7175" s="138">
        <f>'Expenditures 15-22'!F325</f>
        <v>866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157427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127206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73096</v>
      </c>
      <c r="D7201" s="2" t="str">
        <f t="shared" si="111"/>
        <v>Error?</v>
      </c>
    </row>
    <row r="7202" spans="1:4" x14ac:dyDescent="0.2">
      <c r="A7202">
        <v>7141</v>
      </c>
      <c r="B7202" s="138">
        <f>'Expenditures 15-22'!F330</f>
        <v>866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201168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127206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73096</v>
      </c>
      <c r="D7218" s="2" t="str">
        <f t="shared" si="111"/>
        <v>Error?</v>
      </c>
    </row>
    <row r="7219" spans="1:4" x14ac:dyDescent="0.2">
      <c r="A7219">
        <v>7158</v>
      </c>
      <c r="B7219" s="138">
        <f>'Expenditures 15-22'!F342</f>
        <v>866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201168</v>
      </c>
      <c r="D7224" s="2" t="str">
        <f t="shared" si="111"/>
        <v>Error?</v>
      </c>
    </row>
    <row r="7225" spans="1:4" x14ac:dyDescent="0.2">
      <c r="A7225">
        <v>7164</v>
      </c>
      <c r="B7225" s="138">
        <f>'Expenditures 15-22'!K343</f>
        <v>-6270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29164</v>
      </c>
      <c r="D7263" s="2" t="str">
        <f t="shared" si="112"/>
        <v>Error?</v>
      </c>
    </row>
    <row r="7264" spans="1:4" x14ac:dyDescent="0.2">
      <c r="A7264">
        <f t="shared" si="113"/>
        <v>7203</v>
      </c>
      <c r="B7264" s="138">
        <f>'Expenditures 15-22'!D17</f>
        <v>10401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1187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161736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7546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9746</v>
      </c>
      <c r="D7719" s="2" t="str">
        <f t="shared" si="126"/>
        <v>Error?</v>
      </c>
      <c r="E7719" s="2" t="s">
        <v>881</v>
      </c>
    </row>
    <row r="7720" spans="1:6" x14ac:dyDescent="0.2">
      <c r="A7720">
        <v>7659</v>
      </c>
      <c r="B7720" s="138">
        <f>'Rest Tax Levies-Tort Im 25'!H14</f>
        <v>22682</v>
      </c>
      <c r="D7720" s="2" t="str">
        <f t="shared" si="126"/>
        <v>Error?</v>
      </c>
      <c r="E7720" s="2" t="s">
        <v>881</v>
      </c>
    </row>
    <row r="7721" spans="1:6" x14ac:dyDescent="0.2">
      <c r="A7721">
        <v>7660</v>
      </c>
      <c r="B7721" s="138">
        <f>'Rest Tax Levies-Tort Im 25'!K14</f>
        <v>9746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196985</v>
      </c>
      <c r="D7797" s="2" t="str">
        <f t="shared" si="127"/>
        <v>Error?</v>
      </c>
      <c r="E7797" s="4" t="s">
        <v>2019</v>
      </c>
    </row>
    <row r="7798" spans="1:5" x14ac:dyDescent="0.2">
      <c r="A7798">
        <v>7737</v>
      </c>
      <c r="B7798" s="138">
        <f>'Contracts Paid in CY 29'!F141</f>
        <v>110055</v>
      </c>
      <c r="D7798" s="2" t="str">
        <f t="shared" si="127"/>
        <v>Error?</v>
      </c>
      <c r="E7798" s="4" t="s">
        <v>2019</v>
      </c>
    </row>
    <row r="7799" spans="1:5" x14ac:dyDescent="0.2">
      <c r="A7799">
        <v>7738</v>
      </c>
      <c r="B7799" s="138">
        <f>'Contracts Paid in CY 29'!G141</f>
        <v>20110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Newark CHSD 18</v>
      </c>
      <c r="B7" s="2421"/>
      <c r="C7" s="2421"/>
      <c r="D7" s="2422"/>
      <c r="E7" s="2423">
        <f>COVER!A13</f>
        <v>24047018016</v>
      </c>
      <c r="F7" s="2424"/>
      <c r="G7" s="2430" t="str">
        <f>COVER!T23</f>
        <v>066-005100</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Mack &amp; Associates, P.C.</v>
      </c>
      <c r="H9" s="2436"/>
      <c r="I9" s="2436"/>
      <c r="J9" s="2436"/>
      <c r="K9" s="2436"/>
      <c r="L9" s="2437"/>
    </row>
    <row r="10" spans="1:29" ht="13.5" customHeight="1" x14ac:dyDescent="0.2">
      <c r="A10" s="2410" t="str">
        <f>COVER!A38</f>
        <v>Amy Smith</v>
      </c>
      <c r="B10" s="2411"/>
      <c r="C10" s="2411"/>
      <c r="D10" s="2411"/>
      <c r="E10" s="2411"/>
      <c r="F10" s="2412"/>
      <c r="G10" s="2404" t="str">
        <f>COVER!T17</f>
        <v>116 E. Washington St., Suite One</v>
      </c>
      <c r="H10" s="2405"/>
      <c r="I10" s="2405"/>
      <c r="J10" s="2405"/>
      <c r="K10" s="2405"/>
      <c r="L10" s="2406"/>
    </row>
    <row r="11" spans="1:29" ht="13.5" customHeight="1" x14ac:dyDescent="0.2">
      <c r="A11" s="1185" t="s">
        <v>1599</v>
      </c>
      <c r="B11" s="1186"/>
      <c r="C11" s="1187"/>
      <c r="D11" s="1192"/>
      <c r="E11" s="1187"/>
      <c r="F11" s="1191"/>
      <c r="G11" s="2404" t="str">
        <f>COVER!T19</f>
        <v>Morris</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tmack@mackcpas.com</v>
      </c>
      <c r="J13" s="2417"/>
      <c r="K13" s="2417"/>
      <c r="L13" s="2418"/>
    </row>
    <row r="14" spans="1:29" ht="13.5" customHeight="1" x14ac:dyDescent="0.2">
      <c r="A14" s="2404" t="str">
        <f>COVER!A19</f>
        <v>413 Chicago Road</v>
      </c>
      <c r="B14" s="2405"/>
      <c r="C14" s="2405"/>
      <c r="D14" s="2405"/>
      <c r="E14" s="2405"/>
      <c r="F14" s="2406"/>
      <c r="G14" s="1196" t="s">
        <v>1247</v>
      </c>
      <c r="H14" s="1194"/>
      <c r="I14" s="1194"/>
      <c r="J14" s="1194"/>
      <c r="K14" s="1194"/>
      <c r="L14" s="1195"/>
    </row>
    <row r="15" spans="1:29" ht="13.5" customHeight="1" x14ac:dyDescent="0.2">
      <c r="A15" s="2404" t="str">
        <f>COVER!A21</f>
        <v xml:space="preserve">Newark  </v>
      </c>
      <c r="B15" s="2405"/>
      <c r="C15" s="2405"/>
      <c r="D15" s="2405"/>
      <c r="E15" s="2405"/>
      <c r="F15" s="2406"/>
      <c r="G15" s="2401" t="str">
        <f>COVER!T15</f>
        <v>Tawnya Mack, CPA</v>
      </c>
      <c r="H15" s="2402"/>
      <c r="I15" s="2402"/>
      <c r="J15" s="2402"/>
      <c r="K15" s="2402"/>
      <c r="L15" s="2403"/>
    </row>
    <row r="16" spans="1:29" ht="12.2" customHeight="1" x14ac:dyDescent="0.2">
      <c r="A16" s="2426">
        <f>COVER!A25</f>
        <v>60541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815-942-3306</v>
      </c>
      <c r="H18" s="2421"/>
      <c r="I18" s="2421"/>
      <c r="J18" s="2421"/>
      <c r="K18" s="2420" t="str">
        <f>COVER!X21</f>
        <v>815-942-9430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Newark CHSD 18</v>
      </c>
      <c r="B1" s="2419"/>
      <c r="C1" s="2419"/>
      <c r="D1" s="2419"/>
    </row>
    <row r="2" spans="1:11" s="1215" customFormat="1" ht="12.75" x14ac:dyDescent="0.2">
      <c r="A2" s="2443">
        <f>'Single Audit Cover'!E7</f>
        <v>24047018016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Newark CHSD 18</v>
      </c>
      <c r="B1" s="2446"/>
      <c r="C1" s="2446"/>
      <c r="D1" s="2446"/>
      <c r="E1" s="2446"/>
    </row>
    <row r="2" spans="1:5" x14ac:dyDescent="0.2">
      <c r="A2" s="2447">
        <f>'Single Audit Cover'!E7</f>
        <v>24047018016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74541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1824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76365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76365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76365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Newark CHSD 18</v>
      </c>
      <c r="B1" s="2459"/>
      <c r="C1" s="2459"/>
      <c r="D1" s="2459"/>
      <c r="E1" s="2459"/>
      <c r="F1" s="2459"/>
    </row>
    <row r="2" spans="1:7" ht="13.5" customHeight="1" x14ac:dyDescent="0.2">
      <c r="A2" s="2460">
        <f>'Single Audit Cover'!E7</f>
        <v>24047018016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1948</v>
      </c>
      <c r="B34" s="328"/>
      <c r="C34" s="1289">
        <v>0</v>
      </c>
      <c r="D34" s="1926" t="s">
        <v>1671</v>
      </c>
      <c r="E34" s="2453">
        <f>+C33+C34</f>
        <v>0</v>
      </c>
      <c r="F34" s="245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Newark CHSD 18</v>
      </c>
      <c r="C1" s="2463"/>
      <c r="D1" s="2463"/>
      <c r="E1" s="2463"/>
      <c r="F1" s="2463"/>
      <c r="G1" s="2463"/>
      <c r="H1" s="2463"/>
      <c r="I1" s="2463"/>
      <c r="J1" s="2463"/>
      <c r="K1" s="2463"/>
      <c r="L1" s="2463"/>
      <c r="M1" s="2463"/>
    </row>
    <row r="2" spans="2:14" ht="15" x14ac:dyDescent="0.2">
      <c r="B2" s="2460">
        <f>'Single Audit Cover'!E7</f>
        <v>24047018016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t="s">
        <v>2114</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Newark CHSD 18</v>
      </c>
      <c r="C1" s="2478"/>
      <c r="D1" s="2478"/>
      <c r="E1" s="2478"/>
      <c r="F1" s="2478"/>
      <c r="G1" s="2478"/>
      <c r="H1" s="2478"/>
      <c r="I1" s="2478"/>
      <c r="J1" s="1422"/>
    </row>
    <row r="2" spans="2:10" s="317" customFormat="1" ht="12.75" customHeight="1" x14ac:dyDescent="0.2">
      <c r="B2" s="2479">
        <f>'Single Audit Cover'!E7</f>
        <v>24047018016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Newark CHSD 18</v>
      </c>
      <c r="C1" s="2477"/>
      <c r="D1" s="2477"/>
      <c r="E1" s="2477"/>
      <c r="F1" s="2477"/>
      <c r="G1" s="2477"/>
      <c r="H1" s="2477"/>
      <c r="I1" s="2477"/>
      <c r="J1" s="2477"/>
      <c r="K1" s="2477"/>
      <c r="L1" s="1374"/>
      <c r="M1" s="1374"/>
    </row>
    <row r="2" spans="1:13" ht="12" customHeight="1" x14ac:dyDescent="0.2">
      <c r="B2" s="2479">
        <f>'Single Audit Cover'!E7</f>
        <v>24047018016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Newark CHSD 18</v>
      </c>
      <c r="C1" s="2500"/>
      <c r="D1" s="2500"/>
      <c r="E1" s="2500"/>
      <c r="F1" s="2500"/>
      <c r="G1" s="2500"/>
      <c r="H1" s="2500"/>
      <c r="I1" s="2500"/>
      <c r="J1" s="2500"/>
      <c r="K1" s="2500"/>
      <c r="L1" s="1465"/>
    </row>
    <row r="2" spans="1:12" ht="12.75" customHeight="1" x14ac:dyDescent="0.2">
      <c r="B2" s="2501">
        <f>'Single Audit Cover'!E7</f>
        <v>24047018016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Newark CHSD 18</v>
      </c>
      <c r="C1" s="2477"/>
      <c r="D1" s="2477"/>
      <c r="E1" s="1491"/>
    </row>
    <row r="2" spans="2:5" s="1282" customFormat="1" ht="12.75" customHeight="1" x14ac:dyDescent="0.2">
      <c r="B2" s="2479">
        <f>'Single Audit Cover'!E7</f>
        <v>24047018016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111837405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1.67E-2</v>
      </c>
      <c r="E10" s="356" t="s">
        <v>1062</v>
      </c>
      <c r="F10" s="355">
        <v>2.5000000000000001E-3</v>
      </c>
      <c r="G10" s="356" t="s">
        <v>1062</v>
      </c>
      <c r="H10" s="355">
        <v>1.1999999999999999E-3</v>
      </c>
      <c r="I10" s="356" t="s">
        <v>1063</v>
      </c>
      <c r="J10" s="1754">
        <f>ROUND(D10+F10+H10,5)</f>
        <v>2.0400000000000001E-2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3266819</v>
      </c>
      <c r="E16" s="356"/>
      <c r="F16" s="1755">
        <f>SUM('Acct Summary 7-8'!C17,'Acct Summary 7-8'!D17,'Acct Summary 7-8'!F17)</f>
        <v>3123691</v>
      </c>
      <c r="G16" s="356"/>
      <c r="H16" s="1755">
        <f>SUM(D16-F16)</f>
        <v>143128</v>
      </c>
      <c r="I16" s="222"/>
      <c r="J16" s="1755">
        <f>SUM('Acct Summary 7-8'!C81,'Acct Summary 7-8'!D81,'Acct Summary 7-8'!F81,'Acct Summary 7-8'!I81)</f>
        <v>4635238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7716780.9450000003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Newark CHSD 18</v>
      </c>
      <c r="E7" s="391"/>
      <c r="G7" s="252"/>
      <c r="H7" s="387"/>
      <c r="I7" s="387"/>
      <c r="J7" s="387"/>
      <c r="K7" s="387"/>
      <c r="L7" s="329"/>
      <c r="M7" s="329"/>
      <c r="N7" s="329"/>
      <c r="O7" s="329"/>
      <c r="P7" s="329"/>
    </row>
    <row r="8" spans="1:18" ht="12.75" x14ac:dyDescent="0.2">
      <c r="A8" s="329"/>
      <c r="B8" s="329"/>
      <c r="C8" s="389" t="s">
        <v>1187</v>
      </c>
      <c r="D8" s="392">
        <f>COVER!A13</f>
        <v>24047018016</v>
      </c>
      <c r="E8" s="393"/>
      <c r="G8" s="329"/>
      <c r="H8" s="329"/>
      <c r="I8" s="329"/>
      <c r="J8" s="329"/>
      <c r="K8" s="329"/>
      <c r="L8" s="329"/>
      <c r="M8" s="329"/>
      <c r="N8" s="329"/>
      <c r="O8" s="329"/>
      <c r="P8" s="329"/>
    </row>
    <row r="9" spans="1:18" ht="12.75" x14ac:dyDescent="0.2">
      <c r="A9" s="329"/>
      <c r="B9" s="329"/>
      <c r="C9" s="389" t="s">
        <v>737</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4635238</v>
      </c>
      <c r="I12" s="404"/>
      <c r="J12" s="404"/>
      <c r="K12" s="405">
        <f>TRUNC((H12/H13*100000),5)/100000</f>
        <v>1.4188842418000001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3266819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3123691</v>
      </c>
      <c r="I17" s="404"/>
      <c r="J17" s="416"/>
      <c r="K17" s="405">
        <f>TRUNC((H17/H18*100000),5)/100000</f>
        <v>0.95618734920000004</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3266819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4635238</v>
      </c>
      <c r="I24" s="422"/>
      <c r="J24" s="422"/>
      <c r="K24" s="423">
        <f>TRUNC(((H24/H25*100000)/100000),2)</f>
        <v>534.20000000000005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8676.9194399999997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1939260.6026999999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160000</v>
      </c>
      <c r="I32" s="420"/>
      <c r="J32" s="420"/>
      <c r="K32" s="423">
        <f>TRUNC(100-((((H32/H33*100))*100)/100),2)</f>
        <v>97.92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7716780.9450000003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7" activePane="bottomLeft" state="frozen"/>
      <selection activeCell="A47" sqref="A47"/>
      <selection pane="bottomLeft" activeCell="J46" sqref="J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962224</v>
      </c>
      <c r="D4" s="466">
        <v>328878</v>
      </c>
      <c r="E4" s="466">
        <v>88998</v>
      </c>
      <c r="F4" s="466">
        <v>72973</v>
      </c>
      <c r="G4" s="466">
        <v>94070</v>
      </c>
      <c r="H4" s="466"/>
      <c r="I4" s="466">
        <v>725426</v>
      </c>
      <c r="J4" s="467">
        <v>220591</v>
      </c>
      <c r="K4" s="466">
        <v>211614</v>
      </c>
      <c r="L4" s="466">
        <v>82484</v>
      </c>
      <c r="M4" s="468"/>
      <c r="N4" s="469"/>
    </row>
    <row r="5" spans="1:14" x14ac:dyDescent="0.2">
      <c r="A5" s="463" t="s">
        <v>1049</v>
      </c>
      <c r="B5" s="470">
        <v>120</v>
      </c>
      <c r="C5" s="465">
        <v>1554205</v>
      </c>
      <c r="D5" s="466">
        <v>246700</v>
      </c>
      <c r="E5" s="466"/>
      <c r="F5" s="466">
        <v>247500</v>
      </c>
      <c r="G5" s="466"/>
      <c r="H5" s="466"/>
      <c r="I5" s="466">
        <v>497332</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2516429</v>
      </c>
      <c r="D13" s="1759">
        <f t="shared" ref="D13:L13" si="0">SUM(D4:D12)</f>
        <v>575578</v>
      </c>
      <c r="E13" s="1759">
        <f t="shared" si="0"/>
        <v>88998</v>
      </c>
      <c r="F13" s="1759">
        <f t="shared" si="0"/>
        <v>320473</v>
      </c>
      <c r="G13" s="1759">
        <f t="shared" si="0"/>
        <v>94070</v>
      </c>
      <c r="H13" s="1759">
        <f t="shared" si="0"/>
        <v>0</v>
      </c>
      <c r="I13" s="1759">
        <f t="shared" si="0"/>
        <v>1222758</v>
      </c>
      <c r="J13" s="1759">
        <f t="shared" si="0"/>
        <v>220591</v>
      </c>
      <c r="K13" s="1759">
        <f t="shared" si="0"/>
        <v>211614</v>
      </c>
      <c r="L13" s="1759">
        <f t="shared" si="0"/>
        <v>82484</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177257</v>
      </c>
      <c r="N16" s="484"/>
    </row>
    <row r="17" spans="1:14" s="485" customFormat="1" ht="12.75" customHeight="1" x14ac:dyDescent="0.2">
      <c r="A17" s="482" t="s">
        <v>1470</v>
      </c>
      <c r="B17" s="483">
        <v>230</v>
      </c>
      <c r="C17" s="477"/>
      <c r="D17" s="477"/>
      <c r="E17" s="477"/>
      <c r="F17" s="477"/>
      <c r="G17" s="477"/>
      <c r="H17" s="477"/>
      <c r="I17" s="477"/>
      <c r="J17" s="477"/>
      <c r="K17" s="477"/>
      <c r="L17" s="477"/>
      <c r="M17" s="467">
        <v>2357560</v>
      </c>
      <c r="N17" s="484"/>
    </row>
    <row r="18" spans="1:14" s="485" customFormat="1" ht="12.75" customHeight="1" x14ac:dyDescent="0.2">
      <c r="A18" s="482" t="s">
        <v>1471</v>
      </c>
      <c r="B18" s="483">
        <v>240</v>
      </c>
      <c r="C18" s="477"/>
      <c r="D18" s="477"/>
      <c r="E18" s="477"/>
      <c r="F18" s="477"/>
      <c r="G18" s="477"/>
      <c r="H18" s="477"/>
      <c r="I18" s="477"/>
      <c r="J18" s="477"/>
      <c r="K18" s="477"/>
      <c r="L18" s="477"/>
      <c r="M18" s="467">
        <v>94628</v>
      </c>
      <c r="N18" s="484"/>
    </row>
    <row r="19" spans="1:14" s="485" customFormat="1" ht="12.75" customHeight="1" x14ac:dyDescent="0.2">
      <c r="A19" s="482" t="s">
        <v>1472</v>
      </c>
      <c r="B19" s="483">
        <v>250</v>
      </c>
      <c r="C19" s="477"/>
      <c r="D19" s="477"/>
      <c r="E19" s="477"/>
      <c r="F19" s="477"/>
      <c r="G19" s="477"/>
      <c r="H19" s="477"/>
      <c r="I19" s="477"/>
      <c r="J19" s="477"/>
      <c r="K19" s="477"/>
      <c r="L19" s="477"/>
      <c r="M19" s="467">
        <v>244008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88998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71002</v>
      </c>
    </row>
    <row r="23" spans="1:14" ht="13.5" customHeight="1" thickBot="1" x14ac:dyDescent="0.25">
      <c r="A23" s="1758" t="s">
        <v>664</v>
      </c>
      <c r="B23" s="1763"/>
      <c r="C23" s="468"/>
      <c r="D23" s="468"/>
      <c r="E23" s="468"/>
      <c r="F23" s="468"/>
      <c r="G23" s="468"/>
      <c r="H23" s="468"/>
      <c r="I23" s="468"/>
      <c r="J23" s="468"/>
      <c r="K23" s="468"/>
      <c r="L23" s="468"/>
      <c r="M23" s="1710">
        <f>SUM(M15:M22)</f>
        <v>2873453</v>
      </c>
      <c r="N23" s="1710">
        <f>SUM(N21:N22)</f>
        <v>160000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82484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82484</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160000</v>
      </c>
    </row>
    <row r="37" spans="1:14" ht="13.5" thickBot="1" x14ac:dyDescent="0.25">
      <c r="A37" s="1758" t="s">
        <v>674</v>
      </c>
      <c r="B37" s="1763"/>
      <c r="C37" s="477"/>
      <c r="D37" s="477"/>
      <c r="E37" s="477"/>
      <c r="F37" s="477"/>
      <c r="G37" s="477"/>
      <c r="H37" s="477"/>
      <c r="I37" s="477"/>
      <c r="J37" s="477"/>
      <c r="K37" s="477"/>
      <c r="L37" s="480"/>
      <c r="M37" s="468"/>
      <c r="N37" s="1710">
        <f>SUM(N36:N36)</f>
        <v>160000</v>
      </c>
    </row>
    <row r="38" spans="1:14" s="329" customFormat="1" ht="13.5" customHeight="1" thickTop="1" x14ac:dyDescent="0.2">
      <c r="A38" s="496" t="s">
        <v>440</v>
      </c>
      <c r="B38" s="483">
        <v>714</v>
      </c>
      <c r="C38" s="466">
        <v>164237</v>
      </c>
      <c r="D38" s="466"/>
      <c r="E38" s="466"/>
      <c r="F38" s="466"/>
      <c r="G38" s="466">
        <v>31981</v>
      </c>
      <c r="H38" s="466"/>
      <c r="I38" s="466"/>
      <c r="J38" s="467"/>
      <c r="K38" s="466"/>
      <c r="L38" s="481"/>
      <c r="M38" s="497"/>
      <c r="N38" s="497"/>
    </row>
    <row r="39" spans="1:14" s="329" customFormat="1" ht="13.5" customHeight="1" x14ac:dyDescent="0.2">
      <c r="A39" s="496" t="s">
        <v>360</v>
      </c>
      <c r="B39" s="483">
        <v>730</v>
      </c>
      <c r="C39" s="466">
        <v>2352192</v>
      </c>
      <c r="D39" s="466">
        <v>575578</v>
      </c>
      <c r="E39" s="466">
        <v>88998</v>
      </c>
      <c r="F39" s="466">
        <v>320473</v>
      </c>
      <c r="G39" s="466">
        <v>62089</v>
      </c>
      <c r="H39" s="466"/>
      <c r="I39" s="466">
        <v>1222758</v>
      </c>
      <c r="J39" s="467">
        <v>220591</v>
      </c>
      <c r="K39" s="466">
        <v>211614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2873453</v>
      </c>
      <c r="N40" s="497"/>
    </row>
    <row r="41" spans="1:14" ht="13.5" customHeight="1" thickBot="1" x14ac:dyDescent="0.25">
      <c r="A41" s="1758" t="s">
        <v>676</v>
      </c>
      <c r="B41" s="1728"/>
      <c r="C41" s="1710">
        <f>(SUM(C34,C37,C38,C39))</f>
        <v>2516429</v>
      </c>
      <c r="D41" s="1710">
        <f t="shared" ref="D41:L41" si="2">SUM(D34,D37,D38:D39)</f>
        <v>575578</v>
      </c>
      <c r="E41" s="1710">
        <f t="shared" si="2"/>
        <v>88998</v>
      </c>
      <c r="F41" s="1710">
        <f t="shared" si="2"/>
        <v>320473</v>
      </c>
      <c r="G41" s="1710">
        <f t="shared" si="2"/>
        <v>94070</v>
      </c>
      <c r="H41" s="1710">
        <f t="shared" si="2"/>
        <v>0</v>
      </c>
      <c r="I41" s="1710">
        <f t="shared" si="2"/>
        <v>1222758</v>
      </c>
      <c r="J41" s="1710">
        <f t="shared" si="2"/>
        <v>220591</v>
      </c>
      <c r="K41" s="1710">
        <f t="shared" si="2"/>
        <v>211614</v>
      </c>
      <c r="L41" s="1710">
        <f t="shared" si="2"/>
        <v>82484</v>
      </c>
      <c r="M41" s="1710">
        <f>SUM(M40)</f>
        <v>2873453</v>
      </c>
      <c r="N41" s="1710">
        <f>SUM(N37)</f>
        <v>160000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1" activePane="bottomLeft" state="frozenSplit"/>
      <selection activeCell="A47" sqref="A47"/>
      <selection pane="bottomLeft" activeCell="A26" sqref="A2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4">
        <f>'Revenues 9-14'!C109</f>
        <v>2229630</v>
      </c>
      <c r="D4" s="1764">
        <f>'Revenues 9-14'!D109</f>
        <v>312990</v>
      </c>
      <c r="E4" s="1764">
        <f>'Revenues 9-14'!E109</f>
        <v>166455</v>
      </c>
      <c r="F4" s="1764">
        <f>'Revenues 9-14'!F109</f>
        <v>253583</v>
      </c>
      <c r="G4" s="1764">
        <f>'Revenues 9-14'!G109</f>
        <v>127683</v>
      </c>
      <c r="H4" s="1764">
        <f>'Revenues 9-14'!H109</f>
        <v>0</v>
      </c>
      <c r="I4" s="1764">
        <f>'Revenues 9-14'!I109</f>
        <v>56706</v>
      </c>
      <c r="J4" s="1764">
        <f>'Revenues 9-14'!J109</f>
        <v>194898</v>
      </c>
      <c r="K4" s="1764">
        <f>'Revenues 9-14'!K109</f>
        <v>56706</v>
      </c>
      <c r="L4" s="347"/>
    </row>
    <row r="5" spans="1:13" ht="15.75" customHeight="1" x14ac:dyDescent="0.2">
      <c r="A5" s="1598" t="s">
        <v>1580</v>
      </c>
      <c r="B5" s="1599">
        <v>2000</v>
      </c>
      <c r="C5" s="1765">
        <f>'Revenues 9-14'!C114</f>
        <v>1500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235139</v>
      </c>
      <c r="D6" s="1765">
        <f>'Revenues 9-14'!D173</f>
        <v>0</v>
      </c>
      <c r="E6" s="1765">
        <f>'Revenues 9-14'!E173</f>
        <v>0</v>
      </c>
      <c r="F6" s="1765">
        <f>'Revenues 9-14'!F173</f>
        <v>102730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74541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2540810</v>
      </c>
      <c r="D8" s="1710">
        <f t="shared" ref="D8:K8" si="0">SUM(D4:D7)</f>
        <v>312990</v>
      </c>
      <c r="E8" s="1710">
        <f t="shared" si="0"/>
        <v>166455</v>
      </c>
      <c r="F8" s="1710">
        <f t="shared" si="0"/>
        <v>356313</v>
      </c>
      <c r="G8" s="1710">
        <f t="shared" si="0"/>
        <v>127683</v>
      </c>
      <c r="H8" s="1710">
        <f t="shared" si="0"/>
        <v>0</v>
      </c>
      <c r="I8" s="1710">
        <f t="shared" si="0"/>
        <v>56706</v>
      </c>
      <c r="J8" s="1710">
        <f t="shared" si="0"/>
        <v>194898</v>
      </c>
      <c r="K8" s="1710">
        <f t="shared" si="0"/>
        <v>56706</v>
      </c>
      <c r="L8" s="347"/>
    </row>
    <row r="9" spans="1:13" ht="15.75" thickTop="1" x14ac:dyDescent="0.2">
      <c r="A9" s="514" t="s">
        <v>1752</v>
      </c>
      <c r="B9" s="515">
        <v>3998</v>
      </c>
      <c r="C9" s="481">
        <v>156374</v>
      </c>
      <c r="D9" s="516"/>
      <c r="E9" s="481"/>
      <c r="F9" s="481"/>
      <c r="G9" s="517"/>
      <c r="H9" s="481"/>
      <c r="I9" s="509" t="s">
        <v>1231</v>
      </c>
      <c r="J9" s="478"/>
      <c r="K9" s="481"/>
      <c r="L9" s="347"/>
    </row>
    <row r="10" spans="1:13" s="519" customFormat="1" ht="13.5" thickBot="1" x14ac:dyDescent="0.25">
      <c r="A10" s="1758" t="s">
        <v>1235</v>
      </c>
      <c r="B10" s="1731"/>
      <c r="C10" s="1710">
        <f>SUM(C8:C9)</f>
        <v>2697184</v>
      </c>
      <c r="D10" s="1710">
        <f t="shared" ref="D10:K10" si="1">SUM(D8:D9)</f>
        <v>312990</v>
      </c>
      <c r="E10" s="1710">
        <f t="shared" si="1"/>
        <v>166455</v>
      </c>
      <c r="F10" s="1710">
        <f t="shared" si="1"/>
        <v>356313</v>
      </c>
      <c r="G10" s="1710">
        <f t="shared" si="1"/>
        <v>127683</v>
      </c>
      <c r="H10" s="1710">
        <f t="shared" si="1"/>
        <v>0</v>
      </c>
      <c r="I10" s="1710">
        <f t="shared" si="1"/>
        <v>56706</v>
      </c>
      <c r="J10" s="1710">
        <f t="shared" si="1"/>
        <v>194898</v>
      </c>
      <c r="K10" s="1710">
        <f t="shared" si="1"/>
        <v>56706</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1414699</v>
      </c>
      <c r="D12" s="520" t="s">
        <v>1231</v>
      </c>
      <c r="E12" s="468" t="s">
        <v>1231</v>
      </c>
      <c r="F12" s="468" t="s">
        <v>1231</v>
      </c>
      <c r="G12" s="1764">
        <f>'Expenditures 15-22'!K229</f>
        <v>26487</v>
      </c>
      <c r="H12" s="521"/>
      <c r="I12" s="468" t="s">
        <v>1231</v>
      </c>
      <c r="J12" s="468" t="s">
        <v>1231</v>
      </c>
      <c r="K12" s="521" t="s">
        <v>1231</v>
      </c>
      <c r="L12" s="347"/>
    </row>
    <row r="13" spans="1:13" ht="15.75" customHeight="1" x14ac:dyDescent="0.2">
      <c r="A13" s="1598" t="s">
        <v>477</v>
      </c>
      <c r="B13" s="1600">
        <v>2000</v>
      </c>
      <c r="C13" s="1765">
        <f>'Expenditures 15-22'!K74</f>
        <v>697329</v>
      </c>
      <c r="D13" s="1765">
        <f>'Expenditures 15-22'!K129</f>
        <v>308336</v>
      </c>
      <c r="E13" s="469" t="s">
        <v>1231</v>
      </c>
      <c r="F13" s="1765">
        <f>'Expenditures 15-22'!K184</f>
        <v>345413</v>
      </c>
      <c r="G13" s="1765">
        <f>'Expenditures 15-22'!K279</f>
        <v>104862</v>
      </c>
      <c r="H13" s="1765">
        <f>'Expenditures 15-22'!K303</f>
        <v>0</v>
      </c>
      <c r="I13" s="468" t="s">
        <v>1231</v>
      </c>
      <c r="J13" s="1765">
        <f>'Expenditures 15-22'!K330</f>
        <v>201168</v>
      </c>
      <c r="K13" s="1769">
        <f>'Expenditures 15-22'!K352</f>
        <v>33995</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357914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161150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2469942</v>
      </c>
      <c r="D17" s="1710">
        <f t="shared" si="2"/>
        <v>308336</v>
      </c>
      <c r="E17" s="1710">
        <f t="shared" si="2"/>
        <v>161150</v>
      </c>
      <c r="F17" s="1710">
        <f t="shared" si="2"/>
        <v>345413</v>
      </c>
      <c r="G17" s="1710">
        <f t="shared" si="2"/>
        <v>131349</v>
      </c>
      <c r="H17" s="1710">
        <f t="shared" si="2"/>
        <v>0</v>
      </c>
      <c r="I17" s="468"/>
      <c r="J17" s="1710">
        <f>SUM(J12:J16)</f>
        <v>201168</v>
      </c>
      <c r="K17" s="1710">
        <f>SUM(K12:K16)</f>
        <v>33995</v>
      </c>
      <c r="L17" s="347"/>
    </row>
    <row r="18" spans="1:12" ht="15" customHeight="1" thickTop="1" x14ac:dyDescent="0.2">
      <c r="A18" s="1766" t="s">
        <v>1753</v>
      </c>
      <c r="B18" s="1767">
        <v>4180</v>
      </c>
      <c r="C18" s="1764">
        <f t="shared" ref="C18:H18" si="3">C9</f>
        <v>156374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2626316</v>
      </c>
      <c r="D19" s="1710">
        <f t="shared" si="4"/>
        <v>308336</v>
      </c>
      <c r="E19" s="1710">
        <f t="shared" si="4"/>
        <v>161150</v>
      </c>
      <c r="F19" s="1710">
        <f t="shared" si="4"/>
        <v>345413</v>
      </c>
      <c r="G19" s="1710">
        <f t="shared" si="4"/>
        <v>131349</v>
      </c>
      <c r="H19" s="1710">
        <f t="shared" si="4"/>
        <v>0</v>
      </c>
      <c r="I19" s="468"/>
      <c r="J19" s="1710">
        <f>SUM(J17:J18)</f>
        <v>201168</v>
      </c>
      <c r="K19" s="1710">
        <f>SUM(K17:K18)</f>
        <v>33995</v>
      </c>
      <c r="L19" s="347"/>
    </row>
    <row r="20" spans="1:12" ht="16.5" thickTop="1" thickBot="1" x14ac:dyDescent="0.25">
      <c r="A20" s="2143" t="s">
        <v>1754</v>
      </c>
      <c r="B20" s="2144"/>
      <c r="C20" s="1768">
        <f>C8-C17</f>
        <v>70868</v>
      </c>
      <c r="D20" s="1768">
        <f t="shared" ref="D20:K20" si="5">D8-D17</f>
        <v>4654</v>
      </c>
      <c r="E20" s="1768">
        <f t="shared" si="5"/>
        <v>5305</v>
      </c>
      <c r="F20" s="1768">
        <f t="shared" si="5"/>
        <v>10900</v>
      </c>
      <c r="G20" s="1768">
        <f t="shared" si="5"/>
        <v>-3666</v>
      </c>
      <c r="H20" s="1768">
        <f t="shared" si="5"/>
        <v>0</v>
      </c>
      <c r="I20" s="1768">
        <f t="shared" si="5"/>
        <v>56706</v>
      </c>
      <c r="J20" s="1768">
        <f t="shared" si="5"/>
        <v>-6270</v>
      </c>
      <c r="K20" s="1768">
        <f t="shared" si="5"/>
        <v>22711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v>23600</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23600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23600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23600</v>
      </c>
      <c r="J76" s="1725">
        <f t="shared" si="7"/>
        <v>0</v>
      </c>
      <c r="K76" s="1725">
        <f t="shared" si="7"/>
        <v>0</v>
      </c>
      <c r="L76" s="524"/>
    </row>
    <row r="77" spans="1:12" ht="14.25" thickTop="1" thickBot="1" x14ac:dyDescent="0.25">
      <c r="A77" s="2135" t="s">
        <v>1239</v>
      </c>
      <c r="B77" s="2136"/>
      <c r="C77" s="1725">
        <f t="shared" ref="C77:K77" si="8">C44-C76</f>
        <v>0</v>
      </c>
      <c r="D77" s="1725">
        <f t="shared" si="8"/>
        <v>23600</v>
      </c>
      <c r="E77" s="1725">
        <f t="shared" si="8"/>
        <v>0</v>
      </c>
      <c r="F77" s="1725">
        <f t="shared" si="8"/>
        <v>0</v>
      </c>
      <c r="G77" s="1725">
        <f t="shared" si="8"/>
        <v>0</v>
      </c>
      <c r="H77" s="1725">
        <f t="shared" si="8"/>
        <v>0</v>
      </c>
      <c r="I77" s="1725">
        <f t="shared" si="8"/>
        <v>-23600</v>
      </c>
      <c r="J77" s="1725">
        <f t="shared" si="8"/>
        <v>0</v>
      </c>
      <c r="K77" s="1725">
        <f t="shared" si="8"/>
        <v>0</v>
      </c>
      <c r="L77" s="347"/>
    </row>
    <row r="78" spans="1:12" ht="21.75" customHeight="1" thickTop="1" thickBot="1" x14ac:dyDescent="0.25">
      <c r="A78" s="2139" t="s">
        <v>618</v>
      </c>
      <c r="B78" s="2140"/>
      <c r="C78" s="1724">
        <f t="shared" ref="C78:K78" si="9">C20+C77</f>
        <v>70868</v>
      </c>
      <c r="D78" s="1724">
        <f t="shared" si="9"/>
        <v>28254</v>
      </c>
      <c r="E78" s="1724">
        <f t="shared" si="9"/>
        <v>5305</v>
      </c>
      <c r="F78" s="1724">
        <f t="shared" si="9"/>
        <v>10900</v>
      </c>
      <c r="G78" s="1724">
        <f t="shared" si="9"/>
        <v>-3666</v>
      </c>
      <c r="H78" s="1724">
        <f t="shared" si="9"/>
        <v>0</v>
      </c>
      <c r="I78" s="1724">
        <f t="shared" si="9"/>
        <v>33106</v>
      </c>
      <c r="J78" s="1724">
        <f t="shared" si="9"/>
        <v>-6270</v>
      </c>
      <c r="K78" s="1724">
        <f t="shared" si="9"/>
        <v>22711</v>
      </c>
      <c r="L78" s="533"/>
    </row>
    <row r="79" spans="1:12" ht="13.5" thickTop="1" x14ac:dyDescent="0.2">
      <c r="A79" s="1516" t="s">
        <v>2071</v>
      </c>
      <c r="B79" s="534"/>
      <c r="C79" s="478">
        <v>2445561</v>
      </c>
      <c r="D79" s="535">
        <v>547324</v>
      </c>
      <c r="E79" s="535">
        <v>83693</v>
      </c>
      <c r="F79" s="535">
        <v>309573</v>
      </c>
      <c r="G79" s="535">
        <v>97736</v>
      </c>
      <c r="H79" s="535"/>
      <c r="I79" s="535">
        <v>1189652</v>
      </c>
      <c r="J79" s="535">
        <v>226861</v>
      </c>
      <c r="K79" s="535">
        <v>188903</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10">
        <f>(SUM(C78:C80))</f>
        <v>2516429</v>
      </c>
      <c r="D81" s="1710">
        <f>SUM(D78:D80)</f>
        <v>575578</v>
      </c>
      <c r="E81" s="1710">
        <f t="shared" ref="E81:K81" si="10">SUM(E78:E80)</f>
        <v>88998</v>
      </c>
      <c r="F81" s="1710">
        <f t="shared" si="10"/>
        <v>320473</v>
      </c>
      <c r="G81" s="1710">
        <f t="shared" si="10"/>
        <v>94070</v>
      </c>
      <c r="H81" s="1710">
        <f t="shared" si="10"/>
        <v>0</v>
      </c>
      <c r="I81" s="1710">
        <f t="shared" si="10"/>
        <v>1222758</v>
      </c>
      <c r="J81" s="1710">
        <f t="shared" si="10"/>
        <v>220591</v>
      </c>
      <c r="K81" s="1710">
        <f t="shared" si="10"/>
        <v>211614</v>
      </c>
      <c r="L81" s="347"/>
    </row>
    <row r="82" spans="1:12" ht="0.75" customHeight="1" thickTop="1" thickBot="1" x14ac:dyDescent="0.25">
      <c r="A82" s="536" t="s">
        <v>361</v>
      </c>
      <c r="B82" s="537"/>
      <c r="C82" s="538">
        <f>(C81-C79)</f>
        <v>70868</v>
      </c>
      <c r="D82" s="538">
        <f t="shared" ref="D82:K82" si="11">(D81-D79)</f>
        <v>28254</v>
      </c>
      <c r="E82" s="538">
        <f t="shared" si="11"/>
        <v>5305</v>
      </c>
      <c r="F82" s="538">
        <f t="shared" si="11"/>
        <v>10900</v>
      </c>
      <c r="G82" s="538">
        <f t="shared" si="11"/>
        <v>-3666</v>
      </c>
      <c r="H82" s="538">
        <f t="shared" si="11"/>
        <v>0</v>
      </c>
      <c r="I82" s="538">
        <f t="shared" si="11"/>
        <v>33106</v>
      </c>
      <c r="J82" s="538">
        <f t="shared" si="11"/>
        <v>-6270</v>
      </c>
      <c r="K82" s="538">
        <f t="shared" si="11"/>
        <v>22711</v>
      </c>
    </row>
    <row r="83" spans="1:12" ht="14.25" hidden="1" thickTop="1" thickBot="1" x14ac:dyDescent="0.25">
      <c r="A83" s="539" t="s">
        <v>362</v>
      </c>
      <c r="B83" s="464"/>
      <c r="C83" s="540">
        <f>C82/C81</f>
        <v>2.8162129748147077E-2</v>
      </c>
      <c r="D83" s="540">
        <f t="shared" ref="D83:K83" si="12">D82/D81</f>
        <v>4.9088047145651847E-2</v>
      </c>
      <c r="E83" s="540">
        <f t="shared" si="12"/>
        <v>5.9608081080473718E-2</v>
      </c>
      <c r="F83" s="540">
        <f t="shared" si="12"/>
        <v>3.4012225678918352E-2</v>
      </c>
      <c r="G83" s="540">
        <f t="shared" si="12"/>
        <v>-3.897097905814819E-2</v>
      </c>
      <c r="H83" s="540" t="e">
        <f t="shared" si="12"/>
        <v>#DIV/0!</v>
      </c>
      <c r="I83" s="540">
        <f t="shared" si="12"/>
        <v>2.7074858639240144E-2</v>
      </c>
      <c r="J83" s="540">
        <f t="shared" si="12"/>
        <v>-2.8423643756998247E-2</v>
      </c>
      <c r="K83" s="540">
        <f t="shared" si="12"/>
        <v>0.10732276692468362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6" sqref="C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1893989</v>
      </c>
      <c r="D5" s="481">
        <v>283531</v>
      </c>
      <c r="E5" s="466">
        <v>166455</v>
      </c>
      <c r="F5" s="548">
        <v>136095</v>
      </c>
      <c r="G5" s="466">
        <v>58671</v>
      </c>
      <c r="H5" s="466"/>
      <c r="I5" s="466">
        <v>56706</v>
      </c>
      <c r="J5" s="467">
        <v>194298</v>
      </c>
      <c r="K5" s="466">
        <v>56706</v>
      </c>
    </row>
    <row r="6" spans="1:12" ht="15" x14ac:dyDescent="0.2">
      <c r="A6" s="463" t="s">
        <v>1761</v>
      </c>
      <c r="B6" s="470">
        <v>1130</v>
      </c>
      <c r="C6" s="466">
        <v>53631</v>
      </c>
      <c r="D6" s="466"/>
      <c r="E6" s="475"/>
      <c r="F6" s="475"/>
      <c r="G6" s="468"/>
      <c r="H6" s="468"/>
      <c r="I6" s="468"/>
      <c r="J6" s="468"/>
      <c r="K6" s="468"/>
    </row>
    <row r="7" spans="1:12" x14ac:dyDescent="0.2">
      <c r="A7" s="463" t="s">
        <v>112</v>
      </c>
      <c r="B7" s="549">
        <v>1140</v>
      </c>
      <c r="C7" s="466">
        <v>22682</v>
      </c>
      <c r="D7" s="466"/>
      <c r="E7" s="468"/>
      <c r="F7" s="467"/>
      <c r="G7" s="467"/>
      <c r="H7" s="467"/>
      <c r="I7" s="468"/>
      <c r="J7" s="468"/>
      <c r="K7" s="468"/>
    </row>
    <row r="8" spans="1:12" x14ac:dyDescent="0.2">
      <c r="A8" s="463" t="s">
        <v>433</v>
      </c>
      <c r="B8" s="470">
        <v>1150</v>
      </c>
      <c r="C8" s="475"/>
      <c r="D8" s="475"/>
      <c r="E8" s="477"/>
      <c r="F8" s="477"/>
      <c r="G8" s="481">
        <v>50917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1970302</v>
      </c>
      <c r="D12" s="1729">
        <f t="shared" si="0"/>
        <v>283531</v>
      </c>
      <c r="E12" s="1729">
        <f t="shared" si="0"/>
        <v>166455</v>
      </c>
      <c r="F12" s="1729">
        <f t="shared" si="0"/>
        <v>136095</v>
      </c>
      <c r="G12" s="1729">
        <f t="shared" si="0"/>
        <v>109588</v>
      </c>
      <c r="H12" s="1729">
        <f t="shared" si="0"/>
        <v>0</v>
      </c>
      <c r="I12" s="1729">
        <f t="shared" si="0"/>
        <v>56706</v>
      </c>
      <c r="J12" s="1729">
        <f t="shared" si="0"/>
        <v>194298</v>
      </c>
      <c r="K12" s="1710">
        <f t="shared" si="0"/>
        <v>56706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73139</v>
      </c>
      <c r="D16" s="466"/>
      <c r="E16" s="466"/>
      <c r="F16" s="466"/>
      <c r="G16" s="466">
        <v>6000</v>
      </c>
      <c r="H16" s="466"/>
      <c r="I16" s="466"/>
      <c r="J16" s="467"/>
      <c r="K16" s="466"/>
    </row>
    <row r="17" spans="1:11" ht="12.75" customHeight="1" x14ac:dyDescent="0.2">
      <c r="A17" s="463" t="s">
        <v>840</v>
      </c>
      <c r="B17" s="470">
        <v>1290</v>
      </c>
      <c r="C17" s="551"/>
      <c r="D17" s="466">
        <v>4458</v>
      </c>
      <c r="E17" s="466"/>
      <c r="F17" s="466"/>
      <c r="G17" s="466"/>
      <c r="H17" s="466"/>
      <c r="I17" s="466"/>
      <c r="J17" s="467"/>
      <c r="K17" s="466"/>
    </row>
    <row r="18" spans="1:11" ht="12.75" customHeight="1" thickBot="1" x14ac:dyDescent="0.25">
      <c r="A18" s="1730" t="s">
        <v>558</v>
      </c>
      <c r="B18" s="1731"/>
      <c r="C18" s="1732">
        <f>SUM(C14:C17)</f>
        <v>73139</v>
      </c>
      <c r="D18" s="1732">
        <f t="shared" ref="D18:K18" si="1">SUM(D14:D17)</f>
        <v>4458</v>
      </c>
      <c r="E18" s="1732">
        <f t="shared" si="1"/>
        <v>0</v>
      </c>
      <c r="F18" s="1732">
        <f t="shared" si="1"/>
        <v>0</v>
      </c>
      <c r="G18" s="1732">
        <f t="shared" si="1"/>
        <v>6000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107561</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9927</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117488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33986</v>
      </c>
      <c r="D65" s="466">
        <v>14</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33986</v>
      </c>
      <c r="D67" s="1710">
        <f t="shared" ref="D67:K67" si="2">SUM(D65:D66)</f>
        <v>14</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7326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29883</v>
      </c>
      <c r="D79" s="466">
        <v>4360</v>
      </c>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37209</v>
      </c>
      <c r="D82" s="1710">
        <f>SUM(D77:D81)</f>
        <v>4360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31729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70</v>
      </c>
      <c r="D88" s="468"/>
      <c r="E88" s="468"/>
      <c r="F88" s="468"/>
      <c r="G88" s="468"/>
      <c r="H88" s="468"/>
      <c r="I88" s="468"/>
      <c r="J88" s="468"/>
      <c r="K88" s="468"/>
    </row>
    <row r="89" spans="1:11" ht="12.75" customHeight="1" x14ac:dyDescent="0.2">
      <c r="A89" s="463" t="s">
        <v>738</v>
      </c>
      <c r="B89" s="470">
        <v>1822</v>
      </c>
      <c r="C89" s="551">
        <v>4223</v>
      </c>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36022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766</v>
      </c>
      <c r="D96" s="551">
        <v>1300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43078</v>
      </c>
      <c r="D98" s="466"/>
      <c r="E98" s="512"/>
      <c r="F98" s="466"/>
      <c r="G98" s="512"/>
      <c r="H98" s="512"/>
      <c r="I98" s="510"/>
      <c r="J98" s="512"/>
      <c r="K98" s="512"/>
    </row>
    <row r="99" spans="1:12" ht="12.75" customHeight="1" x14ac:dyDescent="0.2">
      <c r="A99" s="463" t="s">
        <v>875</v>
      </c>
      <c r="B99" s="470">
        <v>1950</v>
      </c>
      <c r="C99" s="489">
        <v>7974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2200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v>12095</v>
      </c>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24954</v>
      </c>
      <c r="D106" s="489"/>
      <c r="E106" s="467"/>
      <c r="F106" s="467"/>
      <c r="G106" s="467"/>
      <c r="H106" s="467"/>
      <c r="I106" s="521"/>
      <c r="J106" s="467"/>
      <c r="K106" s="467"/>
    </row>
    <row r="107" spans="1:12" ht="12.75" customHeight="1" x14ac:dyDescent="0.2">
      <c r="A107" s="463" t="s">
        <v>80</v>
      </c>
      <c r="B107" s="470">
        <v>1999</v>
      </c>
      <c r="C107" s="551"/>
      <c r="D107" s="466">
        <v>19327</v>
      </c>
      <c r="E107" s="466"/>
      <c r="F107" s="466"/>
      <c r="G107" s="466"/>
      <c r="H107" s="466"/>
      <c r="I107" s="466"/>
      <c r="J107" s="467">
        <v>600</v>
      </c>
      <c r="K107" s="466"/>
    </row>
    <row r="108" spans="1:12" ht="12.75" customHeight="1" thickBot="1" x14ac:dyDescent="0.25">
      <c r="A108" s="1730" t="s">
        <v>508</v>
      </c>
      <c r="B108" s="1734"/>
      <c r="C108" s="1729">
        <f>SUM(C95:C107)</f>
        <v>78972</v>
      </c>
      <c r="D108" s="1729">
        <f t="shared" ref="D108:K108" si="3">SUM(D95:D107)</f>
        <v>20627</v>
      </c>
      <c r="E108" s="1729">
        <f t="shared" si="3"/>
        <v>0</v>
      </c>
      <c r="F108" s="1729">
        <f t="shared" si="3"/>
        <v>0</v>
      </c>
      <c r="G108" s="1729">
        <f t="shared" si="3"/>
        <v>12095</v>
      </c>
      <c r="H108" s="1729">
        <f t="shared" si="3"/>
        <v>0</v>
      </c>
      <c r="I108" s="1729">
        <f t="shared" si="3"/>
        <v>0</v>
      </c>
      <c r="J108" s="1729">
        <f t="shared" si="3"/>
        <v>600</v>
      </c>
      <c r="K108" s="1710">
        <f t="shared" si="3"/>
        <v>0</v>
      </c>
    </row>
    <row r="109" spans="1:12" ht="14.25" thickTop="1" thickBot="1" x14ac:dyDescent="0.25">
      <c r="A109" s="1735" t="s">
        <v>266</v>
      </c>
      <c r="B109" s="1736" t="s">
        <v>591</v>
      </c>
      <c r="C109" s="1737">
        <f t="shared" ref="C109:K109" si="4">SUM(C12,C18,C40,C63,C67,C75,C82,C93,C108,)</f>
        <v>2229630</v>
      </c>
      <c r="D109" s="1737">
        <f t="shared" si="4"/>
        <v>312990</v>
      </c>
      <c r="E109" s="1737">
        <f t="shared" si="4"/>
        <v>166455</v>
      </c>
      <c r="F109" s="1737">
        <f t="shared" si="4"/>
        <v>253583</v>
      </c>
      <c r="G109" s="1737">
        <f t="shared" si="4"/>
        <v>127683</v>
      </c>
      <c r="H109" s="1737">
        <f t="shared" si="4"/>
        <v>0</v>
      </c>
      <c r="I109" s="1737">
        <f t="shared" si="4"/>
        <v>56706</v>
      </c>
      <c r="J109" s="1737">
        <f t="shared" si="4"/>
        <v>194898</v>
      </c>
      <c r="K109" s="1724">
        <f t="shared" si="4"/>
        <v>56706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1500</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1500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129634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129634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22400</v>
      </c>
      <c r="D124" s="561"/>
      <c r="E124" s="468"/>
      <c r="F124" s="548"/>
      <c r="G124" s="468"/>
      <c r="H124" s="468"/>
      <c r="I124" s="468"/>
      <c r="J124" s="468"/>
      <c r="K124" s="468"/>
    </row>
    <row r="125" spans="1:11" ht="12.75" customHeight="1" x14ac:dyDescent="0.2">
      <c r="A125" s="463" t="s">
        <v>1521</v>
      </c>
      <c r="B125" s="562">
        <v>3105</v>
      </c>
      <c r="C125" s="466">
        <v>11520</v>
      </c>
      <c r="D125" s="561"/>
      <c r="E125" s="468"/>
      <c r="F125" s="466"/>
      <c r="G125" s="468"/>
      <c r="H125" s="468"/>
      <c r="I125" s="468"/>
      <c r="J125" s="468"/>
      <c r="K125" s="468"/>
    </row>
    <row r="126" spans="1:11" ht="12.75" customHeight="1" x14ac:dyDescent="0.2">
      <c r="A126" s="463" t="s">
        <v>922</v>
      </c>
      <c r="B126" s="562">
        <v>3110</v>
      </c>
      <c r="C126" s="551">
        <v>24360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311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58591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23898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15366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39264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104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7546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28296</v>
      </c>
      <c r="G151" s="467"/>
      <c r="H151" s="468"/>
      <c r="I151" s="468"/>
      <c r="J151" s="468"/>
      <c r="K151" s="468"/>
    </row>
    <row r="152" spans="1:11" ht="12.75" customHeight="1" x14ac:dyDescent="0.2">
      <c r="A152" s="463" t="s">
        <v>1117</v>
      </c>
      <c r="B152" s="562">
        <v>3510</v>
      </c>
      <c r="C152" s="551"/>
      <c r="D152" s="466"/>
      <c r="E152" s="561"/>
      <c r="F152" s="466">
        <v>74434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102730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105505</v>
      </c>
      <c r="D172" s="1744">
        <f t="shared" si="6"/>
        <v>0</v>
      </c>
      <c r="E172" s="1744">
        <f t="shared" si="6"/>
        <v>0</v>
      </c>
      <c r="F172" s="1744">
        <f t="shared" si="6"/>
        <v>102730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235139</v>
      </c>
      <c r="D173" s="1737">
        <f>SUM(D121,D172)</f>
        <v>0</v>
      </c>
      <c r="E173" s="1737">
        <f>SUM(E121,E172)</f>
        <v>0</v>
      </c>
      <c r="F173" s="1737">
        <f t="shared" ref="F173:K173" si="7">SUM(F121,F172)</f>
        <v>102730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23352</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23352</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10290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10290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27116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27116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6141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6141</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3999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3643</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74541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74541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2540810</v>
      </c>
      <c r="D275" s="1737">
        <f t="shared" si="12"/>
        <v>312990</v>
      </c>
      <c r="E275" s="1737">
        <f t="shared" si="12"/>
        <v>166455</v>
      </c>
      <c r="F275" s="1737">
        <f t="shared" si="12"/>
        <v>356313</v>
      </c>
      <c r="G275" s="1737">
        <f t="shared" si="12"/>
        <v>127683</v>
      </c>
      <c r="H275" s="1737">
        <f t="shared" si="12"/>
        <v>0</v>
      </c>
      <c r="I275" s="1737">
        <f t="shared" si="12"/>
        <v>56706</v>
      </c>
      <c r="J275" s="1737">
        <f t="shared" si="12"/>
        <v>194898</v>
      </c>
      <c r="K275" s="1724">
        <f t="shared" si="12"/>
        <v>56706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A47" sqref="A47"/>
      <selection pane="bottomLeft" activeCell="L5" sqref="L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687477</v>
      </c>
      <c r="D5" s="466">
        <v>158819</v>
      </c>
      <c r="E5" s="466">
        <v>9907</v>
      </c>
      <c r="F5" s="466">
        <v>51725</v>
      </c>
      <c r="G5" s="466">
        <v>15664</v>
      </c>
      <c r="H5" s="466">
        <v>1454</v>
      </c>
      <c r="I5" s="467"/>
      <c r="J5" s="467"/>
      <c r="K5" s="1693">
        <f>SUM(C5:J5)</f>
        <v>925046</v>
      </c>
      <c r="L5" s="466">
        <v>902411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57792</v>
      </c>
      <c r="D8" s="466">
        <v>18889</v>
      </c>
      <c r="E8" s="466">
        <v>762</v>
      </c>
      <c r="F8" s="466">
        <v>627</v>
      </c>
      <c r="G8" s="466"/>
      <c r="H8" s="466">
        <v>585</v>
      </c>
      <c r="I8" s="467"/>
      <c r="J8" s="467"/>
      <c r="K8" s="1693">
        <f t="shared" si="0"/>
        <v>78655</v>
      </c>
      <c r="L8" s="466">
        <v>82005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13678</v>
      </c>
      <c r="D10" s="466"/>
      <c r="E10" s="466"/>
      <c r="F10" s="466"/>
      <c r="G10" s="466"/>
      <c r="H10" s="466"/>
      <c r="I10" s="467"/>
      <c r="J10" s="467"/>
      <c r="K10" s="1693">
        <f t="shared" si="0"/>
        <v>13678</v>
      </c>
      <c r="L10" s="466">
        <v>14183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171676</v>
      </c>
      <c r="D13" s="466">
        <v>37181</v>
      </c>
      <c r="E13" s="466">
        <v>3026</v>
      </c>
      <c r="F13" s="466">
        <v>17059</v>
      </c>
      <c r="G13" s="466">
        <v>7591</v>
      </c>
      <c r="H13" s="466">
        <v>390</v>
      </c>
      <c r="I13" s="467"/>
      <c r="J13" s="467"/>
      <c r="K13" s="1693">
        <f t="shared" si="0"/>
        <v>236923</v>
      </c>
      <c r="L13" s="466">
        <v>232903</v>
      </c>
    </row>
    <row r="14" spans="1:14" x14ac:dyDescent="0.2">
      <c r="A14" s="1526" t="s">
        <v>1020</v>
      </c>
      <c r="B14" s="615">
        <v>1500</v>
      </c>
      <c r="C14" s="466">
        <v>58175</v>
      </c>
      <c r="D14" s="466">
        <v>4277</v>
      </c>
      <c r="E14" s="466">
        <v>14300</v>
      </c>
      <c r="F14" s="466">
        <v>30767</v>
      </c>
      <c r="G14" s="466">
        <v>6622</v>
      </c>
      <c r="H14" s="466">
        <v>5504</v>
      </c>
      <c r="I14" s="467"/>
      <c r="J14" s="467"/>
      <c r="K14" s="1693">
        <f t="shared" si="0"/>
        <v>119645</v>
      </c>
      <c r="L14" s="466">
        <v>120547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29164</v>
      </c>
      <c r="D17" s="467">
        <v>10401</v>
      </c>
      <c r="E17" s="467"/>
      <c r="F17" s="467">
        <v>1187</v>
      </c>
      <c r="G17" s="467"/>
      <c r="H17" s="467"/>
      <c r="I17" s="467"/>
      <c r="J17" s="467"/>
      <c r="K17" s="1693">
        <f t="shared" si="0"/>
        <v>40752</v>
      </c>
      <c r="L17" s="466">
        <v>61437</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1017962</v>
      </c>
      <c r="D33" s="1692">
        <f t="shared" ref="D33:L33" si="1">SUM(D5:D32)</f>
        <v>229567</v>
      </c>
      <c r="E33" s="1692">
        <f t="shared" si="1"/>
        <v>27995</v>
      </c>
      <c r="F33" s="1692">
        <f t="shared" si="1"/>
        <v>101365</v>
      </c>
      <c r="G33" s="1692">
        <f t="shared" si="1"/>
        <v>29877</v>
      </c>
      <c r="H33" s="1692">
        <f t="shared" si="1"/>
        <v>7933</v>
      </c>
      <c r="I33" s="1692">
        <f t="shared" si="1"/>
        <v>0</v>
      </c>
      <c r="J33" s="1692">
        <f t="shared" si="1"/>
        <v>0</v>
      </c>
      <c r="K33" s="1692">
        <f t="shared" si="1"/>
        <v>1414699</v>
      </c>
      <c r="L33" s="1692">
        <f t="shared" si="1"/>
        <v>1413486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121251</v>
      </c>
      <c r="D37" s="466">
        <v>30784</v>
      </c>
      <c r="E37" s="466">
        <v>4190</v>
      </c>
      <c r="F37" s="466">
        <v>1121</v>
      </c>
      <c r="G37" s="466"/>
      <c r="H37" s="466"/>
      <c r="I37" s="467"/>
      <c r="J37" s="467"/>
      <c r="K37" s="1693">
        <f t="shared" si="2"/>
        <v>157346</v>
      </c>
      <c r="L37" s="466">
        <v>157144</v>
      </c>
    </row>
    <row r="38" spans="1:14" x14ac:dyDescent="0.2">
      <c r="A38" s="1526" t="s">
        <v>207</v>
      </c>
      <c r="B38" s="615">
        <v>2130</v>
      </c>
      <c r="C38" s="466">
        <v>8077</v>
      </c>
      <c r="D38" s="466"/>
      <c r="E38" s="466"/>
      <c r="F38" s="466">
        <v>671</v>
      </c>
      <c r="G38" s="466"/>
      <c r="H38" s="466"/>
      <c r="I38" s="467"/>
      <c r="J38" s="467"/>
      <c r="K38" s="1693">
        <f t="shared" si="2"/>
        <v>8748</v>
      </c>
      <c r="L38" s="466">
        <v>8418</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129328</v>
      </c>
      <c r="D42" s="1692">
        <f t="shared" ref="D42:L42" si="3">SUM(D36:D41)</f>
        <v>30784</v>
      </c>
      <c r="E42" s="1692">
        <f t="shared" si="3"/>
        <v>4190</v>
      </c>
      <c r="F42" s="1692">
        <f t="shared" si="3"/>
        <v>1792</v>
      </c>
      <c r="G42" s="1692">
        <f t="shared" si="3"/>
        <v>0</v>
      </c>
      <c r="H42" s="1692">
        <f t="shared" si="3"/>
        <v>0</v>
      </c>
      <c r="I42" s="1692">
        <f t="shared" si="3"/>
        <v>0</v>
      </c>
      <c r="J42" s="1692">
        <f t="shared" si="3"/>
        <v>0</v>
      </c>
      <c r="K42" s="1692">
        <f t="shared" si="3"/>
        <v>166094</v>
      </c>
      <c r="L42" s="1692">
        <f t="shared" si="3"/>
        <v>165562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1825</v>
      </c>
      <c r="D44" s="481">
        <v>89</v>
      </c>
      <c r="E44" s="481">
        <v>1182</v>
      </c>
      <c r="F44" s="481">
        <v>4449</v>
      </c>
      <c r="G44" s="481">
        <v>21245</v>
      </c>
      <c r="H44" s="481"/>
      <c r="I44" s="467"/>
      <c r="J44" s="467"/>
      <c r="K44" s="1694">
        <f>SUM(C44:J44)</f>
        <v>28790</v>
      </c>
      <c r="L44" s="481">
        <v>28250</v>
      </c>
    </row>
    <row r="45" spans="1:14" x14ac:dyDescent="0.2">
      <c r="A45" s="1526" t="s">
        <v>869</v>
      </c>
      <c r="B45" s="615">
        <v>2220</v>
      </c>
      <c r="C45" s="466"/>
      <c r="D45" s="466"/>
      <c r="E45" s="466">
        <v>5795</v>
      </c>
      <c r="F45" s="466">
        <v>5717</v>
      </c>
      <c r="G45" s="466"/>
      <c r="H45" s="466"/>
      <c r="I45" s="467"/>
      <c r="J45" s="467"/>
      <c r="K45" s="1694">
        <f>SUM(C45:J45)</f>
        <v>11512</v>
      </c>
      <c r="L45" s="466">
        <v>14568</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1825</v>
      </c>
      <c r="D47" s="1692">
        <f t="shared" ref="D47:K47" si="4">SUM(D44:D46)</f>
        <v>89</v>
      </c>
      <c r="E47" s="1692">
        <f t="shared" si="4"/>
        <v>6977</v>
      </c>
      <c r="F47" s="1692">
        <f t="shared" si="4"/>
        <v>10166</v>
      </c>
      <c r="G47" s="1692">
        <f t="shared" si="4"/>
        <v>21245</v>
      </c>
      <c r="H47" s="1692">
        <f t="shared" si="4"/>
        <v>0</v>
      </c>
      <c r="I47" s="1692">
        <f t="shared" si="4"/>
        <v>0</v>
      </c>
      <c r="J47" s="1692">
        <f t="shared" si="4"/>
        <v>0</v>
      </c>
      <c r="K47" s="1692">
        <f t="shared" si="4"/>
        <v>40302</v>
      </c>
      <c r="L47" s="1692">
        <f>SUM(L44:L46)</f>
        <v>42818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2715</v>
      </c>
      <c r="D49" s="481"/>
      <c r="E49" s="481">
        <v>23470</v>
      </c>
      <c r="F49" s="481">
        <v>592</v>
      </c>
      <c r="G49" s="481"/>
      <c r="H49" s="481">
        <v>586</v>
      </c>
      <c r="I49" s="467"/>
      <c r="J49" s="467"/>
      <c r="K49" s="1694">
        <f>SUM(C49:J49)</f>
        <v>27363</v>
      </c>
      <c r="L49" s="481">
        <v>32840</v>
      </c>
    </row>
    <row r="50" spans="1:14" x14ac:dyDescent="0.2">
      <c r="A50" s="1526" t="s">
        <v>872</v>
      </c>
      <c r="B50" s="615">
        <v>2320</v>
      </c>
      <c r="C50" s="466">
        <v>125586</v>
      </c>
      <c r="D50" s="466">
        <v>41685</v>
      </c>
      <c r="E50" s="466">
        <v>18454</v>
      </c>
      <c r="F50" s="466">
        <v>5310</v>
      </c>
      <c r="G50" s="466">
        <v>340</v>
      </c>
      <c r="H50" s="466">
        <v>12866</v>
      </c>
      <c r="I50" s="467"/>
      <c r="J50" s="467"/>
      <c r="K50" s="1694">
        <f>SUM(C50:J50)</f>
        <v>204241</v>
      </c>
      <c r="L50" s="466">
        <v>189316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v>1861</v>
      </c>
      <c r="E52" s="474"/>
      <c r="F52" s="474"/>
      <c r="G52" s="474"/>
      <c r="H52" s="474"/>
      <c r="I52" s="474"/>
      <c r="J52" s="474"/>
      <c r="K52" s="1694">
        <f>SUM(C52:J52)</f>
        <v>1861</v>
      </c>
      <c r="L52" s="474">
        <v>1240</v>
      </c>
    </row>
    <row r="53" spans="1:14" ht="12.75" customHeight="1" thickBot="1" x14ac:dyDescent="0.25">
      <c r="A53" s="1690" t="s">
        <v>741</v>
      </c>
      <c r="B53" s="1691" t="s">
        <v>33</v>
      </c>
      <c r="C53" s="1692">
        <f>SUM(C49:C52)</f>
        <v>128301</v>
      </c>
      <c r="D53" s="1692">
        <f t="shared" ref="D53:L53" si="5">SUM(D49:D52)</f>
        <v>43546</v>
      </c>
      <c r="E53" s="1692">
        <f t="shared" si="5"/>
        <v>41924</v>
      </c>
      <c r="F53" s="1692">
        <f t="shared" si="5"/>
        <v>5902</v>
      </c>
      <c r="G53" s="1692">
        <f t="shared" si="5"/>
        <v>340</v>
      </c>
      <c r="H53" s="1692">
        <f t="shared" si="5"/>
        <v>13452</v>
      </c>
      <c r="I53" s="1692">
        <f t="shared" si="5"/>
        <v>0</v>
      </c>
      <c r="J53" s="1692">
        <f t="shared" si="5"/>
        <v>0</v>
      </c>
      <c r="K53" s="1692">
        <f t="shared" si="5"/>
        <v>233465</v>
      </c>
      <c r="L53" s="1692">
        <f t="shared" si="5"/>
        <v>223396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102195</v>
      </c>
      <c r="D55" s="481">
        <v>23045</v>
      </c>
      <c r="E55" s="481">
        <v>798</v>
      </c>
      <c r="F55" s="481">
        <v>3675</v>
      </c>
      <c r="G55" s="481"/>
      <c r="H55" s="481">
        <v>865</v>
      </c>
      <c r="I55" s="467"/>
      <c r="J55" s="467"/>
      <c r="K55" s="1694">
        <f>SUM(C55:J55)</f>
        <v>130578</v>
      </c>
      <c r="L55" s="481">
        <v>128108</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102195</v>
      </c>
      <c r="D57" s="1696">
        <f t="shared" ref="D57:K57" si="6">SUM(D55:D56)</f>
        <v>23045</v>
      </c>
      <c r="E57" s="1696">
        <f t="shared" si="6"/>
        <v>798</v>
      </c>
      <c r="F57" s="1696">
        <f t="shared" si="6"/>
        <v>3675</v>
      </c>
      <c r="G57" s="1696">
        <f t="shared" si="6"/>
        <v>0</v>
      </c>
      <c r="H57" s="1696">
        <f t="shared" si="6"/>
        <v>865</v>
      </c>
      <c r="I57" s="1696">
        <f t="shared" si="6"/>
        <v>0</v>
      </c>
      <c r="J57" s="1696">
        <f t="shared" si="6"/>
        <v>0</v>
      </c>
      <c r="K57" s="1696">
        <f t="shared" si="6"/>
        <v>130578</v>
      </c>
      <c r="L57" s="1692">
        <f>SUM(L55:L56)</f>
        <v>128108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33532</v>
      </c>
      <c r="D60" s="466">
        <v>1500</v>
      </c>
      <c r="E60" s="466">
        <v>2922</v>
      </c>
      <c r="F60" s="466">
        <v>940</v>
      </c>
      <c r="G60" s="466"/>
      <c r="H60" s="466"/>
      <c r="I60" s="467"/>
      <c r="J60" s="467"/>
      <c r="K60" s="1694">
        <f t="shared" si="7"/>
        <v>38894</v>
      </c>
      <c r="L60" s="466">
        <v>41571</v>
      </c>
      <c r="M60" s="610"/>
      <c r="N60" s="610"/>
    </row>
    <row r="61" spans="1:14" s="343" customFormat="1" x14ac:dyDescent="0.2">
      <c r="A61" s="1526" t="s">
        <v>206</v>
      </c>
      <c r="B61" s="615">
        <v>2540</v>
      </c>
      <c r="C61" s="466">
        <v>57204</v>
      </c>
      <c r="D61" s="466">
        <v>5334</v>
      </c>
      <c r="E61" s="466"/>
      <c r="F61" s="466"/>
      <c r="G61" s="466"/>
      <c r="H61" s="466"/>
      <c r="I61" s="467"/>
      <c r="J61" s="467"/>
      <c r="K61" s="1694">
        <f t="shared" si="7"/>
        <v>62538</v>
      </c>
      <c r="L61" s="466">
        <v>64728</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90736</v>
      </c>
      <c r="D65" s="1692">
        <f t="shared" ref="D65:L65" si="8">SUM(D59:D64)</f>
        <v>6834</v>
      </c>
      <c r="E65" s="1692">
        <f t="shared" si="8"/>
        <v>2922</v>
      </c>
      <c r="F65" s="1692">
        <f t="shared" si="8"/>
        <v>940</v>
      </c>
      <c r="G65" s="1692">
        <f t="shared" si="8"/>
        <v>0</v>
      </c>
      <c r="H65" s="1692">
        <f t="shared" si="8"/>
        <v>0</v>
      </c>
      <c r="I65" s="1692">
        <f t="shared" si="8"/>
        <v>0</v>
      </c>
      <c r="J65" s="1692">
        <f t="shared" si="8"/>
        <v>0</v>
      </c>
      <c r="K65" s="1692">
        <f t="shared" si="8"/>
        <v>101432</v>
      </c>
      <c r="L65" s="1692">
        <f t="shared" si="8"/>
        <v>106299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v>17821</v>
      </c>
      <c r="F69" s="466">
        <v>3848</v>
      </c>
      <c r="G69" s="466"/>
      <c r="H69" s="466"/>
      <c r="I69" s="467"/>
      <c r="J69" s="467"/>
      <c r="K69" s="1694">
        <f>SUM(C69:J69)</f>
        <v>21669</v>
      </c>
      <c r="L69" s="466">
        <v>16700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17821</v>
      </c>
      <c r="F72" s="1692">
        <f t="shared" si="9"/>
        <v>3848</v>
      </c>
      <c r="G72" s="1692">
        <f t="shared" si="9"/>
        <v>0</v>
      </c>
      <c r="H72" s="1692">
        <f t="shared" si="9"/>
        <v>0</v>
      </c>
      <c r="I72" s="1692">
        <f t="shared" si="9"/>
        <v>0</v>
      </c>
      <c r="J72" s="1692">
        <f t="shared" si="9"/>
        <v>0</v>
      </c>
      <c r="K72" s="1692">
        <f t="shared" si="9"/>
        <v>21669</v>
      </c>
      <c r="L72" s="1692">
        <f>SUM(L67:L71)</f>
        <v>16700</v>
      </c>
      <c r="M72" s="610"/>
      <c r="N72" s="610"/>
    </row>
    <row r="73" spans="1:14" s="343" customFormat="1" ht="14.25" thickTop="1" thickBot="1" x14ac:dyDescent="0.25">
      <c r="A73" s="1532" t="s">
        <v>1037</v>
      </c>
      <c r="B73" s="633" t="s">
        <v>595</v>
      </c>
      <c r="C73" s="573"/>
      <c r="D73" s="573"/>
      <c r="E73" s="573">
        <v>3789</v>
      </c>
      <c r="F73" s="573"/>
      <c r="G73" s="573"/>
      <c r="H73" s="573"/>
      <c r="I73" s="531"/>
      <c r="J73" s="531"/>
      <c r="K73" s="1692">
        <f>SUM(C73:J73)</f>
        <v>3789</v>
      </c>
      <c r="L73" s="576"/>
      <c r="M73" s="610"/>
      <c r="N73" s="610"/>
    </row>
    <row r="74" spans="1:14" ht="12.75" customHeight="1" thickTop="1" thickBot="1" x14ac:dyDescent="0.25">
      <c r="A74" s="1690" t="s">
        <v>865</v>
      </c>
      <c r="B74" s="1698">
        <v>2000</v>
      </c>
      <c r="C74" s="1699">
        <f>SUM(C42,C47,C53,C57,C65,C72,C73)</f>
        <v>452385</v>
      </c>
      <c r="D74" s="1699">
        <f t="shared" ref="D74:K74" si="10">SUM(D42,D47,D53,D57,D65,D72,D73)</f>
        <v>104298</v>
      </c>
      <c r="E74" s="1699">
        <f t="shared" si="10"/>
        <v>78421</v>
      </c>
      <c r="F74" s="1699">
        <f t="shared" si="10"/>
        <v>26323</v>
      </c>
      <c r="G74" s="1699">
        <f t="shared" si="10"/>
        <v>21585</v>
      </c>
      <c r="H74" s="1699">
        <f t="shared" si="10"/>
        <v>14317</v>
      </c>
      <c r="I74" s="1699">
        <f t="shared" si="10"/>
        <v>0</v>
      </c>
      <c r="J74" s="1699">
        <f t="shared" si="10"/>
        <v>0</v>
      </c>
      <c r="K74" s="1699">
        <f t="shared" si="10"/>
        <v>697329</v>
      </c>
      <c r="L74" s="1699">
        <f>SUM(L42,L47,L53,L57,L65,L72,L73)</f>
        <v>682883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14142</v>
      </c>
      <c r="F78" s="617"/>
      <c r="G78" s="617"/>
      <c r="H78" s="635"/>
      <c r="I78" s="477"/>
      <c r="J78" s="477"/>
      <c r="K78" s="1693">
        <f t="shared" ref="K78:K83" si="11">SUM(C78:J78)</f>
        <v>14142</v>
      </c>
      <c r="L78" s="481">
        <v>15500</v>
      </c>
    </row>
    <row r="79" spans="1:14" x14ac:dyDescent="0.2">
      <c r="A79" s="1526" t="s">
        <v>322</v>
      </c>
      <c r="B79" s="615">
        <v>4120</v>
      </c>
      <c r="C79" s="617"/>
      <c r="D79" s="617"/>
      <c r="E79" s="466">
        <v>178321</v>
      </c>
      <c r="F79" s="617"/>
      <c r="G79" s="617"/>
      <c r="H79" s="466"/>
      <c r="I79" s="477"/>
      <c r="J79" s="477"/>
      <c r="K79" s="1693">
        <f t="shared" si="11"/>
        <v>178321</v>
      </c>
      <c r="L79" s="466">
        <v>172615</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15115</v>
      </c>
      <c r="F81" s="617"/>
      <c r="G81" s="617"/>
      <c r="H81" s="466"/>
      <c r="I81" s="477"/>
      <c r="J81" s="477"/>
      <c r="K81" s="1693">
        <f t="shared" si="11"/>
        <v>15115</v>
      </c>
      <c r="L81" s="466">
        <v>15115</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88342</v>
      </c>
      <c r="F83" s="617"/>
      <c r="G83" s="617"/>
      <c r="H83" s="466"/>
      <c r="I83" s="477"/>
      <c r="J83" s="477"/>
      <c r="K83" s="1693">
        <f t="shared" si="11"/>
        <v>88342</v>
      </c>
      <c r="L83" s="466">
        <v>83000</v>
      </c>
    </row>
    <row r="84" spans="1:12" ht="13.5" thickBot="1" x14ac:dyDescent="0.25">
      <c r="A84" s="1690" t="s">
        <v>1565</v>
      </c>
      <c r="B84" s="1700">
        <v>4100</v>
      </c>
      <c r="C84" s="617"/>
      <c r="D84" s="617"/>
      <c r="E84" s="1692">
        <f>SUM(E78:E83)</f>
        <v>295920</v>
      </c>
      <c r="F84" s="617"/>
      <c r="G84" s="617"/>
      <c r="H84" s="1692">
        <f>SUM(H78:H83)</f>
        <v>0</v>
      </c>
      <c r="I84" s="477"/>
      <c r="J84" s="477"/>
      <c r="K84" s="1692">
        <f>SUM(K78:K83)</f>
        <v>295920</v>
      </c>
      <c r="L84" s="1692">
        <f>SUM(L78:L83)</f>
        <v>286230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22094</v>
      </c>
      <c r="I86" s="477"/>
      <c r="J86" s="477"/>
      <c r="K86" s="1699">
        <f t="shared" ref="K86:K98" si="12">H86</f>
        <v>22094</v>
      </c>
      <c r="L86" s="530">
        <v>28000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39900</v>
      </c>
      <c r="I88" s="477"/>
      <c r="J88" s="477"/>
      <c r="K88" s="1699">
        <f t="shared" si="12"/>
        <v>39900</v>
      </c>
      <c r="L88" s="530">
        <v>39900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61994</v>
      </c>
      <c r="I92" s="477"/>
      <c r="J92" s="477"/>
      <c r="K92" s="1699">
        <f t="shared" si="12"/>
        <v>61994</v>
      </c>
      <c r="L92" s="1692">
        <f>SUM(L85:L91)</f>
        <v>67900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295920</v>
      </c>
      <c r="F102" s="617"/>
      <c r="G102" s="617"/>
      <c r="H102" s="1699">
        <f>SUM(H84,H92,H100,H101)</f>
        <v>61994</v>
      </c>
      <c r="I102" s="477"/>
      <c r="J102" s="477"/>
      <c r="K102" s="1699">
        <f>SUM(K84,K92,K100,K101)</f>
        <v>357914</v>
      </c>
      <c r="L102" s="1699">
        <f>SUM(L84,L92,L100,L101)</f>
        <v>354130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6000</v>
      </c>
      <c r="M113" s="614"/>
      <c r="N113" s="614"/>
    </row>
    <row r="114" spans="1:14" ht="12.75" customHeight="1" thickTop="1" thickBot="1" x14ac:dyDescent="0.25">
      <c r="A114" s="1690" t="s">
        <v>50</v>
      </c>
      <c r="B114" s="1704"/>
      <c r="C114" s="1692">
        <f>SUM(C33,C74,C75,C102,C112,C113)</f>
        <v>1470347</v>
      </c>
      <c r="D114" s="1692">
        <f t="shared" ref="D114:K114" si="13">SUM(D33,D74,D75,D102,D112,D113)</f>
        <v>333865</v>
      </c>
      <c r="E114" s="1692">
        <f t="shared" si="13"/>
        <v>402336</v>
      </c>
      <c r="F114" s="1692">
        <f t="shared" si="13"/>
        <v>127688</v>
      </c>
      <c r="G114" s="1692">
        <f t="shared" si="13"/>
        <v>51462</v>
      </c>
      <c r="H114" s="1692">
        <f>SUM(H33,H74,H75,H102,H112,H113)</f>
        <v>84244</v>
      </c>
      <c r="I114" s="1692">
        <f t="shared" si="13"/>
        <v>0</v>
      </c>
      <c r="J114" s="1692">
        <f t="shared" si="13"/>
        <v>0</v>
      </c>
      <c r="K114" s="1692">
        <f t="shared" si="13"/>
        <v>2469942</v>
      </c>
      <c r="L114" s="1692">
        <f>SUM(L33,L74,L75,L102,L112,L113)</f>
        <v>2456499</v>
      </c>
    </row>
    <row r="115" spans="1:14" ht="13.5" thickTop="1" x14ac:dyDescent="0.2">
      <c r="A115" s="2198" t="s">
        <v>1053</v>
      </c>
      <c r="B115" s="2199"/>
      <c r="C115" s="619"/>
      <c r="D115" s="619"/>
      <c r="E115" s="619"/>
      <c r="F115" s="619"/>
      <c r="G115" s="619"/>
      <c r="H115" s="619"/>
      <c r="I115" s="619"/>
      <c r="J115" s="619"/>
      <c r="K115" s="1706">
        <f>'Revenues 9-14'!C275-'Expenditures 15-22'!K114</f>
        <v>70868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89201</v>
      </c>
      <c r="D124" s="466">
        <v>12722</v>
      </c>
      <c r="E124" s="466">
        <v>71929</v>
      </c>
      <c r="F124" s="466">
        <v>59521</v>
      </c>
      <c r="G124" s="466">
        <v>70501</v>
      </c>
      <c r="H124" s="466">
        <v>4462</v>
      </c>
      <c r="I124" s="467"/>
      <c r="J124" s="467"/>
      <c r="K124" s="1692">
        <f>SUM(C124:J124)</f>
        <v>308336</v>
      </c>
      <c r="L124" s="466">
        <v>296727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89201</v>
      </c>
      <c r="D127" s="1692">
        <f t="shared" ref="D127:L127" si="14">SUM(D122:D126)</f>
        <v>12722</v>
      </c>
      <c r="E127" s="1692">
        <f t="shared" si="14"/>
        <v>71929</v>
      </c>
      <c r="F127" s="1692">
        <f t="shared" si="14"/>
        <v>59521</v>
      </c>
      <c r="G127" s="1692">
        <f t="shared" si="14"/>
        <v>70501</v>
      </c>
      <c r="H127" s="1692">
        <f t="shared" si="14"/>
        <v>4462</v>
      </c>
      <c r="I127" s="1692">
        <f t="shared" si="14"/>
        <v>0</v>
      </c>
      <c r="J127" s="1692">
        <f t="shared" si="14"/>
        <v>0</v>
      </c>
      <c r="K127" s="1692">
        <f t="shared" si="14"/>
        <v>308336</v>
      </c>
      <c r="L127" s="1692">
        <f t="shared" si="14"/>
        <v>296727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89201</v>
      </c>
      <c r="D129" s="1699">
        <f t="shared" ref="D129:L129" si="15">SUM(D120,D127,D128)</f>
        <v>12722</v>
      </c>
      <c r="E129" s="1699">
        <f t="shared" si="15"/>
        <v>71929</v>
      </c>
      <c r="F129" s="1699">
        <f t="shared" si="15"/>
        <v>59521</v>
      </c>
      <c r="G129" s="1699">
        <f t="shared" si="15"/>
        <v>70501</v>
      </c>
      <c r="H129" s="1699">
        <f t="shared" si="15"/>
        <v>4462</v>
      </c>
      <c r="I129" s="1699">
        <f t="shared" si="15"/>
        <v>0</v>
      </c>
      <c r="J129" s="1699">
        <f t="shared" si="15"/>
        <v>0</v>
      </c>
      <c r="K129" s="1699">
        <f t="shared" si="15"/>
        <v>308336</v>
      </c>
      <c r="L129" s="1699">
        <f t="shared" si="15"/>
        <v>296727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2">
        <f>SUM(C129,C130,C139,C149,C150)</f>
        <v>89201</v>
      </c>
      <c r="D151" s="1692">
        <f t="shared" ref="D151:K151" si="16">SUM(D129,D130,D139,D149,D150)</f>
        <v>12722</v>
      </c>
      <c r="E151" s="1692">
        <f t="shared" si="16"/>
        <v>71929</v>
      </c>
      <c r="F151" s="1692">
        <f t="shared" si="16"/>
        <v>59521</v>
      </c>
      <c r="G151" s="1692">
        <f t="shared" si="16"/>
        <v>70501</v>
      </c>
      <c r="H151" s="1692">
        <f t="shared" si="16"/>
        <v>4462</v>
      </c>
      <c r="I151" s="1692">
        <f t="shared" si="16"/>
        <v>0</v>
      </c>
      <c r="J151" s="1692">
        <f t="shared" si="16"/>
        <v>0</v>
      </c>
      <c r="K151" s="1692">
        <f t="shared" si="16"/>
        <v>308336</v>
      </c>
      <c r="L151" s="1692">
        <f>SUM(L129,L130,L139,L149,L150)</f>
        <v>296727</v>
      </c>
    </row>
    <row r="152" spans="1:14" ht="12.75" customHeight="1" thickTop="1" x14ac:dyDescent="0.2">
      <c r="A152" s="2191" t="s">
        <v>1240</v>
      </c>
      <c r="B152" s="2192"/>
      <c r="C152" s="619"/>
      <c r="D152" s="619"/>
      <c r="E152" s="619"/>
      <c r="F152" s="619"/>
      <c r="G152" s="619"/>
      <c r="H152" s="619"/>
      <c r="I152" s="619"/>
      <c r="J152" s="617"/>
      <c r="K152" s="1706">
        <f>'Revenues 9-14'!D275-'Expenditures 15-22'!K151</f>
        <v>4654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160200</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160200</v>
      </c>
    </row>
    <row r="169" spans="1:14" ht="15.75" customHeight="1" thickTop="1" x14ac:dyDescent="0.2">
      <c r="A169" s="670" t="s">
        <v>85</v>
      </c>
      <c r="B169" s="671" t="s">
        <v>38</v>
      </c>
      <c r="C169" s="617"/>
      <c r="D169" s="617"/>
      <c r="E169" s="617"/>
      <c r="F169" s="617"/>
      <c r="G169" s="617"/>
      <c r="H169" s="657">
        <v>11150</v>
      </c>
      <c r="I169" s="617"/>
      <c r="J169" s="617"/>
      <c r="K169" s="1693">
        <f>SUM(C169:H169)</f>
        <v>11150</v>
      </c>
      <c r="L169" s="657"/>
    </row>
    <row r="170" spans="1:14" ht="33.75" customHeight="1" x14ac:dyDescent="0.2">
      <c r="A170" s="670" t="s">
        <v>1769</v>
      </c>
      <c r="B170" s="672" t="s">
        <v>31</v>
      </c>
      <c r="C170" s="617"/>
      <c r="D170" s="617"/>
      <c r="E170" s="617"/>
      <c r="F170" s="617"/>
      <c r="G170" s="617"/>
      <c r="H170" s="569">
        <v>150000</v>
      </c>
      <c r="I170" s="617"/>
      <c r="J170" s="617"/>
      <c r="K170" s="1693">
        <f>SUM(C170:J170)</f>
        <v>150000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161150</v>
      </c>
      <c r="I172" s="639"/>
      <c r="J172" s="617"/>
      <c r="K172" s="1699">
        <f>SUM(K168,K169,K170,K171)</f>
        <v>161150</v>
      </c>
      <c r="L172" s="1699">
        <f>SUM(L168,L169,L170,L171)</f>
        <v>160200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161150</v>
      </c>
      <c r="I174" s="639"/>
      <c r="J174" s="617"/>
      <c r="K174" s="1699">
        <f>SUM(K160,K172,K173)</f>
        <v>161150</v>
      </c>
      <c r="L174" s="1699">
        <f>SUM(L160,L172,L173)</f>
        <v>160200</v>
      </c>
    </row>
    <row r="175" spans="1:14" ht="13.5" thickTop="1" x14ac:dyDescent="0.2">
      <c r="A175" s="2198" t="s">
        <v>1053</v>
      </c>
      <c r="B175" s="2199"/>
      <c r="C175" s="617"/>
      <c r="D175" s="617"/>
      <c r="E175" s="617"/>
      <c r="F175" s="617"/>
      <c r="G175" s="617"/>
      <c r="H175" s="619"/>
      <c r="I175" s="617"/>
      <c r="J175" s="617"/>
      <c r="K175" s="1706">
        <f>'Revenues 9-14'!E275-'Expenditures 15-22'!K174</f>
        <v>5305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181397</v>
      </c>
      <c r="D182" s="466"/>
      <c r="E182" s="466">
        <v>114330</v>
      </c>
      <c r="F182" s="466">
        <v>39874</v>
      </c>
      <c r="G182" s="466"/>
      <c r="H182" s="466">
        <v>9812</v>
      </c>
      <c r="I182" s="467"/>
      <c r="J182" s="467"/>
      <c r="K182" s="1693">
        <f>SUM(C182:J182)</f>
        <v>345413</v>
      </c>
      <c r="L182" s="466">
        <v>339186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181397</v>
      </c>
      <c r="D184" s="1699">
        <f t="shared" ref="D184:J184" si="17">SUM(D180,D182,D183)</f>
        <v>0</v>
      </c>
      <c r="E184" s="1699">
        <f t="shared" si="17"/>
        <v>114330</v>
      </c>
      <c r="F184" s="1699">
        <f t="shared" si="17"/>
        <v>39874</v>
      </c>
      <c r="G184" s="1699">
        <f t="shared" si="17"/>
        <v>0</v>
      </c>
      <c r="H184" s="1699">
        <f t="shared" si="17"/>
        <v>9812</v>
      </c>
      <c r="I184" s="1699">
        <f t="shared" si="17"/>
        <v>0</v>
      </c>
      <c r="J184" s="1699">
        <f t="shared" si="17"/>
        <v>0</v>
      </c>
      <c r="K184" s="1699">
        <f>SUM(K180,K182,K183)</f>
        <v>345413</v>
      </c>
      <c r="L184" s="1699">
        <f>SUM(L180, L182:L183)</f>
        <v>339186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181397</v>
      </c>
      <c r="D210" s="1692">
        <f>SUM(D184,D185)</f>
        <v>0</v>
      </c>
      <c r="E210" s="1692">
        <f>SUM(E184,E185,E196)</f>
        <v>114330</v>
      </c>
      <c r="F210" s="1692">
        <f>SUM(F184,F185)</f>
        <v>39874</v>
      </c>
      <c r="G210" s="1692">
        <f>SUM(G184,G185)</f>
        <v>0</v>
      </c>
      <c r="H210" s="1692">
        <f>SUM(H184,H185,H196,H208,H209)</f>
        <v>9812</v>
      </c>
      <c r="I210" s="1692">
        <f>SUM(I184,I185)</f>
        <v>0</v>
      </c>
      <c r="J210" s="1692">
        <f>SUM(J184,J185)</f>
        <v>0</v>
      </c>
      <c r="K210" s="1693">
        <f>SUM(K184,K185,K196,K208,K209)</f>
        <v>345413</v>
      </c>
      <c r="L210" s="1692">
        <f>SUM(L184,L185,L196,L208,L209)</f>
        <v>339186</v>
      </c>
    </row>
    <row r="211" spans="1:14" ht="13.5" thickTop="1" x14ac:dyDescent="0.2">
      <c r="A211" s="2198" t="s">
        <v>1053</v>
      </c>
      <c r="B211" s="2199"/>
      <c r="C211" s="619"/>
      <c r="D211" s="619"/>
      <c r="E211" s="619"/>
      <c r="F211" s="619"/>
      <c r="G211" s="619"/>
      <c r="H211" s="619"/>
      <c r="I211" s="617"/>
      <c r="J211" s="617"/>
      <c r="K211" s="1706">
        <f>'Revenues 9-14'!F275-'Expenditures 15-22'!K210</f>
        <v>10900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13723</v>
      </c>
      <c r="E215" s="617"/>
      <c r="F215" s="617"/>
      <c r="G215" s="617"/>
      <c r="H215" s="617"/>
      <c r="I215" s="617"/>
      <c r="J215" s="617"/>
      <c r="K215" s="1693">
        <f>D215</f>
        <v>13723</v>
      </c>
      <c r="L215" s="466">
        <v>11340</v>
      </c>
    </row>
    <row r="216" spans="1:14" x14ac:dyDescent="0.2">
      <c r="A216" s="1526" t="s">
        <v>165</v>
      </c>
      <c r="B216" s="615" t="s">
        <v>1024</v>
      </c>
      <c r="C216" s="617"/>
      <c r="D216" s="467"/>
      <c r="E216" s="617"/>
      <c r="F216" s="617"/>
      <c r="G216" s="617"/>
      <c r="H216" s="617"/>
      <c r="I216" s="617"/>
      <c r="J216" s="617"/>
      <c r="K216" s="1693">
        <f t="shared" ref="K216:K228" si="19">D216</f>
        <v>0</v>
      </c>
      <c r="L216" s="466">
        <v>321</v>
      </c>
    </row>
    <row r="217" spans="1:14" x14ac:dyDescent="0.2">
      <c r="A217" s="1526" t="s">
        <v>166</v>
      </c>
      <c r="B217" s="615">
        <v>1200</v>
      </c>
      <c r="C217" s="617"/>
      <c r="D217" s="466">
        <v>5063</v>
      </c>
      <c r="E217" s="617"/>
      <c r="F217" s="617"/>
      <c r="G217" s="617"/>
      <c r="H217" s="617"/>
      <c r="I217" s="617"/>
      <c r="J217" s="617"/>
      <c r="K217" s="1693">
        <f t="shared" si="19"/>
        <v>5063</v>
      </c>
      <c r="L217" s="466">
        <v>6680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100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2574</v>
      </c>
      <c r="E222" s="617"/>
      <c r="F222" s="617"/>
      <c r="G222" s="617"/>
      <c r="H222" s="617"/>
      <c r="I222" s="617"/>
      <c r="J222" s="617"/>
      <c r="K222" s="1693">
        <f t="shared" si="19"/>
        <v>2574</v>
      </c>
      <c r="L222" s="466">
        <v>2822</v>
      </c>
    </row>
    <row r="223" spans="1:14" x14ac:dyDescent="0.2">
      <c r="A223" s="1526" t="s">
        <v>1020</v>
      </c>
      <c r="B223" s="615">
        <v>1500</v>
      </c>
      <c r="C223" s="617"/>
      <c r="D223" s="466">
        <v>4750</v>
      </c>
      <c r="E223" s="617"/>
      <c r="F223" s="617"/>
      <c r="G223" s="617"/>
      <c r="H223" s="617"/>
      <c r="I223" s="617"/>
      <c r="J223" s="617"/>
      <c r="K223" s="1693">
        <f t="shared" si="19"/>
        <v>4750</v>
      </c>
      <c r="L223" s="466">
        <v>4874</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377</v>
      </c>
      <c r="E226" s="617"/>
      <c r="F226" s="617"/>
      <c r="G226" s="617"/>
      <c r="H226" s="617"/>
      <c r="I226" s="617"/>
      <c r="J226" s="617"/>
      <c r="K226" s="1693">
        <f t="shared" si="19"/>
        <v>377</v>
      </c>
      <c r="L226" s="466">
        <v>400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26487</v>
      </c>
      <c r="E229" s="617"/>
      <c r="F229" s="617"/>
      <c r="G229" s="617"/>
      <c r="H229" s="617"/>
      <c r="I229" s="617"/>
      <c r="J229" s="617"/>
      <c r="K229" s="1692">
        <f>SUM(K215:K228)</f>
        <v>26487</v>
      </c>
      <c r="L229" s="1692">
        <f>SUM(L215:L228)</f>
        <v>26537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4245</v>
      </c>
      <c r="E233" s="617"/>
      <c r="F233" s="617"/>
      <c r="G233" s="617"/>
      <c r="H233" s="617"/>
      <c r="I233" s="617"/>
      <c r="J233" s="617"/>
      <c r="K233" s="1693">
        <f t="shared" si="20"/>
        <v>4245</v>
      </c>
      <c r="L233" s="466">
        <v>4200</v>
      </c>
    </row>
    <row r="234" spans="1:12" x14ac:dyDescent="0.2">
      <c r="A234" s="1526" t="s">
        <v>207</v>
      </c>
      <c r="B234" s="615">
        <v>2130</v>
      </c>
      <c r="C234" s="617"/>
      <c r="D234" s="466">
        <v>1251</v>
      </c>
      <c r="E234" s="617"/>
      <c r="F234" s="617"/>
      <c r="G234" s="617"/>
      <c r="H234" s="617"/>
      <c r="I234" s="617"/>
      <c r="J234" s="617"/>
      <c r="K234" s="1693">
        <f t="shared" si="20"/>
        <v>1251</v>
      </c>
      <c r="L234" s="466">
        <v>1500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5496</v>
      </c>
      <c r="E238" s="617"/>
      <c r="F238" s="617"/>
      <c r="G238" s="617"/>
      <c r="H238" s="617"/>
      <c r="I238" s="617"/>
      <c r="J238" s="617"/>
      <c r="K238" s="1692">
        <f>SUM(K232:K237)</f>
        <v>5496</v>
      </c>
      <c r="L238" s="1692">
        <f>SUM(L232:L237)</f>
        <v>5700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13</v>
      </c>
      <c r="E240" s="617"/>
      <c r="F240" s="617"/>
      <c r="G240" s="617"/>
      <c r="H240" s="617"/>
      <c r="I240" s="617"/>
      <c r="J240" s="617"/>
      <c r="K240" s="1694">
        <f>D240</f>
        <v>13</v>
      </c>
      <c r="L240" s="481">
        <v>250</v>
      </c>
    </row>
    <row r="241" spans="1:12" x14ac:dyDescent="0.2">
      <c r="A241" s="1526" t="s">
        <v>869</v>
      </c>
      <c r="B241" s="615">
        <v>2220</v>
      </c>
      <c r="C241" s="617"/>
      <c r="D241" s="466"/>
      <c r="E241" s="617"/>
      <c r="F241" s="617"/>
      <c r="G241" s="617"/>
      <c r="H241" s="617"/>
      <c r="I241" s="617"/>
      <c r="J241" s="617"/>
      <c r="K241" s="1694">
        <f>D241</f>
        <v>0</v>
      </c>
      <c r="L241" s="466">
        <v>35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13</v>
      </c>
      <c r="E243" s="617"/>
      <c r="F243" s="617"/>
      <c r="G243" s="617"/>
      <c r="H243" s="617"/>
      <c r="I243" s="617"/>
      <c r="J243" s="617"/>
      <c r="K243" s="1692">
        <f>SUM(K240:K242)</f>
        <v>13</v>
      </c>
      <c r="L243" s="1692">
        <f>SUM(L240:L242)</f>
        <v>285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296</v>
      </c>
      <c r="E245" s="617"/>
      <c r="F245" s="617"/>
      <c r="G245" s="617"/>
      <c r="H245" s="617"/>
      <c r="I245" s="617"/>
      <c r="J245" s="617"/>
      <c r="K245" s="1694">
        <f>D245</f>
        <v>296</v>
      </c>
      <c r="L245" s="481">
        <v>431</v>
      </c>
    </row>
    <row r="246" spans="1:12" x14ac:dyDescent="0.2">
      <c r="A246" s="1526" t="s">
        <v>872</v>
      </c>
      <c r="B246" s="615">
        <v>2320</v>
      </c>
      <c r="C246" s="617"/>
      <c r="D246" s="466">
        <v>8962</v>
      </c>
      <c r="E246" s="617"/>
      <c r="F246" s="617"/>
      <c r="G246" s="617"/>
      <c r="H246" s="617"/>
      <c r="I246" s="617"/>
      <c r="J246" s="617"/>
      <c r="K246" s="1694">
        <f t="shared" ref="K246:K256" si="21">D246</f>
        <v>8962</v>
      </c>
      <c r="L246" s="466">
        <v>8890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10229</v>
      </c>
      <c r="E254" s="617"/>
      <c r="F254" s="617"/>
      <c r="G254" s="617"/>
      <c r="H254" s="617"/>
      <c r="I254" s="617"/>
      <c r="J254" s="617"/>
      <c r="K254" s="1694">
        <f t="shared" si="21"/>
        <v>10229</v>
      </c>
      <c r="L254" s="466">
        <v>7200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19487</v>
      </c>
      <c r="E257" s="617"/>
      <c r="F257" s="617"/>
      <c r="G257" s="617"/>
      <c r="H257" s="617"/>
      <c r="I257" s="617"/>
      <c r="J257" s="617"/>
      <c r="K257" s="1692">
        <f>SUM(K245:K256)</f>
        <v>19487</v>
      </c>
      <c r="L257" s="1692">
        <f>SUM(L245:L256)</f>
        <v>16521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7172</v>
      </c>
      <c r="E259" s="617"/>
      <c r="F259" s="617"/>
      <c r="G259" s="617"/>
      <c r="H259" s="617"/>
      <c r="I259" s="617"/>
      <c r="J259" s="617"/>
      <c r="K259" s="1694">
        <f>D259</f>
        <v>7172</v>
      </c>
      <c r="L259" s="481">
        <v>7789</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7172</v>
      </c>
      <c r="E261" s="617"/>
      <c r="F261" s="617"/>
      <c r="G261" s="617"/>
      <c r="H261" s="617"/>
      <c r="I261" s="617"/>
      <c r="J261" s="617"/>
      <c r="K261" s="1692">
        <f>SUM(K259:K260)</f>
        <v>7172</v>
      </c>
      <c r="L261" s="1692">
        <f>SUM(L259:L260)</f>
        <v>7789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7253</v>
      </c>
      <c r="E264" s="617"/>
      <c r="F264" s="617"/>
      <c r="G264" s="617"/>
      <c r="H264" s="617"/>
      <c r="I264" s="617"/>
      <c r="J264" s="617"/>
      <c r="K264" s="1694">
        <f t="shared" ref="K264:K269" si="22">D264</f>
        <v>7253</v>
      </c>
      <c r="L264" s="466">
        <v>8900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28694</v>
      </c>
      <c r="E266" s="617"/>
      <c r="F266" s="617"/>
      <c r="G266" s="617"/>
      <c r="H266" s="617"/>
      <c r="I266" s="617"/>
      <c r="J266" s="617"/>
      <c r="K266" s="1694">
        <f t="shared" si="22"/>
        <v>28694</v>
      </c>
      <c r="L266" s="466">
        <v>30675</v>
      </c>
    </row>
    <row r="267" spans="1:14" x14ac:dyDescent="0.2">
      <c r="A267" s="1526" t="s">
        <v>1010</v>
      </c>
      <c r="B267" s="615">
        <v>2550</v>
      </c>
      <c r="C267" s="617"/>
      <c r="D267" s="466">
        <v>36747</v>
      </c>
      <c r="E267" s="617"/>
      <c r="F267" s="617"/>
      <c r="G267" s="617"/>
      <c r="H267" s="617"/>
      <c r="I267" s="617"/>
      <c r="J267" s="617"/>
      <c r="K267" s="1694">
        <f t="shared" si="22"/>
        <v>36747</v>
      </c>
      <c r="L267" s="466">
        <v>34221</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72694</v>
      </c>
      <c r="E270" s="617"/>
      <c r="F270" s="617"/>
      <c r="G270" s="617"/>
      <c r="H270" s="617"/>
      <c r="I270" s="617"/>
      <c r="J270" s="617"/>
      <c r="K270" s="1692">
        <f>SUM(K263:K269)</f>
        <v>72694</v>
      </c>
      <c r="L270" s="1692">
        <f>SUM(L263:L269)</f>
        <v>73796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104862</v>
      </c>
      <c r="E279" s="617"/>
      <c r="F279" s="617"/>
      <c r="G279" s="617"/>
      <c r="H279" s="617"/>
      <c r="I279" s="617"/>
      <c r="J279" s="617"/>
      <c r="K279" s="1699">
        <f>SUM(K238,K243,K257,K261,K270,K277,K278)</f>
        <v>104862</v>
      </c>
      <c r="L279" s="1699">
        <f>SUM(L238,L243,L257,L261,L270,L277,L278)</f>
        <v>104091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131349</v>
      </c>
      <c r="E295" s="617"/>
      <c r="F295" s="617"/>
      <c r="G295" s="617"/>
      <c r="H295" s="1692">
        <f>H293</f>
        <v>0</v>
      </c>
      <c r="I295" s="617"/>
      <c r="J295" s="617"/>
      <c r="K295" s="1692">
        <f>SUM(K229,K279,K280,K285,K293,K294)</f>
        <v>131349</v>
      </c>
      <c r="L295" s="1692">
        <f>SUM(L229,L279,L280,L285,L293,L294)</f>
        <v>130628</v>
      </c>
    </row>
    <row r="296" spans="1:14" ht="13.5" thickTop="1" x14ac:dyDescent="0.2">
      <c r="A296" s="2198" t="s">
        <v>1053</v>
      </c>
      <c r="B296" s="2199"/>
      <c r="C296" s="617"/>
      <c r="D296" s="619"/>
      <c r="E296" s="617"/>
      <c r="F296" s="617"/>
      <c r="G296" s="617"/>
      <c r="H296" s="688"/>
      <c r="I296" s="617"/>
      <c r="J296" s="617"/>
      <c r="K296" s="1706">
        <f>'Revenues 9-14'!G275-'Expenditures 15-22'!K295</f>
        <v>-3666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42991</v>
      </c>
      <c r="F320" s="467"/>
      <c r="G320" s="467"/>
      <c r="H320" s="467"/>
      <c r="I320" s="467"/>
      <c r="J320" s="467"/>
      <c r="K320" s="1693">
        <f t="shared" ref="K320:K327" si="24">SUM(C320:J320)</f>
        <v>42991</v>
      </c>
      <c r="L320" s="467">
        <v>34126</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750</v>
      </c>
      <c r="F322" s="467"/>
      <c r="G322" s="467"/>
      <c r="H322" s="467"/>
      <c r="I322" s="467"/>
      <c r="J322" s="467"/>
      <c r="K322" s="1693">
        <f t="shared" si="24"/>
        <v>750</v>
      </c>
      <c r="L322" s="467">
        <v>30450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127206</v>
      </c>
      <c r="D325" s="467"/>
      <c r="E325" s="467">
        <v>29355</v>
      </c>
      <c r="F325" s="467">
        <v>866</v>
      </c>
      <c r="G325" s="467"/>
      <c r="H325" s="467"/>
      <c r="I325" s="467"/>
      <c r="J325" s="467"/>
      <c r="K325" s="1693">
        <f t="shared" si="24"/>
        <v>157427</v>
      </c>
      <c r="L325" s="467">
        <v>134551</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127206</v>
      </c>
      <c r="D330" s="1692">
        <f t="shared" ref="D330:J330" si="25">SUM(D319:D329)</f>
        <v>0</v>
      </c>
      <c r="E330" s="1692">
        <f t="shared" si="25"/>
        <v>73096</v>
      </c>
      <c r="F330" s="1692">
        <f t="shared" si="25"/>
        <v>866</v>
      </c>
      <c r="G330" s="1692">
        <f t="shared" si="25"/>
        <v>0</v>
      </c>
      <c r="H330" s="1692">
        <f t="shared" si="25"/>
        <v>0</v>
      </c>
      <c r="I330" s="1692">
        <f t="shared" si="25"/>
        <v>0</v>
      </c>
      <c r="J330" s="1692">
        <f t="shared" si="25"/>
        <v>0</v>
      </c>
      <c r="K330" s="1692">
        <f>SUM(K319:K329)</f>
        <v>201168</v>
      </c>
      <c r="L330" s="1692">
        <f>SUM(L319:L329)</f>
        <v>199127</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127206</v>
      </c>
      <c r="D342" s="1692">
        <f>SUM(D330)</f>
        <v>0</v>
      </c>
      <c r="E342" s="1692">
        <f>SUM(E330)</f>
        <v>73096</v>
      </c>
      <c r="F342" s="1692">
        <f>SUM(F330)</f>
        <v>866</v>
      </c>
      <c r="G342" s="1692">
        <f>SUM(G330)</f>
        <v>0</v>
      </c>
      <c r="H342" s="1692">
        <f>SUM(H330,H334,H340)</f>
        <v>0</v>
      </c>
      <c r="I342" s="1692">
        <f>SUM(I330)</f>
        <v>0</v>
      </c>
      <c r="J342" s="1692">
        <f>SUM(J330)</f>
        <v>0</v>
      </c>
      <c r="K342" s="1692">
        <f>SUM(K330,K334,K340)</f>
        <v>201168</v>
      </c>
      <c r="L342" s="1699">
        <f>SUM(L330,L340,L341)</f>
        <v>199127</v>
      </c>
    </row>
    <row r="343" spans="1:14" ht="12.75" customHeight="1" thickTop="1" x14ac:dyDescent="0.2">
      <c r="A343" s="2184" t="s">
        <v>1053</v>
      </c>
      <c r="B343" s="2185"/>
      <c r="C343" s="617"/>
      <c r="D343" s="617"/>
      <c r="E343" s="617"/>
      <c r="F343" s="617"/>
      <c r="G343" s="617"/>
      <c r="H343" s="617"/>
      <c r="I343" s="617"/>
      <c r="J343" s="617"/>
      <c r="K343" s="1706">
        <f>'Revenues 9-14'!J275-'Expenditures 15-22'!K342</f>
        <v>-6270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17378</v>
      </c>
      <c r="F348" s="466">
        <v>482</v>
      </c>
      <c r="G348" s="466">
        <v>16135</v>
      </c>
      <c r="H348" s="466"/>
      <c r="I348" s="467"/>
      <c r="J348" s="467"/>
      <c r="K348" s="1693">
        <f>SUM(C348:J348)</f>
        <v>33995</v>
      </c>
      <c r="L348" s="466">
        <v>43800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17378</v>
      </c>
      <c r="F350" s="1692">
        <f t="shared" si="26"/>
        <v>482</v>
      </c>
      <c r="G350" s="1692">
        <f t="shared" si="26"/>
        <v>16135</v>
      </c>
      <c r="H350" s="1692">
        <f t="shared" si="26"/>
        <v>0</v>
      </c>
      <c r="I350" s="1692">
        <f t="shared" si="26"/>
        <v>0</v>
      </c>
      <c r="J350" s="1692">
        <f t="shared" si="26"/>
        <v>0</v>
      </c>
      <c r="K350" s="1692">
        <f t="shared" si="26"/>
        <v>33995</v>
      </c>
      <c r="L350" s="1692">
        <f t="shared" si="26"/>
        <v>43800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17378</v>
      </c>
      <c r="F352" s="1692">
        <f t="shared" si="27"/>
        <v>482</v>
      </c>
      <c r="G352" s="1692">
        <f t="shared" si="27"/>
        <v>16135</v>
      </c>
      <c r="H352" s="1692">
        <f t="shared" si="27"/>
        <v>0</v>
      </c>
      <c r="I352" s="1692">
        <f t="shared" si="27"/>
        <v>0</v>
      </c>
      <c r="J352" s="1692">
        <f t="shared" si="27"/>
        <v>0</v>
      </c>
      <c r="K352" s="1692">
        <f t="shared" si="27"/>
        <v>33995</v>
      </c>
      <c r="L352" s="1692">
        <f t="shared" si="27"/>
        <v>43800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17378</v>
      </c>
      <c r="F367" s="1692">
        <f t="shared" si="28"/>
        <v>482</v>
      </c>
      <c r="G367" s="1692">
        <f t="shared" si="28"/>
        <v>16135</v>
      </c>
      <c r="H367" s="1692">
        <f t="shared" si="28"/>
        <v>0</v>
      </c>
      <c r="I367" s="1692">
        <f t="shared" si="28"/>
        <v>0</v>
      </c>
      <c r="J367" s="1692">
        <f t="shared" si="28"/>
        <v>0</v>
      </c>
      <c r="K367" s="1692">
        <f t="shared" si="28"/>
        <v>33995</v>
      </c>
      <c r="L367" s="1692">
        <f t="shared" si="28"/>
        <v>43800</v>
      </c>
    </row>
    <row r="368" spans="1:14" ht="13.5" thickTop="1" x14ac:dyDescent="0.2">
      <c r="A368" s="2198" t="s">
        <v>1053</v>
      </c>
      <c r="B368" s="2199"/>
      <c r="C368" s="655"/>
      <c r="D368" s="655"/>
      <c r="E368" s="627"/>
      <c r="F368" s="627"/>
      <c r="G368" s="627"/>
      <c r="H368" s="627"/>
      <c r="I368" s="627"/>
      <c r="J368" s="624"/>
      <c r="K368" s="1693">
        <f>'Revenues 9-14'!K275-'Expenditures 15-22'!K367</f>
        <v>22711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6ce3111e-7420-4802-b50a-75d4e9a0b980"/>
    <ds:schemaRef ds:uri="http://schemas.microsoft.com/office/infopath/2007/PartnerControls"/>
    <ds:schemaRef ds:uri="4d435f69-8686-490b-bd6d-b153bf22ab50"/>
    <ds:schemaRef ds:uri="http://purl.org/dc/elements/1.1/"/>
    <ds:schemaRef ds:uri="http://purl.org/dc/terms/"/>
    <ds:schemaRef ds:uri="d21dc803-237d-4c68-8692-8d731fd29118"/>
    <ds:schemaRef ds:uri="http://schemas.microsoft.com/office/2006/metadata/properties"/>
    <ds:schemaRef ds:uri="http://schemas.openxmlformats.org/package/2006/metadata/core-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2018-10-15T19:01:03Z</cp:lastPrinted>
  <dcterms:created xsi:type="dcterms:W3CDTF">2003-10-29T19:06:34Z</dcterms:created>
  <dcterms:modified xsi:type="dcterms:W3CDTF">2018-10-30T14:23:45Z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