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0" i="108" l="1"/>
  <c r="J36" i="8" l="1"/>
  <c r="C5" i="7"/>
  <c r="C4" i="7"/>
  <c r="E75" i="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B7719" i="106" s="1"/>
  <c r="D7719" i="106" s="1"/>
  <c r="K23" i="12"/>
  <c r="K24" i="12" s="1"/>
  <c r="B7733" i="106" s="1"/>
  <c r="D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C14" i="4" s="1"/>
  <c r="B2558" i="106" s="1"/>
  <c r="D2558" i="106" s="1"/>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B7084" i="106" s="1"/>
  <c r="D7084" i="106" s="1"/>
  <c r="K250" i="29"/>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H28" i="118" s="1"/>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s="1"/>
  <c r="B6312" i="106"/>
  <c r="D6312" i="106" s="1"/>
  <c r="B6313" i="106"/>
  <c r="D6313" i="106"/>
  <c r="B6314" i="106"/>
  <c r="D6314" i="106" s="1"/>
  <c r="B6315" i="106"/>
  <c r="D6315" i="106" s="1"/>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s="1"/>
  <c r="B6337" i="106"/>
  <c r="D6337" i="106" s="1"/>
  <c r="B6338" i="106"/>
  <c r="D6338" i="106" s="1"/>
  <c r="B6339" i="106"/>
  <c r="D6339" i="106" s="1"/>
  <c r="B6340" i="106"/>
  <c r="D6340" i="106" s="1"/>
  <c r="B6341" i="106"/>
  <c r="D6341" i="106" s="1"/>
  <c r="B6342" i="106"/>
  <c r="D6342" i="106"/>
  <c r="B6343" i="106"/>
  <c r="D6343" i="106" s="1"/>
  <c r="B6344" i="106"/>
  <c r="D6344" i="106" s="1"/>
  <c r="B6345" i="106"/>
  <c r="D6345" i="106" s="1"/>
  <c r="B6346" i="106"/>
  <c r="D6346" i="106"/>
  <c r="B6347" i="106"/>
  <c r="D6347" i="106" s="1"/>
  <c r="B6348" i="106"/>
  <c r="D6348" i="106" s="1"/>
  <c r="B6349" i="106"/>
  <c r="D6349" i="106" s="1"/>
  <c r="B6350" i="106"/>
  <c r="D6350" i="106"/>
  <c r="B6353" i="106"/>
  <c r="D6353" i="106" s="1"/>
  <c r="B6354" i="106"/>
  <c r="D6354" i="106" s="1"/>
  <c r="B6355" i="106"/>
  <c r="D6355" i="106" s="1"/>
  <c r="B6356" i="106"/>
  <c r="D6356" i="106"/>
  <c r="B6358" i="106"/>
  <c r="D6358" i="106" s="1"/>
  <c r="B6359" i="106"/>
  <c r="D6359" i="106" s="1"/>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c r="B6730" i="106"/>
  <c r="D6730" i="106" s="1"/>
  <c r="B6731" i="106"/>
  <c r="D6731" i="106" s="1"/>
  <c r="B6732" i="106"/>
  <c r="D6732" i="106" s="1"/>
  <c r="B6733" i="106"/>
  <c r="D6733" i="106"/>
  <c r="B6734" i="106"/>
  <c r="D6734" i="106" s="1"/>
  <c r="B6735" i="106"/>
  <c r="D6735" i="106" s="1"/>
  <c r="B6736" i="106"/>
  <c r="D6736" i="106" s="1"/>
  <c r="B6737" i="106"/>
  <c r="D6737" i="106"/>
  <c r="B6738" i="106"/>
  <c r="D6738" i="106" s="1"/>
  <c r="B6739" i="106"/>
  <c r="D6739" i="106" s="1"/>
  <c r="B6740" i="106"/>
  <c r="D6740" i="106" s="1"/>
  <c r="B6741" i="106"/>
  <c r="D6741" i="106"/>
  <c r="B6742" i="106"/>
  <c r="D6742" i="106" s="1"/>
  <c r="B6743" i="106"/>
  <c r="D6743" i="106" s="1"/>
  <c r="B6744" i="106"/>
  <c r="D6744" i="106" s="1"/>
  <c r="B6745" i="106"/>
  <c r="D6745" i="106"/>
  <c r="B6746" i="106"/>
  <c r="D6746" i="106" s="1"/>
  <c r="B6747" i="106"/>
  <c r="D6747" i="106" s="1"/>
  <c r="B6748" i="106"/>
  <c r="D6748" i="106" s="1"/>
  <c r="B6749" i="106"/>
  <c r="D6749" i="106"/>
  <c r="B6750" i="106"/>
  <c r="D6750" i="106" s="1"/>
  <c r="B6751" i="106"/>
  <c r="D6751" i="106" s="1"/>
  <c r="B6752" i="106"/>
  <c r="D6752" i="106" s="1"/>
  <c r="B6753" i="106"/>
  <c r="D6753" i="106"/>
  <c r="B6754" i="106"/>
  <c r="D6754" i="106" s="1"/>
  <c r="B6755" i="106"/>
  <c r="D6755" i="106" s="1"/>
  <c r="B6756" i="106"/>
  <c r="D6756" i="106" s="1"/>
  <c r="B6757" i="106"/>
  <c r="D6757" i="106"/>
  <c r="B6758" i="106"/>
  <c r="D6758" i="106" s="1"/>
  <c r="B6759" i="106"/>
  <c r="D6759" i="106" s="1"/>
  <c r="B6760" i="106"/>
  <c r="D6760" i="106" s="1"/>
  <c r="B6761" i="106"/>
  <c r="D6761" i="106"/>
  <c r="B6762" i="106"/>
  <c r="D6762" i="106" s="1"/>
  <c r="B6763" i="106"/>
  <c r="D6763" i="106" s="1"/>
  <c r="B6764" i="106"/>
  <c r="D6764" i="106" s="1"/>
  <c r="B6765" i="106"/>
  <c r="D6765" i="106"/>
  <c r="B6766" i="106"/>
  <c r="D6766" i="106" s="1"/>
  <c r="B6767" i="106"/>
  <c r="D6767" i="106" s="1"/>
  <c r="B6768" i="106"/>
  <c r="D6768" i="106" s="1"/>
  <c r="B6769" i="106"/>
  <c r="D6769" i="106"/>
  <c r="B6770" i="106"/>
  <c r="D6770" i="106" s="1"/>
  <c r="B6771" i="106"/>
  <c r="D6771" i="106" s="1"/>
  <c r="B6772" i="106"/>
  <c r="D6772" i="106" s="1"/>
  <c r="B6773" i="106"/>
  <c r="D6773" i="106"/>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6" i="127"/>
  <c r="B67" i="127"/>
  <c r="E26" i="108"/>
  <c r="G26" i="108"/>
  <c r="E27" i="108"/>
  <c r="G27" i="108"/>
  <c r="F31" i="108"/>
  <c r="F36" i="108"/>
  <c r="G28" i="108"/>
  <c r="E30" i="108"/>
  <c r="D31" i="108"/>
  <c r="D36" i="108"/>
  <c r="E31" i="108"/>
  <c r="G31" i="108"/>
  <c r="E33" i="108"/>
  <c r="G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131" i="34"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D14" i="4"/>
  <c r="B2570" i="106" s="1"/>
  <c r="D2570" i="106" s="1"/>
  <c r="F14" i="4"/>
  <c r="B2597" i="106" s="1"/>
  <c r="D2597" i="106" s="1"/>
  <c r="B2633" i="106"/>
  <c r="D2633" i="106" s="1"/>
  <c r="D7" i="118"/>
  <c r="D8" i="118"/>
  <c r="D9" i="118"/>
  <c r="H14" i="118"/>
  <c r="H19" i="118"/>
  <c r="H24" i="118"/>
  <c r="H33" i="118"/>
  <c r="H22" i="37"/>
  <c r="L22" i="37"/>
  <c r="D24" i="37"/>
  <c r="B4270" i="106" s="1"/>
  <c r="D4270" i="106" s="1"/>
  <c r="L5" i="11"/>
  <c r="B2056" i="106" s="1"/>
  <c r="D2056" i="106" s="1"/>
  <c r="D4" i="7"/>
  <c r="B1760" i="106" s="1"/>
  <c r="D1760" i="106" s="1"/>
  <c r="D5" i="7"/>
  <c r="B1761" i="106" s="1"/>
  <c r="D1761" i="106" s="1"/>
  <c r="D9" i="7"/>
  <c r="B1767" i="106" s="1"/>
  <c r="D1767" i="106" s="1"/>
  <c r="F136" i="34"/>
  <c r="F127" i="34"/>
  <c r="B5599" i="106"/>
  <c r="D5599" i="106" s="1"/>
  <c r="K274" i="5"/>
  <c r="H109" i="5"/>
  <c r="B6025" i="106" s="1"/>
  <c r="D6025" i="106" s="1"/>
  <c r="D17" i="7"/>
  <c r="B4104" i="106" s="1"/>
  <c r="D4104" i="106" s="1"/>
  <c r="D12" i="7"/>
  <c r="B1769" i="106" s="1"/>
  <c r="D1769" i="106" s="1"/>
  <c r="D15" i="7"/>
  <c r="B1772" i="106" s="1"/>
  <c r="D1772" i="106" s="1"/>
  <c r="N22" i="3" l="1"/>
  <c r="B283" i="106" s="1"/>
  <c r="D283" i="106" s="1"/>
  <c r="D69" i="36"/>
  <c r="K184" i="29"/>
  <c r="F13" i="4" s="1"/>
  <c r="B2596" i="106" s="1"/>
  <c r="D2596" i="106" s="1"/>
  <c r="B4087" i="106"/>
  <c r="D4087" i="106" s="1"/>
  <c r="F106" i="34"/>
  <c r="F128" i="34"/>
  <c r="J22" i="37"/>
  <c r="B4412" i="106"/>
  <c r="D4412" i="106" s="1"/>
  <c r="K173" i="5"/>
  <c r="K6" i="4" s="1"/>
  <c r="B3570" i="106" s="1"/>
  <c r="D3570" i="106" s="1"/>
  <c r="G172" i="5"/>
  <c r="F172" i="5"/>
  <c r="B5644" i="106" s="1"/>
  <c r="D5644" i="106" s="1"/>
  <c r="L367" i="29"/>
  <c r="D37" i="108"/>
  <c r="E28" i="108"/>
  <c r="D7245" i="106"/>
  <c r="B3668" i="106"/>
  <c r="D3668" i="106" s="1"/>
  <c r="K350" i="29"/>
  <c r="B3670" i="106" s="1"/>
  <c r="D3670" i="106" s="1"/>
  <c r="B3454" i="106"/>
  <c r="D3454" i="106" s="1"/>
  <c r="L15" i="11"/>
  <c r="B3459" i="106" s="1"/>
  <c r="D3459" i="106" s="1"/>
  <c r="B3254" i="106"/>
  <c r="D3254" i="106" s="1"/>
  <c r="F77" i="4"/>
  <c r="B3255" i="106" s="1"/>
  <c r="D3255" i="106" s="1"/>
  <c r="F130" i="34"/>
  <c r="F36" i="34"/>
  <c r="G39" i="108"/>
  <c r="I24" i="12"/>
  <c r="F37" i="108"/>
  <c r="B1746" i="106"/>
  <c r="D1746" i="106" s="1"/>
  <c r="H173" i="5"/>
  <c r="D13" i="7"/>
  <c r="B3726" i="106" s="1"/>
  <c r="D3726" i="106" s="1"/>
  <c r="D22" i="37"/>
  <c r="D5" i="4"/>
  <c r="B3406" i="106" s="1"/>
  <c r="D3406" i="106" s="1"/>
  <c r="J274" i="5"/>
  <c r="B7054" i="106" s="1"/>
  <c r="D7054" i="106" s="1"/>
  <c r="F66" i="34"/>
  <c r="G38" i="108"/>
  <c r="J41" i="3"/>
  <c r="B3647" i="106"/>
  <c r="D3647" i="106" s="1"/>
  <c r="G352" i="29"/>
  <c r="B2054" i="106"/>
  <c r="D2054" i="106" s="1"/>
  <c r="L13" i="11"/>
  <c r="B2060" i="106" s="1"/>
  <c r="D2060" i="106" s="1"/>
  <c r="D6103" i="106"/>
  <c r="B3621" i="106"/>
  <c r="D3621" i="106" s="1"/>
  <c r="C367" i="29"/>
  <c r="K285" i="29"/>
  <c r="K26" i="12"/>
  <c r="B7743" i="106" s="1"/>
  <c r="D7743" i="106" s="1"/>
  <c r="F19" i="7"/>
  <c r="B1807" i="106" s="1"/>
  <c r="D1807" i="106" s="1"/>
  <c r="B3649" i="106"/>
  <c r="D3649" i="106" s="1"/>
  <c r="G367" i="29"/>
  <c r="K352" i="29"/>
  <c r="K13" i="4" s="1"/>
  <c r="B3572" i="106" s="1"/>
  <c r="D3572" i="106" s="1"/>
  <c r="L342" i="29"/>
  <c r="C342" i="29"/>
  <c r="B7216" i="106" s="1"/>
  <c r="D7216" i="106" s="1"/>
  <c r="L312" i="29"/>
  <c r="B1410" i="106"/>
  <c r="D1410" i="106" s="1"/>
  <c r="G29" i="108"/>
  <c r="E29" i="108"/>
  <c r="F65" i="34"/>
  <c r="B1329" i="106"/>
  <c r="D1329" i="106" s="1"/>
  <c r="F61" i="34"/>
  <c r="F28" i="108"/>
  <c r="B6995" i="106"/>
  <c r="D6995" i="106" s="1"/>
  <c r="G30" i="108"/>
  <c r="F27" i="108"/>
  <c r="F26" i="108"/>
  <c r="B1126" i="106"/>
  <c r="D1126" i="106" s="1"/>
  <c r="D26" i="108"/>
  <c r="D41" i="108" s="1"/>
  <c r="E43" i="108" s="1"/>
  <c r="B1124" i="106"/>
  <c r="D1124" i="106" s="1"/>
  <c r="F111" i="34"/>
  <c r="C172" i="5"/>
  <c r="H4" i="4"/>
  <c r="B2655" i="106" s="1"/>
  <c r="D2655" i="106" s="1"/>
  <c r="E109" i="5"/>
  <c r="E4" i="4" s="1"/>
  <c r="B2630" i="106" s="1"/>
  <c r="D2630" i="106" s="1"/>
  <c r="D109" i="5"/>
  <c r="B5356" i="106" s="1"/>
  <c r="D5356" i="106" s="1"/>
  <c r="C109" i="5"/>
  <c r="B5121" i="106" s="1"/>
  <c r="D5121" i="106" s="1"/>
  <c r="G109" i="5"/>
  <c r="B6024" i="106" s="1"/>
  <c r="D6024" i="106" s="1"/>
  <c r="D11" i="7"/>
  <c r="B1768" i="106" s="1"/>
  <c r="D1768" i="106" s="1"/>
  <c r="D7" i="7"/>
  <c r="B1763" i="106" s="1"/>
  <c r="D1763" i="106" s="1"/>
  <c r="D54" i="36"/>
  <c r="D52" i="36"/>
  <c r="H29" i="118"/>
  <c r="K28" i="118" s="1"/>
  <c r="O27" i="118" s="1"/>
  <c r="O29" i="118" s="1"/>
  <c r="D11" i="37"/>
  <c r="B4268" i="106"/>
  <c r="D42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B2657" i="106"/>
  <c r="D2657" i="106" s="1"/>
  <c r="D274" i="5"/>
  <c r="B3447" i="106"/>
  <c r="D3447" i="106" s="1"/>
  <c r="B7270" i="106"/>
  <c r="N23" i="3" l="1"/>
  <c r="B284" i="106" s="1"/>
  <c r="D284" i="106" s="1"/>
  <c r="D7253" i="106"/>
  <c r="F274" i="5"/>
  <c r="F275" i="5" s="1"/>
  <c r="B5720" i="106" s="1"/>
  <c r="D5720" i="106" s="1"/>
  <c r="B6014" i="106"/>
  <c r="D6014" i="106" s="1"/>
  <c r="B1996" i="106"/>
  <c r="D1996" i="106" s="1"/>
  <c r="I26" i="12"/>
  <c r="B7741" i="106" s="1"/>
  <c r="D7741" i="106" s="1"/>
  <c r="H367" i="29"/>
  <c r="B3660" i="106" s="1"/>
  <c r="D3660" i="106" s="1"/>
  <c r="G173" i="5"/>
  <c r="B5770" i="106"/>
  <c r="D5770" i="106" s="1"/>
  <c r="B5906" i="106"/>
  <c r="D5906" i="106" s="1"/>
  <c r="H6" i="4"/>
  <c r="B2656" i="106" s="1"/>
  <c r="D2656" i="106" s="1"/>
  <c r="J7" i="4"/>
  <c r="B1328" i="106"/>
  <c r="D1328" i="106" s="1"/>
  <c r="D7255" i="106"/>
  <c r="D7252" i="106"/>
  <c r="F73" i="34"/>
  <c r="G15" i="4"/>
  <c r="B6032" i="106" s="1"/>
  <c r="D6032" i="106" s="1"/>
  <c r="D7256" i="106"/>
  <c r="D7251" i="106"/>
  <c r="L16" i="11"/>
  <c r="B2061" i="106" s="1"/>
  <c r="D2061" i="106" s="1"/>
  <c r="K367" i="29"/>
  <c r="B3672" i="106"/>
  <c r="D3672" i="106" s="1"/>
  <c r="K342" i="29"/>
  <c r="F13" i="34" s="1"/>
  <c r="F41" i="108"/>
  <c r="G43" i="108" s="1"/>
  <c r="C114" i="29"/>
  <c r="B757" i="106" s="1"/>
  <c r="D757" i="106" s="1"/>
  <c r="B5214" i="106"/>
  <c r="D5214" i="106" s="1"/>
  <c r="C173" i="5"/>
  <c r="B5527" i="106"/>
  <c r="D5527" i="106" s="1"/>
  <c r="G4" i="4"/>
  <c r="B2603" i="106" s="1"/>
  <c r="D2603" i="106" s="1"/>
  <c r="D4" i="4"/>
  <c r="B2564" i="106" s="1"/>
  <c r="D2564"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J8" i="4"/>
  <c r="D7" i="4"/>
  <c r="D275" i="5"/>
  <c r="B5507" i="106"/>
  <c r="D5507" i="106" s="1"/>
  <c r="B7298" i="106"/>
  <c r="B7299" i="106"/>
  <c r="F7" i="4" l="1"/>
  <c r="B2594" i="106" s="1"/>
  <c r="D2594" i="106" s="1"/>
  <c r="B5719" i="106"/>
  <c r="D5719" i="106" s="1"/>
  <c r="B5778" i="106"/>
  <c r="D5778" i="106" s="1"/>
  <c r="G6" i="4"/>
  <c r="B2604" i="106" s="1"/>
  <c r="D2604" i="106" s="1"/>
  <c r="H8" i="4"/>
  <c r="J17" i="4"/>
  <c r="B6227" i="106" s="1"/>
  <c r="D6227" i="106" s="1"/>
  <c r="E41" i="108"/>
  <c r="E44" i="108" s="1"/>
  <c r="E45" i="108" s="1"/>
  <c r="G41" i="108"/>
  <c r="G44" i="108" s="1"/>
  <c r="G45" i="108" s="1"/>
  <c r="B5223" i="106"/>
  <c r="D5223" i="106" s="1"/>
  <c r="C6" i="4"/>
  <c r="B2553" i="106" s="1"/>
  <c r="D2553" i="106"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H10" i="4" l="1"/>
  <c r="B4127" i="106" s="1"/>
  <c r="D4127" i="106" s="1"/>
  <c r="B2658" i="106"/>
  <c r="D2658" i="106" s="1"/>
  <c r="J20" i="4"/>
  <c r="J78" i="4" s="1"/>
  <c r="F76" i="34"/>
  <c r="D10" i="171"/>
  <c r="D19" i="171" s="1"/>
  <c r="D32" i="171" s="1"/>
  <c r="D49" i="171" s="1"/>
  <c r="F10" i="4"/>
  <c r="B4125" i="106" s="1"/>
  <c r="D4125"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<sst xmlns="http://schemas.openxmlformats.org/spreadsheetml/2006/main" count="5098" uniqueCount="2142">
  <si>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</si>
  <si>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</si>
  <si>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</si>
  <si>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</si>
  <si>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</si>
  <si>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</si>
  <si>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</si>
  <si>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</si>
  <si>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</si>
  <si>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</si>
  <si>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</si>
  <si>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</si>
  <si>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</si>
  <si>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</si>
  <si>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</si>
  <si>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</si>
  <si>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</si>
  <si>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</si>
  <si>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</si>
  <si>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</si>
  <si>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</si>
  <si>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</si>
  <si>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</si>
  <si>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</si>
  <si>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</si>
  <si>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</si>
  <si>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</si>
  <si>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</si>
  <si>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</si>
  <si>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</si>
  <si>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</si>
  <si>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</si>
  <si>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</si>
  <si>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</si>
  <si>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</si>
  <si>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</si>
  <si>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</si>
  <si>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</si>
  <si>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</si>
  <si>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</si>
  <si>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</si>
  <si>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</si>
  <si>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</si>
  <si>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</si>
  <si>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</si>
  <si>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</si>
  <si>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</si>
  <si>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</si>
  <si>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</si>
  <si>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</si>
  <si>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</si>
  <si>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</si>
  <si>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</si>
  <si>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</si>
  <si>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</si>
  <si>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</si>
  <si>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</si>
  <si>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</si>
  <si>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</si>
  <si>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</si>
  <si>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</si>
  <si>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</si>
  <si>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</si>
  <si>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</si>
  <si>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</si>
  <si>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</si>
  <si>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</si>
  <si>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</si>
  <si>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</si>
  <si>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</si>
  <si>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</si>
  <si>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</si>
  <si>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</si>
  <si>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</si>
  <si>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</si>
  <si>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</si>
  <si>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</si>
  <si>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</si>
  <si>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</si>
  <si>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</si>
  <si>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</si>
  <si>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</si>
  <si>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</si>
  <si>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</si>
  <si>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</si>
  <si>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</si>
  <si>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</si>
  <si>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</si>
  <si>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</si>
  <si>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</si>
  <si>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</si>
  <si>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</si>
  <si>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</si>
  <si>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</si>
  <si>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</si>
  <si>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</si>
  <si>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</si>
  <si>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</si>
  <si>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</si>
  <si>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</si>
  <si>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</si>
  <si>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</si>
  <si>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</si>
  <si>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</si>
  <si>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</si>
  <si>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</si>
  <si>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</si>
  <si>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</si>
  <si>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</si>
  <si>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</si>
  <si>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</si>
  <si>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</si>
  <si>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</si>
  <si>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</si>
  <si>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</si>
  <si>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</si>
  <si>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</si>
  <si>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</si>
  <si>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</si>
  <si>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</si>
  <si>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</si>
  <si>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</si>
  <si>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</si>
  <si>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</si>
  <si>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</si>
  <si>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</si>
  <si>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</si>
  <si>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</si>
  <si>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</si>
  <si>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</si>
  <si>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</si>
  <si>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</si>
  <si>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</si>
  <si>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</si>
  <si>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</si>
  <si>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</si>
  <si>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</si>
  <si>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</si>
  <si>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</si>
  <si>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</si>
  <si>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</si>
  <si>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</si>
  <si>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</si>
  <si>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</si>
  <si>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</si>
  <si>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</si>
  <si>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</si>
  <si>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</si>
  <si>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</si>
  <si>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</si>
  <si>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</si>
  <si>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</si>
  <si>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</si>
  <si>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</si>
  <si>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</si>
  <si>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</si>
  <si>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</si>
  <si>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</si>
  <si>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</si>
  <si>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</si>
  <si>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</si>
  <si>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</si>
  <si>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</si>
  <si>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</si>
  <si>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</si>
  <si>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</si>
  <si>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</si>
  <si>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</si>
  <si>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</si>
  <si>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</si>
  <si>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</si>
  <si>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</si>
  <si>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</si>
  <si>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</si>
  <si>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</si>
  <si>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</si>
  <si>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</si>
  <si>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</si>
  <si>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</si>
  <si>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</si>
  <si>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</si>
  <si>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</si>
  <si>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</si>
  <si>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</si>
  <si>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</si>
  <si>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</si>
  <si>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</si>
  <si>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</si>
  <si>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</si>
  <si>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</si>
  <si>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</si>
  <si>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</si>
  <si>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</si>
  <si>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</si>
  <si>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</si>
  <si>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</si>
  <si>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</si>
  <si>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</si>
  <si>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</si>
  <si>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</si>
  <si>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</si>
  <si>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</si>
  <si>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</si>
  <si>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</si>
  <si>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</si>
  <si>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</si>
  <si>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</si>
  <si>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</si>
  <si>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</si>
  <si>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</si>
  <si>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</si>
  <si>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</si>
  <si>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</si>
  <si>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</si>
  <si>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</si>
  <si>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</si>
  <si>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</si>
  <si>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</si>
  <si>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</si>
  <si>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</si>
  <si>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</si>
  <si>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</si>
  <si>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</si>
  <si>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</si>
  <si>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</si>
  <si>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</si>
  <si>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</si>
  <si>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</si>
  <si>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</si>
  <si>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</si>
  <si>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</si>
  <si>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</si>
  <si>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</si>
  <si>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</si>
  <si>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</si>
  <si>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</si>
  <si>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</si>
  <si>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</si>
  <si>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</si>
  <si>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</si>
  <si>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</si>
  <si>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</si>
  <si>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</si>
  <si>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</si>
  <si>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</si>
  <si>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</si>
  <si>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</si>
  <si>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</si>
  <si>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</si>
  <si>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</si>
  <si>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</si>
  <si>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</si>
  <si>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</si>
  <si>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</si>
  <si>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</si>
  <si>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</si>
  <si>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</si>
  <si>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</si>
  <si>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</si>
  <si>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</si>
  <si>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</si>
  <si>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</si>
  <si>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</si>
  <si>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</si>
  <si>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</si>
  <si>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</si>
  <si>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</si>
  <si>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</si>
  <si>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</si>
  <si>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</si>
  <si>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</si>
  <si>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</si>
  <si>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</si>
  <si>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</si>
  <si>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</si>
  <si>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</si>
  <si>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</si>
  <si>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</si>
  <si>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</si>
  <si>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</si>
  <si>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</si>
  <si>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</si>
  <si>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</si>
  <si>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</si>
  <si>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</si>
  <si>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</si>
  <si>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</si>
  <si>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</si>
  <si>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</si>
  <si>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</si>
  <si>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</si>
  <si>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</si>
  <si>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</si>
  <si>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</si>
  <si>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</si>
  <si>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</si>
  <si>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</si>
  <si>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</si>
  <si>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</si>
  <si>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</si>
  <si>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</si>
  <si>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</si>
  <si>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</si>
  <si>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</si>
  <si>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</si>
  <si>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</si>
  <si>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</si>
  <si>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</si>
  <si>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</si>
  <si>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</si>
  <si>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</si>
  <si>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</si>
  <si>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</si>
  <si>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</si>
  <si>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</si>
  <si>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</si>
  <si>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</si>
  <si>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</si>
  <si>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</si>
  <si>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</si>
  <si>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</si>
  <si>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</si>
  <si>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</si>
  <si>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</si>
  <si>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</si>
  <si>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</si>
  <si>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</si>
  <si>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</si>
  <si>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</si>
  <si>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</si>
  <si>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</si>
  <si>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</si>
  <si>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</si>
  <si>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</si>
  <si>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</si>
  <si>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</si>
  <si>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</si>
  <si>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</si>
  <si>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</si>
  <si>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</si>
  <si>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</si>
  <si>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</si>
  <si>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</si>
  <si>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</si>
  <si>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</si>
  <si>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</si>
  <si>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</si>
  <si>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</si>
  <si>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</si>
  <si>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</si>
  <si>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</si>
  <si>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</si>
  <si>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</si>
  <si>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</si>
  <si>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</si>
  <si>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</si>
  <si>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</si>
  <si>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</si>
  <si>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</si>
  <si>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</si>
  <si>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</si>
  <si>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</si>
  <si>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</si>
  <si>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</si>
  <si>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</si>
  <si>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</si>
  <si>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</si>
  <si>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</si>
  <si>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</si>
  <si>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</si>
  <si>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</si>
  <si>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</si>
  <si>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</si>
  <si>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</si>
  <si>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</si>
  <si>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</si>
  <si>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</si>
  <si>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</si>
  <si>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</si>
  <si>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</si>
  <si>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</si>
  <si>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</si>
  <si>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</si>
  <si>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</si>
  <si>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</si>
  <si>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</si>
  <si>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</si>
  <si>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</si>
  <si>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</si>
  <si>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</si>
  <si>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</si>
  <si>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</si>
  <si>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</si>
  <si>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</si>
  <si>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</si>
  <si>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</si>
  <si>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</si>
  <si>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</si>
  <si>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</si>
  <si>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</si>
  <si>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</si>
  <si>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</si>
  <si>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</si>
  <si>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</si>
  <si>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</si>
  <si>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</si>
  <si>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</si>
  <si>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</si>
  <si>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</si>
  <si>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</si>
  <si>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</si>
  <si>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</si>
  <si>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</si>
  <si>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</si>
  <si>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</si>
  <si>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</si>
  <si>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</si>
  <si>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</si>
  <si>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</si>
  <si>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</si>
  <si>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</si>
  <si>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</si>
  <si>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</si>
  <si>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</si>
  <si>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</si>
  <si>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</si>
  <si>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</si>
  <si>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</si>
  <si>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</si>
  <si>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</si>
  <si>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</si>
  <si>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</si>
  <si>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</si>
  <si>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</si>
  <si>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</si>
  <si>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</si>
  <si>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</si>
  <si>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</si>
  <si>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</si>
  <si>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</si>
  <si>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</si>
  <si>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</si>
  <si>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</si>
  <si>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</si>
  <si>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</si>
  <si>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</si>
  <si>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</si>
  <si>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</si>
  <si>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</si>
  <si>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</si>
  <si>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</si>
  <si>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</si>
  <si>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</si>
  <si>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</si>
  <si>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</si>
  <si>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</si>
  <si>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</si>
  <si>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</si>
  <si>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</si>
  <si>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</si>
  <si>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</si>
  <si>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</si>
  <si>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</si>
  <si>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</si>
  <si>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</si>
  <si>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</si>
  <si>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</si>
  <si>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</si>
  <si>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</si>
  <si>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</si>
  <si>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</si>
  <si>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</si>
  <si>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</si>
  <si>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</si>
  <si>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</si>
  <si>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</si>
  <si>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</si>
  <si>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</si>
  <si>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</si>
  <si>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</si>
  <si>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</si>
  <si>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</si>
  <si>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</si>
  <si>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</si>
  <si>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</si>
  <si>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</si>
  <si>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</si>
  <si>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</si>
  <si>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</si>
  <si>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</si>
  <si>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</si>
  <si>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</si>
  <si>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</si>
  <si>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</si>
  <si>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</si>
  <si>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</si>
  <si>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</si>
  <si>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</si>
  <si>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</si>
  <si>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</si>
  <si>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</si>
  <si>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</si>
  <si>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</si>
  <si>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</si>
  <si>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</si>
  <si>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</si>
  <si>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</si>
  <si>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</si>
  <si>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</si>
  <si>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</si>
  <si>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</si>
  <si>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</si>
  <si>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</si>
  <si>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</si>
  <si>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</si>
  <si>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</si>
  <si>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</si>
  <si>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</si>
  <si>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</si>
  <si>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</si>
  <si>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</si>
  <si>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</si>
  <si>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</si>
  <si>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</si>
  <si>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</si>
  <si>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</si>
  <si>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</si>
  <si>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</si>
  <si>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</si>
  <si>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</si>
  <si>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</si>
  <si>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</si>
  <si>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</si>
  <si>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</si>
  <si>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</si>
  <si>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</si>
  <si>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</si>
  <si>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</si>
  <si>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</si>
  <si>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</si>
  <si>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</si>
  <si>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</si>
  <si>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</si>
  <si>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</si>
  <si>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</si>
  <si>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</si>
  <si>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</si>
  <si>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</si>
  <si>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</si>
  <si>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</si>
  <si>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</si>
  <si>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</si>
  <si>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</si>
  <si>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</si>
  <si>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</si>
  <si>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</si>
  <si>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</si>
  <si>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</si>
  <si>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</si>
  <si>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</si>
  <si>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</si>
  <si>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</si>
  <si>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</si>
  <si>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</si>
  <si>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</si>
  <si>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</si>
  <si>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</si>
  <si>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</si>
  <si>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</si>
  <si>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</si>
  <si>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</si>
  <si>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</si>
  <si>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</si>
  <si>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</si>
  <si>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</si>
  <si>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</si>
  <si>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</si>
  <si>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</si>
  <si>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</si>
  <si>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</si>
  <si>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</si>
  <si>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</si>
  <si>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</si>
  <si>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</si>
  <si>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</si>
  <si>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</si>
  <si>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</si>
  <si>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</si>
  <si>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</si>
  <si>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</si>
  <si>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</si>
  <si>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</si>
  <si>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</si>
  <si>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</si>
  <si>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</si>
  <si>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</si>
  <si>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</si>
  <si>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</si>
  <si>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</si>
  <si>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</si>
  <si>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</si>
  <si>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</si>
  <si>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</si>
  <si>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</si>
  <si>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</si>
  <si>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</si>
  <si>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</si>
  <si>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</si>
  <si>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</si>
  <si>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</si>
  <si>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</si>
  <si>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</si>
  <si>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</si>
  <si>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</si>
  <si>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</si>
  <si>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</si>
  <si>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</si>
  <si>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</si>
  <si>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</si>
  <si>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</si>
  <si>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</si>
  <si>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</si>
  <si>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</si>
  <si>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</si>
  <si>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</si>
  <si>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</si>
  <si>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</si>
  <si>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</si>
  <si>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</si>
  <si>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</si>
  <si>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</si>
  <si>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</si>
  <si>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</si>
  <si>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</si>
  <si>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</si>
  <si>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</si>
  <si>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</si>
  <si>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</si>
  <si>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</si>
  <si>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</si>
  <si>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</si>
  <si>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</si>
  <si>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</si>
  <si>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</si>
  <si>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</si>
  <si>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</si>
  <si>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</si>
  <si>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</si>
  <si>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</si>
  <si>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</si>
  <si>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</si>
  <si>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</si>
  <si>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</si>
  <si>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</si>
  <si>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</si>
  <si>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</si>
  <si>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</si>
  <si>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</si>
  <si>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</si>
  <si>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</si>
  <si>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</si>
  <si>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</si>
  <si>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</si>
  <si>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</si>
  <si>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</si>
  <si>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</si>
  <si>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</si>
  <si>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</si>
  <si>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</si>
  <si>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</si>
  <si>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</si>
  <si>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</si>
  <si>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</si>
  <si>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</si>
  <si>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</si>
  <si>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</si>
  <si>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</si>
  <si>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</si>
  <si>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</si>
  <si>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</si>
  <si>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</si>
  <si>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</si>
  <si>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</si>
  <si>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</si>
  <si>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</si>
  <si>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</si>
  <si>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</si>
  <si>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</si>
  <si>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</si>
  <si>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</si>
  <si>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</si>
  <si>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</si>
  <si>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</si>
  <si>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</si>
  <si>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</si>
  <si>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</si>
  <si>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</si>
  <si>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</si>
  <si>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</si>
  <si>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</si>
  <si>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</si>
  <si>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</si>
  <si>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</si>
  <si>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</si>
  <si>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</si>
  <si>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</si>
  <si>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</si>
  <si>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</si>
  <si>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</si>
  <si>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</si>
  <si>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</si>
  <si>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</si>
  <si>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</si>
  <si>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</si>
  <si>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</si>
  <si>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</si>
  <si>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</si>
  <si>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</si>
  <si>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</si>
  <si>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</si>
  <si>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</si>
  <si>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</si>
  <si>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</si>
  <si>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</si>
  <si>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</si>
  <si>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</si>
  <si>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</si>
  <si>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</si>
  <si>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</si>
  <si>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</si>
  <si>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</si>
  <si>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</si>
  <si>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</si>
  <si>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</si>
  <si>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</si>
  <si>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</si>
  <si>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</si>
  <si>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</si>
  <si>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</si>
  <si>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</si>
  <si>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</si>
  <si>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</si>
  <si>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</si>
  <si>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</si>
  <si>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</si>
  <si>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</si>
  <si>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</si>
  <si>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</si>
  <si>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</si>
  <si>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</si>
  <si>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</si>
  <si>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</si>
  <si>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</si>
  <si>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</si>
  <si>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</si>
  <si>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</si>
  <si>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</si>
  <si>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</si>
  <si>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</si>
  <si>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</si>
  <si>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</si>
  <si>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</si>
  <si>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</si>
  <si>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</si>
  <si>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</si>
  <si>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</si>
  <si>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</si>
  <si>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</si>
  <si>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</si>
  <si>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</si>
  <si>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</si>
  <si>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</si>
  <si>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</si>
  <si>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</si>
  <si>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</si>
  <si>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</si>
  <si>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</si>
  <si>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</si>
  <si>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</si>
  <si>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</si>
  <si>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</si>
  <si>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</si>
  <si>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</si>
  <si>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</si>
  <si>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</si>
  <si>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</si>
  <si>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</si>
  <si>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</si>
  <si>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</si>
  <si>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</si>
  <si>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</si>
  <si>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</si>
  <si>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</si>
  <si>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</si>
  <si>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</si>
  <si>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</si>
  <si>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</si>
  <si>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</si>
  <si>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</si>
  <si>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</si>
  <si>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</si>
  <si>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</si>
  <si>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</si>
  <si>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</si>
  <si>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</si>
  <si>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</si>
  <si>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</si>
  <si>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</si>
  <si>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</si>
  <si>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</si>
  <si>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</si>
  <si>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</si>
  <si>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</si>
  <si>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</si>
  <si>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</si>
  <si>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</si>
  <si>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</si>
  <si>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</si>
  <si>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</si>
  <si>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</si>
  <si>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</si>
  <si>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</si>
  <si>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</si>
  <si>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</si>
  <si>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</si>
  <si>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</si>
  <si>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</si>
  <si>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</si>
  <si>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</si>
  <si>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</si>
  <si>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</si>
  <si>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</si>
  <si>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</si>
  <si>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</si>
  <si>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</si>
  <si>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</si>
  <si>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</si>
  <si>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</si>
  <si>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</si>
  <si>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</si>
  <si>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</si>
  <si>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</si>
  <si>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</si>
  <si>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</si>
  <si>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</si>
  <si>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</si>
  <si>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</si>
  <si>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</si>
  <si>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</si>
  <si>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</si>
  <si>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</si>
  <si>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</si>
  <si>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</si>
  <si>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</si>
  <si>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</si>
  <si>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</si>
  <si>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</si>
  <si>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</si>
  <si>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</si>
  <si>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</si>
  <si>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</si>
  <si>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</si>
  <si>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</si>
  <si>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</si>
  <si>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</si>
  <si>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</si>
  <si>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</si>
  <si>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</si>
  <si>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</si>
  <si>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</si>
  <si>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</si>
  <si>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</si>
  <si>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</si>
  <si>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</si>
  <si>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</si>
  <si>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</si>
  <si>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</si>
  <si>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</si>
  <si>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</si>
  <si>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</si>
  <si>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</si>
  <si>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</si>
  <si>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</si>
  <si>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</si>
  <si>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</si>
  <si>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</si>
  <si>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</si>
  <si>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</si>
  <si>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</si>
  <si>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</si>
  <si>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</si>
  <si>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</si>
  <si>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</si>
  <si>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</si>
  <si>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</si>
  <si>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</si>
  <si>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</si>
  <si>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</si>
  <si>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</si>
  <si>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</si>
  <si>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</si>
  <si>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</si>
  <si>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</si>
  <si>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</si>
  <si>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</si>
  <si>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</si>
  <si>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</si>
  <si>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</si>
  <si>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</si>
  <si>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</si>
  <si>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</si>
  <si>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</si>
  <si>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</si>
  <si>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</si>
  <si>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</si>
  <si>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</si>
  <si>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</si>
  <si>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</si>
  <si>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</si>
  <si>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</si>
  <si>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</si>
  <si>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</si>
  <si>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</si>
  <si>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</si>
  <si>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</si>
  <si>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</si>
  <si>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</si>
  <si>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</si>
  <si>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</si>
  <si>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</si>
  <si>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</si>
  <si>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</si>
  <si>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</si>
  <si>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</si>
  <si>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</si>
  <si>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</si>
  <si>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</si>
  <si>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</si>
  <si>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</si>
  <si>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</si>
  <si>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</si>
  <si>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</si>
  <si>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</si>
  <si>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</si>
  <si>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</si>
  <si>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</si>
  <si>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</si>
  <si>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</si>
  <si>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</si>
  <si>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</si>
  <si>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</si>
  <si>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</si>
  <si>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</si>
  <si>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</si>
  <si>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</si>
  <si>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</si>
  <si>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</si>
  <si>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</si>
  <si>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</si>
  <si>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</si>
  <si>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</si>
  <si>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</si>
  <si>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</si>
  <si>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</si>
  <si>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</si>
  <si>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</si>
  <si>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</si>
  <si>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</si>
  <si>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</si>
  <si>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</si>
  <si>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</si>
  <si>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</si>
  <si>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</si>
  <si>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</si>
  <si>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</si>
  <si>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</si>
  <si>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</si>
  <si>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</si>
  <si>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</si>
  <si>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</si>
  <si>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</si>
  <si>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</si>
  <si>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</si>
  <si>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</si>
  <si>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</si>
  <si>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</si>
  <si>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</si>
  <si>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</si>
  <si>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</si>
  <si>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</si>
  <si>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</si>
  <si>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</si>
  <si>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</si>
  <si>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</si>
  <si>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</si>
  <si>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</si>
  <si>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</si>
  <si>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</si>
  <si>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</si>
  <si>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</si>
  <si>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</si>
  <si>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</si>
  <si>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</si>
  <si>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</si>
  <si>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</si>
  <si>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</si>
  <si>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</si>
  <si>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</si>
  <si>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</si>
  <si>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</si>
  <si>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</si>
  <si>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</si>
  <si>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</si>
  <si>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</si>
  <si>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</si>
  <si>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</si>
  <si>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</si>
  <si>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</si>
  <si>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</si>
  <si>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</si>
  <si>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</si>
  <si>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</si>
  <si>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</si>
  <si>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</si>
  <si>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</si>
  <si>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</si>
  <si>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</si>
  <si>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</si>
  <si>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</si>
  <si>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</si>
  <si>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</si>
  <si>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</si>
  <si>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</si>
  <si>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</si>
  <si>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</si>
  <si>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</si>
  <si>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</si>
  <si>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</si>
  <si>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</si>
  <si>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</si>
  <si>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</si>
  <si>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</si>
  <si>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</si>
  <si>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</si>
  <si>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</si>
  <si>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</si>
  <si>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</si>
  <si>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</si>
  <si>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</si>
  <si>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</si>
  <si>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</si>
  <si>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</si>
  <si>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</si>
  <si>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</si>
  <si>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</si>
  <si>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</si>
  <si>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</si>
  <si>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</si>
  <si>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</si>
  <si>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</si>
  <si>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</si>
  <si>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</si>
  <si>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</si>
  <si>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</si>
  <si>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</si>
  <si>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</si>
  <si>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</si>
  <si>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</si>
  <si>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</si>
  <si>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</si>
  <si>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</si>
  <si>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</si>
  <si>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</si>
  <si>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</si>
  <si>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</si>
  <si>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</si>
  <si>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</si>
  <si>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</si>
  <si>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</si>
  <si>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</si>
  <si>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</si>
  <si>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</si>
  <si>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</si>
  <si>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</si>
  <si>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</si>
  <si>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</si>
  <si>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</si>
  <si>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</si>
  <si>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</si>
  <si>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</si>
  <si>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</si>
  <si>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</si>
  <si>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</si>
  <si>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</si>
  <si>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</si>
  <si>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</si>
  <si>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</si>
  <si>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</si>
  <si>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</si>
  <si>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</si>
  <si>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</si>
  <si>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</si>
  <si>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</si>
  <si>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</si>
  <si>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</si>
  <si>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</si>
  <si>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</si>
  <si>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</si>
  <si>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</si>
  <si>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</si>
  <si>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</si>
  <si>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</si>
  <si>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</si>
  <si>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</si>
  <si>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</si>
  <si>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</si>
  <si>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</si>
  <si>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</si>
  <si>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</si>
  <si>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</si>
  <si>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</si>
  <si>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</si>
  <si>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</si>
  <si>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</si>
  <si>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</si>
  <si>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</si>
  <si>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</si>
  <si>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</si>
  <si>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</si>
  <si>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</si>
  <si>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</si>
  <si>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</si>
  <si>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</si>
  <si>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</si>
  <si>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</si>
  <si>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</si>
  <si>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</si>
  <si>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</si>
  <si>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</si>
  <si>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</si>
  <si>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</si>
  <si>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</si>
  <si>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</si>
  <si>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</si>
  <si>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</si>
  <si>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</si>
  <si>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</si>
  <si>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</si>
  <si>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</si>
  <si>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</si>
  <si>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</si>
  <si>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</si>
  <si>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</si>
  <si>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</si>
  <si>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</si>
  <si>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</si>
  <si>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</si>
  <si>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</si>
  <si>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</si>
  <si>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</si>
  <si>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</si>
  <si>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</si>
  <si>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</si>
  <si>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</si>
  <si>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</si>
  <si>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</si>
  <si>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</si>
  <si>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</si>
  <si>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</si>
  <si>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</si>
  <si>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</si>
  <si>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</si>
  <si>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</si>
  <si>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</si>
  <si>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</si>
  <si>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</si>
  <si>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</si>
  <si>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</si>
  <si>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</si>
  <si>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</si>
  <si>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</si>
  <si>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</si>
  <si>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</si>
  <si>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</si>
  <si>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</si>
  <si>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</si>
  <si>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</si>
  <si>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</si>
  <si>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</si>
  <si>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</si>
  <si>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</si>
  <si>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</si>
  <si>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</si>
  <si>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</si>
  <si>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</si>
  <si>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</si>
  <si>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</si>
  <si>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</si>
  <si>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</si>
  <si>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</si>
  <si>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</si>
  <si>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</si>
  <si>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</si>
  <si>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</si>
  <si>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</si>
  <si>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</si>
  <si>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</si>
  <si>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</si>
  <si>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</si>
  <si>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</si>
  <si>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</si>
  <si>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</si>
  <si>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</si>
  <si>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</si>
  <si>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</si>
  <si>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</si>
  <si>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</si>
  <si>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</si>
  <si>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</si>
  <si>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</si>
  <si>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</si>
  <si>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</si>
  <si>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</si>
  <si>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</si>
  <si>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</si>
  <si>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</si>
  <si>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</si>
  <si>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</si>
  <si>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</si>
  <si>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</si>
  <si>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</si>
  <si>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</si>
  <si>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</si>
  <si>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</si>
  <si>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</si>
  <si>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</si>
  <si>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</si>
  <si>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</si>
  <si>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</si>
  <si>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</si>
  <si>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</si>
  <si>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</si>
  <si>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</si>
  <si>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</si>
  <si>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</si>
  <si>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</si>
  <si>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</si>
  <si>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</si>
  <si>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</si>
  <si>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</si>
  <si>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</si>
  <si>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</si>
  <si>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</si>
  <si>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</si>
  <si>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</si>
  <si>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</si>
  <si>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</si>
  <si>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</si>
  <si>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</si>
  <si>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</si>
  <si>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</si>
  <si>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</si>
  <si>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</si>
  <si>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</si>
  <si>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</si>
  <si>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</si>
  <si>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</si>
  <si>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</si>
  <si>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</si>
  <si>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</si>
  <si>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</si>
  <si>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</si>
  <si>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</si>
  <si>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</si>
  <si>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</si>
  <si>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</si>
  <si>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</si>
  <si>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</si>
  <si>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</si>
  <si>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</si>
  <si>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</si>
  <si>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</si>
  <si>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</si>
  <si>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</si>
  <si>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</si>
  <si>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</si>
  <si>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</si>
  <si>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</si>
  <si>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</si>
  <si>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</si>
  <si>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</si>
  <si>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</si>
  <si>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</si>
  <si>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</si>
  <si>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</si>
  <si>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</si>
  <si>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</si>
  <si>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</si>
  <si>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</si>
  <si>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</si>
  <si>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</si>
  <si>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</si>
  <si>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</si>
  <si>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</si>
  <si>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</si>
  <si>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</si>
  <si>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</si>
  <si>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</si>
  <si>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</si>
  <si>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</si>
  <si>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</si>
  <si>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</si>
  <si>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</si>
  <si>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</si>
  <si>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</si>
  <si>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</si>
  <si>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</si>
  <si>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</si>
  <si>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</si>
  <si>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</si>
  <si>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</si>
  <si>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</si>
  <si>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</si>
  <si>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</si>
  <si>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</si>
  <si>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</si>
  <si>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</si>
  <si>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</si>
  <si>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</si>
  <si>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</si>
  <si>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</si>
  <si>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</si>
  <si>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</si>
  <si>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</si>
  <si>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</si>
  <si>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</si>
  <si>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</si>
  <si>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</si>
  <si>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</si>
  <si>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</si>
  <si>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</si>
  <si>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</si>
  <si>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</si>
  <si>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</si>
  <si>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</si>
  <si>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</si>
  <si>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</si>
  <si>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</si>
  <si>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</si>
  <si>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</si>
  <si>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</si>
  <si>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</si>
  <si>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</si>
  <si>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</si>
  <si>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</si>
  <si>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</si>
  <si>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</si>
  <si>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</si>
  <si>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</si>
  <si>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</si>
  <si>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</si>
  <si>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</si>
  <si>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</si>
  <si>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</si>
  <si>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</si>
  <si>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</si>
  <si>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</si>
  <si>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</si>
  <si>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</si>
  <si>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</si>
  <si>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</si>
  <si>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</si>
  <si>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</si>
  <si>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</si>
  <si>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</si>
  <si>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</si>
  <si>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</si>
  <si>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</si>
  <si>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</si>
  <si>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</si>
  <si>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</si>
  <si>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</si>
  <si>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</si>
  <si>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</si>
  <si>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</si>
  <si>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</si>
  <si>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</si>
  <si>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</si>
  <si>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</si>
  <si>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</si>
  <si>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</si>
  <si>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</si>
  <si>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</si>
  <si>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</si>
  <si>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</si>
  <si>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</si>
  <si>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</si>
  <si>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</si>
  <si>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</si>
  <si>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</si>
  <si>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</si>
  <si>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</si>
  <si>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</si>
  <si>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</si>
  <si>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</si>
  <si>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</si>
  <si>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</si>
  <si>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</si>
  <si>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</si>
  <si>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</si>
  <si>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</si>
  <si>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</si>
  <si>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</si>
  <si>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</si>
  <si>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</si>
  <si>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</si>
  <si>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</si>
  <si>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</si>
  <si>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</si>
  <si>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</si>
  <si>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</si>
  <si>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</si>
  <si>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</si>
  <si>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</si>
  <si>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</si>
  <si>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</si>
  <si>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</si>
  <si>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</si>
  <si>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</si>
  <si>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</si>
  <si>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</si>
  <si>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</si>
  <si>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</si>
  <si>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</si>
  <si>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</si>
  <si>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</si>
  <si>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</si>
  <si>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</si>
  <si>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</si>
  <si>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</si>
  <si>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</si>
  <si>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</si>
  <si>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</si>
  <si>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</si>
  <si>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</si>
  <si>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</si>
  <si>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</si>
  <si>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</si>
  <si>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</si>
  <si>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</si>
  <si>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</si>
  <si>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</si>
  <si>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</si>
  <si>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</si>
  <si>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</si>
  <si>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</si>
  <si>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</si>
  <si>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</si>
  <si>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</si>
  <si>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</si>
  <si>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</si>
  <si>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</si>
  <si>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</si>
  <si>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</si>
  <si>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</si>
  <si>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</si>
  <si>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</si>
  <si>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</si>
  <si>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</si>
  <si>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</si>
  <si>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</si>
  <si>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</si>
  <si>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</si>
  <si>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</si>
  <si>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</si>
  <si>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</si>
  <si>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</si>
  <si>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</si>
  <si>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</si>
  <si>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</si>
  <si>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</si>
  <si>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</si>
  <si>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</si>
  <si>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</si>
  <si>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</si>
  <si>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</si>
  <si>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</si>
  <si>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</si>
  <si>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</si>
  <si>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</si>
  <si>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</si>
  <si>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</si>
  <si>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</si>
  <si>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</si>
  <si>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</si>
  <si>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</si>
  <si>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</si>
  <si>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</si>
  <si>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</si>
  <si>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</si>
  <si>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</si>
  <si>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</si>
  <si>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</si>
  <si>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</si>
  <si>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</si>
  <si>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</si>
  <si>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</si>
  <si>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</si>
  <si>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</si>
  <si>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</si>
  <si>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</si>
  <si>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</si>
  <si>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</si>
  <si>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</si>
  <si>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</si>
  <si>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</si>
  <si>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</si>
  <si>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</si>
  <si>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</si>
  <si>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</si>
  <si>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</si>
  <si>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</si>
  <si>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</si>
  <si>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</si>
  <si>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</si>
  <si>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</si>
  <si>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</si>
  <si>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</si>
  <si>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</si>
  <si>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</si>
  <si>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</si>
  <si>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</si>
  <si>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</si>
  <si>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</si>
  <si>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</si>
  <si>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</si>
  <si>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</si>
  <si>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</si>
  <si>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</si>
  <si>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</si>
  <si>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</si>
  <si>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</si>
  <si>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</si>
  <si>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</si>
  <si>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</si>
  <si>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</si>
  <si>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</si>
  <si>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</si>
  <si>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</si>
  <si>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</si>
  <si>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</si>
  <si>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</si>
  <si>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</si>
  <si>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</si>
  <si>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</si>
  <si>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</si>
  <si>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</si>
  <si>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</si>
  <si>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</si>
  <si>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</si>
  <si>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</si>
  <si>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</si>
  <si>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</si>
  <si>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</si>
  <si>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</si>
  <si>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</si>
  <si>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</si>
  <si>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</si>
  <si>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</si>
  <si>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</si>
  <si>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</si>
  <si>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</si>
  <si>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</si>
  <si>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</si>
  <si>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</si>
  <si>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</si>
  <si>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</si>
  <si>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</si>
  <si>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</si>
  <si>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</si>
  <si>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</si>
  <si>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</si>
  <si>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</si>
  <si>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</si>
  <si>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</si>
  <si>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</si>
  <si>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</si>
  <si>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</si>
  <si>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</si>
  <si>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</si>
  <si>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</si>
  <si>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</si>
  <si>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</si>
  <si>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</si>
  <si>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</si>
  <si>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</si>
  <si>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</si>
  <si>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</si>
  <si>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</si>
  <si>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</si>
  <si>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</si>
  <si>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</si>
  <si>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</si>
  <si>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</si>
  <si>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</si>
  <si>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</si>
  <si>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</si>
  <si>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</si>
  <si>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</si>
  <si>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</si>
  <si>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</si>
  <si>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</si>
  <si>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</si>
  <si>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</si>
  <si>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</si>
  <si>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</si>
  <si>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</si>
  <si>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</si>
  <si>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</si>
  <si>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</si>
  <si>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</si>
  <si>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</si>
  <si>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</si>
  <si>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</si>
  <si>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</si>
  <si>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</si>
  <si>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</si>
  <si>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</si>
  <si>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</si>
  <si>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</si>
  <si>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</si>
  <si>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</si>
  <si>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</si>
  <si>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</si>
  <si>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</si>
  <si>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</si>
  <si>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</si>
  <si>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</si>
  <si>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</si>
  <si>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</si>
  <si>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</si>
  <si>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</si>
  <si>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</si>
  <si>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</si>
  <si>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</si>
  <si>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</si>
  <si>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</si>
  <si>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</si>
  <si>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</si>
  <si>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</si>
  <si>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</si>
  <si>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</si>
  <si>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</si>
  <si>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</si>
  <si>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</si>
  <si>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</si>
  <si>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</si>
  <si>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</si>
  <si>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</si>
  <si>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</si>
  <si>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</si>
  <si>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</si>
  <si>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</si>
  <si>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</si>
  <si>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</si>
  <si>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</si>
  <si>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</si>
  <si>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</si>
  <si>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</si>
  <si>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</si>
  <si>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</si>
  <si>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</si>
  <si>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</si>
  <si>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</si>
  <si>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</si>
  <si>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</si>
  <si>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</si>
  <si>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</si>
  <si>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</si>
  <si>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</si>
  <si>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</si>
  <si>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</si>
  <si>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</si>
  <si>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</si>
  <si>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</si>
  <si>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</si>
  <si>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</si>
  <si>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</si>
  <si>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</si>
  <si>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</si>
  <si>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</si>
  <si>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</si>
  <si>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</si>
  <si>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</si>
  <si>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</si>
  <si>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</si>
  <si>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</si>
  <si>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</si>
  <si>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</si>
  <si>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</si>
  <si>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</si>
  <si>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</si>
  <si>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</si>
  <si>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</si>
  <si>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</si>
  <si>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</si>
  <si>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</si>
  <si>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</si>
  <si>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</si>
  <si>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</si>
  <si>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</si>
  <si>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</si>
  <si>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</si>
  <si>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</si>
  <si>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</si>
  <si>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</si>
  <si>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</si>
  <si>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</si>
  <si>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</si>
  <si>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</si>
  <si>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</si>
  <si>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</si>
  <si>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</si>
  <si>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</si>
  <si>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</si>
  <si>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</si>
  <si>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</si>
  <si>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</si>
  <si>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</si>
  <si>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</si>
  <si>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</si>
  <si>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</si>
  <si>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</si>
  <si>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</si>
  <si>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</si>
  <si>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</si>
  <si>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</si>
  <si>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</si>
  <si>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</si>
  <si>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</si>
  <si>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</si>
  <si>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</si>
  <si>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</si>
  <si>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</si>
  <si>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</si>
  <si>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</si>
  <si>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</si>
  <si>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</si>
  <si>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</si>
  <si>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</si>
  <si>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</si>
  <si>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</si>
  <si>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</si>
  <si>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</si>
  <si>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</si>
  <si>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</si>
  <si>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</si>
  <si>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</si>
  <si>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</si>
  <si>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</si>
  <si>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</si>
  <si>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</si>
  <si>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</si>
  <si>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</si>
  <si>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</si>
  <si>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</si>
  <si>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</si>
  <si>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</si>
  <si>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</si>
  <si>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</si>
  <si>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</si>
  <si>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</si>
  <si>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</si>
  <si>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</si>
  <si>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</si>
  <si>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</si>
  <si>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</si>
  <si>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</si>
  <si>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</si>
  <si>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</si>
  <si>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</si>
  <si>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</si>
  <si>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</si>
  <si>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</si>
  <si>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</si>
  <si>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</si>
  <si>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</si>
  <si>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</si>
  <si>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</si>
  <si>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</si>
  <si>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</si>
  <si>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</si>
  <si>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</si>
  <si>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</si>
  <si>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</si>
  <si>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</si>
  <si>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</si>
  <si>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</si>
  <si>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</si>
  <si>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</si>
  <si>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</si>
  <si>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</si>
  <si>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</si>
  <si>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</si>
  <si>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</si>
  <si>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</si>
  <si>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</si>
  <si>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</si>
  <si>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</si>
  <si>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</si>
  <si>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</si>
  <si>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</si>
  <si>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</si>
  <si>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</si>
  <si>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</si>
  <si>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</si>
  <si>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</si>
  <si>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</si>
  <si>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</si>
  <si>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</si>
  <si>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</si>
  <si>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</si>
  <si>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</si>
  <si>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</si>
  <si>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</si>
  <si>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</si>
  <si>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</si>
  <si>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</si>
  <si>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</si>
  <si>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</si>
  <si>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</si>
  <si>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</si>
  <si>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</si>
  <si>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</si>
  <si>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</si>
  <si>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</si>
  <si>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</si>
  <si>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</si>
  <si>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</si>
  <si>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</si>
  <si>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</si>
  <si>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</si>
  <si>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</si>
  <si>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</si>
  <si>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</si>
  <si>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</si>
  <si>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</si>
  <si>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</si>
  <si>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</si>
  <si>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</si>
  <si>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</si>
  <si>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</si>
  <si>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</si>
  <si>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</si>
  <si>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</si>
  <si>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</si>
  <si>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</si>
  <si>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</si>
  <si>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</si>
  <si>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</si>
  <si>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</si>
  <si>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</si>
  <si>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</si>
  <si>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</si>
  <si>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</si>
  <si>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</si>
  <si>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</si>
  <si>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</si>
  <si>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</si>
  <si>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</si>
  <si>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</si>
  <si>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</si>
  <si>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</si>
  <si>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</si>
  <si>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</si>
  <si>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</si>
  <si>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</si>
  <si>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</si>
  <si>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</si>
  <si>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</si>
  <si>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</si>
  <si>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</si>
  <si>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</si>
  <si>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</si>
  <si>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</si>
  <si>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</si>
  <si>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</si>
  <si>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</si>
  <si>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</si>
  <si>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</si>
  <si>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</si>
  <si>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</si>
  <si>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</si>
  <si>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</si>
  <si>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</si>
  <si>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</si>
  <si>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</si>
  <si>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</si>
  <si>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</si>
  <si>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</si>
  <si>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</si>
  <si>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</si>
  <si>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</si>
  <si>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</si>
  <si>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</si>
  <si>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</si>
  <si>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</si>
  <si>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</si>
  <si>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</si>
  <si>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</si>
  <si>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</si>
  <si>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</si>
  <si>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</si>
  <si>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</si>
  <si>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</si>
  <si>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</si>
  <si>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</si>
  <si>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</si>
  <si>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</si>
  <si>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</si>
  <si>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</si>
  <si>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</si>
  <si>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</si>
  <si>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</si>
  <si>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</si>
  <si>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</si>
  <si>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</si>
  <si>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</si>
  <si>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</si>
  <si>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</si>
  <si>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</si>
  <si>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</si>
  <si>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</si>
  <si>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</si>
  <si>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</si>
  <si>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</si>
  <si>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</si>
  <si>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</si>
  <si>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</si>
  <si>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</si>
  <si>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</si>
  <si>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</si>
  <si>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</si>
  <si>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</si>
  <si>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</si>
  <si>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</si>
  <si>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</si>
  <si>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</si>
  <si>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</si>
  <si>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</si>
  <si>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</si>
  <si>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</si>
  <si>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</si>
  <si>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</si>
  <si>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</si>
  <si>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</si>
  <si>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</si>
  <si>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</si>
  <si>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</si>
  <si>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</si>
  <si>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</si>
  <si>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</si>
  <si>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</si>
  <si>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</si>
  <si>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</si>
  <si>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</si>
  <si>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</si>
  <si>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</si>
  <si>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</si>
  <si>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</si>
  <si>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</si>
  <si>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</si>
  <si>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</si>
  <si>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</si>
  <si>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</si>
  <si>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</si>
  <si>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</si>
  <si>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</si>
  <si>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</si>
  <si>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</si>
  <si>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</si>
  <si>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</si>
  <si>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</si>
  <si>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</si>
  <si>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</si>
  <si>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</si>
  <si>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</si>
  <si>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</si>
  <si>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</si>
  <si>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</si>
  <si>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</si>
  <si>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</si>
  <si>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</si>
  <si>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</si>
  <si>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</si>
  <si>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</si>
  <si>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</si>
  <si>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</si>
  <si>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</si>
  <si>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</si>
  <si>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</si>
  <si>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</si>
  <si>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</si>
  <si>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</si>
  <si>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</si>
  <si>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</si>
  <si>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</si>
  <si>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</si>
  <si>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</si>
  <si>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</si>
  <si>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</si>
  <si>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</si>
  <si>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</si>
  <si>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</si>
  <si>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</si>
  <si>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</si>
  <si>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</si>
  <si>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</si>
  <si>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</si>
  <si>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</si>
  <si>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</si>
  <si>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</si>
  <si>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</si>
  <si>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</si>
  <si>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</si>
  <si>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</si>
  <si>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</si>
  <si>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</si>
  <si>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</si>
  <si>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</si>
  <si>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</si>
  <si>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</si>
  <si>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</si>
  <si>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</si>
  <si>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</si>
  <si>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</si>
  <si>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</si>
  <si>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</si>
  <si>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</si>
  <si>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</si>
  <si>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</si>
  <si>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</si>
  <si>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</si>
  <si>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</si>
  <si>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</si>
  <si>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</si>
  <si>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</si>
  <si>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</si>
  <si>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</si>
  <si>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</si>
  <si>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</si>
  <si>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</si>
  <si>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</si>
  <si>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</si>
  <si>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</si>
  <si>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</si>
  <si>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</si>
  <si>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</si>
  <si>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</si>
  <si>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</si>
  <si>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</si>
  <si>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</si>
  <si>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</si>
  <si>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</si>
  <si>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</si>
  <si>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</si>
  <si>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</si>
  <si>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</si>
  <si>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</si>
  <si>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</si>
  <si>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</si>
  <si>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</si>
  <si>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</si>
  <si>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</si>
  <si>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</si>
  <si>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</si>
  <si>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</si>
  <si>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Grundy, Will, Kendall</t>
  </si>
  <si>
    <t>2655 W. Eames Street</t>
  </si>
  <si>
    <t>Channahon</t>
  </si>
  <si>
    <t>jtroy@mchs.net</t>
  </si>
  <si>
    <t>Kenneth Lee</t>
  </si>
  <si>
    <t>klee@mchs.net</t>
  </si>
  <si>
    <t>(815) 521-4311</t>
  </si>
  <si>
    <t>(815) 467-9733</t>
  </si>
  <si>
    <t>Mack &amp; Associates, P.C.</t>
  </si>
  <si>
    <t>Tawnya Mack, CPA</t>
  </si>
  <si>
    <t>116 E. Washington Street, Suite One</t>
  </si>
  <si>
    <t>Morris</t>
  </si>
  <si>
    <t>IL</t>
  </si>
  <si>
    <t>(815) 942-3306</t>
  </si>
  <si>
    <t>(815) 942-9430</t>
  </si>
  <si>
    <t>066-005100</t>
  </si>
  <si>
    <t>tmack@mackcpas.com</t>
  </si>
  <si>
    <t>PDF in Opinion Page with Signature</t>
  </si>
  <si>
    <t>G.O. Refunding School Bonds, Series 2008</t>
  </si>
  <si>
    <t>G.O. Refunding School Bonds, Series 2011</t>
  </si>
  <si>
    <t>G.O. Refunding School Bonds, Series 2012A</t>
  </si>
  <si>
    <t>G.O. Refunding School Bonds, Series 2012B</t>
  </si>
  <si>
    <t>G.O. Refunding School Bonds, Series 2014</t>
  </si>
  <si>
    <t>G.O. Refunding School Bonds, Series 2015A</t>
  </si>
  <si>
    <t>G.O. Refunding School Bonds, Series 2015B</t>
  </si>
  <si>
    <t>G.O. Refunding School Bonds, Series 2016A</t>
  </si>
  <si>
    <t>G.O. Refunding School Bonds, Series 2016B</t>
  </si>
  <si>
    <t>G.O. Refunding School Bonds, Series 2018</t>
  </si>
  <si>
    <t>x</t>
  </si>
  <si>
    <t>Quest Foods</t>
  </si>
  <si>
    <t>GCA</t>
  </si>
  <si>
    <t>Grundy County Special Education Cooperative</t>
  </si>
  <si>
    <t>Minooka CCSD 201</t>
  </si>
  <si>
    <t>Grundy Area Vocational Center</t>
  </si>
  <si>
    <t>Page 10, Line 78 - Educational Fund:  Play and musical admissions</t>
  </si>
  <si>
    <t>Page 10, Line 92 - Educational Fund:  AP testing fees</t>
  </si>
  <si>
    <t>Page 11, Line 107 - All Funds:  Refunds, reimbursements, and settlements</t>
  </si>
  <si>
    <t>Page 15, Line 41 - Educational Fund:  Director of Student Services expenditures</t>
  </si>
  <si>
    <t>Page 16, Line 73 - Educational Fund:  Title I supplies</t>
  </si>
  <si>
    <t>Page 18, Line 174 - Transportation Fund:  Transportation Director expenditures</t>
  </si>
  <si>
    <t>Page 20, Line 254 - IMRF / SS Fund:  Dean's Office expenditures</t>
  </si>
  <si>
    <t>Illinois School District Liquid Asset Fund Plus</t>
  </si>
  <si>
    <t>O&amp;M - O&amp;M PLANT - PURCHASED SERVICES</t>
  </si>
  <si>
    <t>20-2540-300</t>
  </si>
  <si>
    <t>ALESSIO &amp; SONS</t>
  </si>
  <si>
    <t>ANDERSONS LAWN SERVICES</t>
  </si>
  <si>
    <t>BANNON EXTERMINATING</t>
  </si>
  <si>
    <t>DROP ZONE PORTABLE SERVICES</t>
  </si>
  <si>
    <t>JOHNSON, JAMES</t>
  </si>
  <si>
    <t>LANGELAND CONSTRUCTION</t>
  </si>
  <si>
    <t>MCKINLEY WOODS ROAD MANAGEMENT</t>
  </si>
  <si>
    <t>PRECISION CONTROL SYSTEMS</t>
  </si>
  <si>
    <t>RIVAL 5 TECHNOLOGIES</t>
  </si>
  <si>
    <t>ED - FOOD SERVICE - PURCHASED SERVICES</t>
  </si>
  <si>
    <t>10-2560-300</t>
  </si>
  <si>
    <t>QUEST FOOD</t>
  </si>
  <si>
    <t>Village of Minooka and Village of Channahon - School Resource Officer</t>
  </si>
  <si>
    <t>Page 5, Line 12 - All Funds:  Payroll deductions paid in advance</t>
  </si>
  <si>
    <t>Page 10, Line 81 - Educational Fund:  Miscellaneous student activity fees</t>
  </si>
  <si>
    <t>Page 12, Line 171: Educational Fund: State Library Grant</t>
  </si>
  <si>
    <t>Page 16, Line 46 - Educational Fund:  Dean's Office expenditures</t>
  </si>
  <si>
    <t>Page 18, Line 171 - Debt Services Fund: Bond agent fees and issuance costs</t>
  </si>
  <si>
    <t>Page 19, Line 237 - IMRF / SS Fund:  Director of Student Services expenditures</t>
  </si>
  <si>
    <t>2008 Bonds - Bonds refunded</t>
  </si>
  <si>
    <t>Minooka CHSD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</si>
</sst>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0" t="s">
        <v>424</v>
      </c>
      <c r="J1" s="2001"/>
      <c r="K1" s="2001"/>
      <c r="L1" s="2001"/>
      <c r="M1" s="2001"/>
      <c r="N1" s="2001"/>
      <c r="O1" s="2001"/>
      <c r="P1" s="2001"/>
      <c r="Q1" s="2001"/>
      <c r="R1" s="2001"/>
      <c r="S1" s="2001"/>
    </row>
    <row r="2" spans="1:28" ht="12" customHeight="1" x14ac:dyDescent="0.2">
      <c r="A2" s="47" t="s">
        <v>1683</v>
      </c>
      <c r="D2" s="48"/>
      <c r="I2" s="2002" t="s">
        <v>1035</v>
      </c>
      <c r="J2" s="2001"/>
      <c r="K2" s="2001"/>
      <c r="L2" s="2001"/>
      <c r="M2" s="2001"/>
      <c r="N2" s="2001"/>
      <c r="O2" s="2001"/>
      <c r="P2" s="2001"/>
      <c r="Q2" s="2001"/>
      <c r="R2" s="2001"/>
      <c r="S2" s="2001"/>
    </row>
    <row r="3" spans="1:28" ht="12" customHeight="1" x14ac:dyDescent="0.2">
      <c r="A3" s="155" t="s">
        <v>1684</v>
      </c>
      <c r="B3" s="156"/>
      <c r="C3" s="156"/>
      <c r="D3" s="157"/>
      <c r="I3" s="2002" t="s">
        <v>54</v>
      </c>
      <c r="J3" s="2001"/>
      <c r="K3" s="2001"/>
      <c r="L3" s="2001"/>
      <c r="M3" s="2001"/>
      <c r="N3" s="2001"/>
      <c r="O3" s="2001"/>
      <c r="P3" s="2001"/>
      <c r="Q3" s="2001"/>
      <c r="R3" s="2001"/>
      <c r="S3" s="2001"/>
    </row>
    <row r="4" spans="1:28" ht="12" customHeight="1" x14ac:dyDescent="0.2">
      <c r="A4" s="37"/>
      <c r="I4" s="2002" t="s">
        <v>544</v>
      </c>
      <c r="J4" s="2001"/>
      <c r="K4" s="2001"/>
      <c r="L4" s="2001"/>
      <c r="M4" s="2001"/>
      <c r="N4" s="2001"/>
      <c r="O4" s="2001"/>
      <c r="P4" s="2001"/>
      <c r="Q4" s="2001"/>
      <c r="R4" s="2001"/>
      <c r="S4" s="2001"/>
    </row>
    <row r="5" spans="1:28" ht="14.1" customHeight="1" x14ac:dyDescent="0.2">
      <c r="B5" s="104" t="s">
        <v>2076</v>
      </c>
      <c r="C5" s="26" t="s">
        <v>965</v>
      </c>
      <c r="D5" s="84"/>
      <c r="E5" s="84"/>
      <c r="H5" s="38"/>
      <c r="I5" s="2010" t="s">
        <v>700</v>
      </c>
      <c r="J5" s="2009"/>
      <c r="K5" s="2009"/>
      <c r="L5" s="2009"/>
      <c r="M5" s="2009"/>
      <c r="N5" s="2009"/>
      <c r="O5" s="2009"/>
      <c r="P5" s="2009"/>
      <c r="Q5" s="2009"/>
      <c r="R5" s="2009"/>
      <c r="S5" s="2009"/>
    </row>
    <row r="6" spans="1:28" ht="14.1" customHeight="1" x14ac:dyDescent="0.2">
      <c r="B6" s="104"/>
      <c r="C6" s="26" t="s">
        <v>966</v>
      </c>
      <c r="D6" s="84"/>
      <c r="E6" s="84"/>
      <c r="I6" s="2008" t="s">
        <v>937</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694</v>
      </c>
      <c r="J9" s="2006"/>
      <c r="K9" s="2006"/>
      <c r="L9" s="2006"/>
      <c r="M9" s="2006"/>
      <c r="N9" s="2006"/>
      <c r="O9" s="2006"/>
      <c r="P9" s="2006"/>
      <c r="Q9" s="2006"/>
      <c r="R9" s="2006"/>
      <c r="S9" s="2007"/>
      <c r="T9" s="2021" t="s">
        <v>553</v>
      </c>
      <c r="U9" s="2022"/>
      <c r="V9" s="2022"/>
      <c r="W9" s="2022"/>
      <c r="X9" s="2022"/>
      <c r="Y9" s="2022"/>
      <c r="Z9" s="2022"/>
      <c r="AA9" s="2023"/>
    </row>
    <row r="10" spans="1:28" ht="13.5" customHeight="1" x14ac:dyDescent="0.2">
      <c r="A10" s="2028" t="s">
        <v>695</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1011</v>
      </c>
      <c r="B11" s="2032"/>
      <c r="C11" s="2032"/>
      <c r="D11" s="2032"/>
      <c r="E11" s="2032"/>
      <c r="F11" s="2032"/>
      <c r="G11" s="2032"/>
      <c r="H11" s="2033"/>
      <c r="I11" s="27"/>
      <c r="J11" s="74"/>
      <c r="K11" s="27"/>
      <c r="O11" s="148" t="s">
        <v>2076</v>
      </c>
      <c r="P11" s="100" t="s">
        <v>210</v>
      </c>
      <c r="Q11" s="30"/>
      <c r="R11" s="28"/>
      <c r="S11" s="27"/>
      <c r="T11" s="2025"/>
      <c r="U11" s="2026"/>
      <c r="V11" s="2026"/>
      <c r="W11" s="2026"/>
      <c r="X11" s="2026"/>
      <c r="Y11" s="2026"/>
      <c r="Z11" s="2026"/>
      <c r="AA11" s="2027"/>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5">
        <v>24032111016</v>
      </c>
      <c r="B13" s="2036"/>
      <c r="C13" s="2036"/>
      <c r="D13" s="2036"/>
      <c r="E13" s="2036"/>
      <c r="F13" s="2036"/>
      <c r="G13" s="2036"/>
      <c r="H13" s="2037"/>
      <c r="I13" s="31"/>
      <c r="J13" s="30"/>
      <c r="K13" s="28"/>
      <c r="L13" s="30"/>
      <c r="M13" s="30"/>
      <c r="N13" s="30"/>
      <c r="O13" s="30"/>
      <c r="P13" s="30"/>
      <c r="Q13" s="30"/>
      <c r="R13" s="30"/>
      <c r="S13" s="30"/>
      <c r="T13" s="2040" t="s">
        <v>2085</v>
      </c>
      <c r="U13" s="2041"/>
      <c r="V13" s="2041"/>
      <c r="W13" s="2041"/>
      <c r="X13" s="2041"/>
      <c r="Y13" s="2042"/>
      <c r="Z13" s="2042"/>
      <c r="AA13" s="204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4" t="s">
        <v>2077</v>
      </c>
      <c r="B15" s="2038"/>
      <c r="C15" s="2038"/>
      <c r="D15" s="2038"/>
      <c r="E15" s="2038"/>
      <c r="F15" s="2038"/>
      <c r="G15" s="2038"/>
      <c r="H15" s="2039"/>
      <c r="T15" s="2044" t="s">
        <v>2086</v>
      </c>
      <c r="U15" s="1988"/>
      <c r="V15" s="1988"/>
      <c r="W15" s="1988"/>
      <c r="X15" s="1988"/>
      <c r="Y15" s="2045"/>
      <c r="Z15" s="2045"/>
      <c r="AA15" s="204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4" t="s">
        <v>2141</v>
      </c>
      <c r="B17" s="1995"/>
      <c r="C17" s="1995"/>
      <c r="D17" s="1995"/>
      <c r="E17" s="1995"/>
      <c r="F17" s="1995"/>
      <c r="G17" s="1995"/>
      <c r="H17" s="2020"/>
      <c r="T17" s="2051" t="s">
        <v>2087</v>
      </c>
      <c r="U17" s="2052"/>
      <c r="V17" s="2052"/>
      <c r="W17" s="2052"/>
      <c r="X17" s="2052"/>
      <c r="Y17" s="2052"/>
      <c r="Z17" s="2052"/>
      <c r="AA17" s="2053"/>
    </row>
    <row r="18" spans="1:27" ht="13.5" customHeight="1" x14ac:dyDescent="0.2">
      <c r="A18" s="85" t="s">
        <v>550</v>
      </c>
      <c r="B18" s="76"/>
      <c r="C18" s="72"/>
      <c r="D18" s="76"/>
      <c r="E18" s="76"/>
      <c r="F18" s="76"/>
      <c r="G18" s="76"/>
      <c r="H18" s="56"/>
      <c r="I18" s="2019" t="s">
        <v>696</v>
      </c>
      <c r="J18" s="1970"/>
      <c r="K18" s="1970"/>
      <c r="L18" s="1970"/>
      <c r="M18" s="1970"/>
      <c r="N18" s="1970"/>
      <c r="O18" s="1970"/>
      <c r="P18" s="1970"/>
      <c r="Q18" s="1970"/>
      <c r="R18" s="1970"/>
      <c r="S18" s="1971"/>
      <c r="T18" s="85" t="s">
        <v>734</v>
      </c>
      <c r="U18" s="51"/>
      <c r="V18" s="72"/>
      <c r="W18" s="50"/>
      <c r="X18" s="85" t="s">
        <v>283</v>
      </c>
      <c r="Y18" s="81"/>
      <c r="Z18" s="159" t="s">
        <v>697</v>
      </c>
      <c r="AA18" s="46"/>
    </row>
    <row r="19" spans="1:27" ht="13.5" customHeight="1" x14ac:dyDescent="0.2">
      <c r="A19" s="2034" t="s">
        <v>2078</v>
      </c>
      <c r="B19" s="1980"/>
      <c r="C19" s="1980"/>
      <c r="D19" s="1980"/>
      <c r="E19" s="1980"/>
      <c r="F19" s="1980"/>
      <c r="G19" s="1980"/>
      <c r="H19" s="1960"/>
      <c r="I19" s="30"/>
      <c r="J19" s="99"/>
      <c r="K19" s="40"/>
      <c r="L19" s="38"/>
      <c r="M19" s="112" t="s">
        <v>332</v>
      </c>
      <c r="P19" s="27"/>
      <c r="Q19" s="27"/>
      <c r="R19" s="27"/>
      <c r="S19" s="31"/>
      <c r="T19" s="2034" t="s">
        <v>2088</v>
      </c>
      <c r="U19" s="1959"/>
      <c r="V19" s="1959"/>
      <c r="W19" s="1960"/>
      <c r="X19" s="2049" t="s">
        <v>2089</v>
      </c>
      <c r="Y19" s="2050"/>
      <c r="Z19" s="2047">
        <v>60450</v>
      </c>
      <c r="AA19" s="204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8" t="s">
        <v>2079</v>
      </c>
      <c r="B21" s="1959"/>
      <c r="C21" s="1959"/>
      <c r="D21" s="1959"/>
      <c r="E21" s="1959"/>
      <c r="F21" s="1959"/>
      <c r="G21" s="1959"/>
      <c r="H21" s="1960"/>
      <c r="I21" s="2014" t="s">
        <v>698</v>
      </c>
      <c r="J21" s="2009"/>
      <c r="K21" s="2009"/>
      <c r="L21" s="2009"/>
      <c r="M21" s="2009"/>
      <c r="N21" s="2009"/>
      <c r="O21" s="2009"/>
      <c r="P21" s="2009"/>
      <c r="Q21" s="2009"/>
      <c r="R21" s="2009"/>
      <c r="S21" s="2015"/>
      <c r="T21" s="2058" t="s">
        <v>2090</v>
      </c>
      <c r="U21" s="2059"/>
      <c r="V21" s="2059"/>
      <c r="W21" s="2059"/>
      <c r="X21" s="2064" t="s">
        <v>2091</v>
      </c>
      <c r="Y21" s="2065"/>
      <c r="Z21" s="2065"/>
      <c r="AA21" s="2066"/>
    </row>
    <row r="22" spans="1:27" ht="13.5" customHeight="1" x14ac:dyDescent="0.2">
      <c r="A22" s="87" t="s">
        <v>551</v>
      </c>
      <c r="B22" s="59"/>
      <c r="C22" s="59"/>
      <c r="D22" s="59"/>
      <c r="E22" s="59"/>
      <c r="F22" s="59"/>
      <c r="G22" s="59"/>
      <c r="H22" s="60"/>
      <c r="I22" s="2016" t="s">
        <v>1503</v>
      </c>
      <c r="J22" s="2017"/>
      <c r="K22" s="2017"/>
      <c r="L22" s="2017"/>
      <c r="M22" s="2017"/>
      <c r="N22" s="2017"/>
      <c r="O22" s="2017"/>
      <c r="P22" s="2017"/>
      <c r="Q22" s="2017"/>
      <c r="R22" s="2017"/>
      <c r="S22" s="2018"/>
      <c r="T22" s="85" t="s">
        <v>1595</v>
      </c>
      <c r="U22" s="51"/>
      <c r="V22" s="72"/>
      <c r="W22" s="51"/>
      <c r="X22" s="160" t="s">
        <v>1384</v>
      </c>
      <c r="Z22" s="45"/>
      <c r="AA22" s="46"/>
    </row>
    <row r="23" spans="1:27" ht="13.5" customHeight="1" x14ac:dyDescent="0.2">
      <c r="A23" s="2011" t="s">
        <v>2080</v>
      </c>
      <c r="B23" s="2012"/>
      <c r="C23" s="2012"/>
      <c r="D23" s="2012"/>
      <c r="E23" s="2012"/>
      <c r="F23" s="2012"/>
      <c r="G23" s="2012"/>
      <c r="H23" s="2013"/>
      <c r="T23" s="1994" t="s">
        <v>2092</v>
      </c>
      <c r="U23" s="2057"/>
      <c r="V23" s="2057"/>
      <c r="W23" s="2057"/>
      <c r="X23" s="2061">
        <v>43434</v>
      </c>
      <c r="Y23" s="2062"/>
      <c r="Z23" s="2062"/>
      <c r="AA23" s="2063"/>
    </row>
    <row r="24" spans="1:27" ht="14.1" customHeight="1" x14ac:dyDescent="0.2">
      <c r="A24" s="88" t="s">
        <v>697</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551</v>
      </c>
      <c r="U24" s="106"/>
      <c r="V24" s="106"/>
      <c r="W24" s="106"/>
      <c r="X24" s="107"/>
      <c r="Y24" s="107"/>
      <c r="Z24" s="107"/>
      <c r="AA24" s="108"/>
    </row>
    <row r="25" spans="1:27" ht="14.1" customHeight="1" x14ac:dyDescent="0.2">
      <c r="A25" s="1958">
        <v>60410</v>
      </c>
      <c r="B25" s="1959"/>
      <c r="C25" s="1959"/>
      <c r="D25" s="1959"/>
      <c r="E25" s="1959"/>
      <c r="F25" s="1959"/>
      <c r="G25" s="1959"/>
      <c r="H25" s="1960"/>
      <c r="I25" s="113"/>
      <c r="J25" s="1983"/>
      <c r="K25" s="1983"/>
      <c r="L25" s="1983"/>
      <c r="M25" s="1983"/>
      <c r="N25" s="1983"/>
      <c r="O25" s="1983"/>
      <c r="P25" s="1983"/>
      <c r="Q25" s="1983"/>
      <c r="R25" s="1983"/>
      <c r="S25" s="1984"/>
      <c r="T25" s="2054" t="s">
        <v>2093</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9" t="s">
        <v>1590</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2076</v>
      </c>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4" t="s">
        <v>2081</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551</v>
      </c>
      <c r="B39" s="1965"/>
      <c r="C39" s="72"/>
      <c r="D39" s="69"/>
      <c r="E39" s="69"/>
      <c r="F39" s="79"/>
      <c r="G39" s="69"/>
      <c r="H39" s="56"/>
      <c r="I39" s="1964" t="s">
        <v>551</v>
      </c>
      <c r="J39" s="1965"/>
      <c r="K39" s="1965"/>
      <c r="L39" s="1965"/>
      <c r="M39" s="1965"/>
      <c r="N39" s="67"/>
      <c r="O39" s="72"/>
      <c r="P39" s="72"/>
      <c r="Q39" s="78"/>
      <c r="R39" s="72"/>
      <c r="S39" s="56"/>
      <c r="T39" s="72" t="s">
        <v>551</v>
      </c>
      <c r="U39" s="51"/>
      <c r="V39" s="72"/>
      <c r="W39" s="50"/>
      <c r="X39" s="78"/>
      <c r="Y39" s="45"/>
      <c r="Z39" s="45"/>
      <c r="AA39" s="46"/>
    </row>
    <row r="40" spans="1:27" ht="13.5" customHeight="1" x14ac:dyDescent="0.2">
      <c r="A40" s="1972" t="s">
        <v>2082</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6" t="s">
        <v>2083</v>
      </c>
      <c r="B42" s="1978"/>
      <c r="C42" s="1979"/>
      <c r="D42" s="1977" t="s">
        <v>2084</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6" sqref="C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1904</v>
      </c>
      <c r="B2" s="1550" t="s">
        <v>2034</v>
      </c>
      <c r="C2" s="715" t="s">
        <v>1909</v>
      </c>
      <c r="D2" s="715" t="s">
        <v>1910</v>
      </c>
      <c r="E2" s="715" t="s">
        <v>1911</v>
      </c>
      <c r="F2" s="715" t="s">
        <v>1912</v>
      </c>
    </row>
    <row r="3" spans="1:6" ht="12" customHeight="1" x14ac:dyDescent="0.2">
      <c r="A3" s="2201"/>
      <c r="B3" s="1547"/>
      <c r="C3" s="1548"/>
      <c r="D3" s="1549" t="s">
        <v>274</v>
      </c>
      <c r="E3" s="1548"/>
      <c r="F3" s="1549" t="s">
        <v>275</v>
      </c>
    </row>
    <row r="4" spans="1:6" ht="13.7" customHeight="1" x14ac:dyDescent="0.2">
      <c r="A4" s="716" t="s">
        <v>1216</v>
      </c>
      <c r="B4" s="1771">
        <f>'Revenues 9-14'!C5</f>
        <v>15782302</v>
      </c>
      <c r="C4" s="1546">
        <f>926806+4462546</f>
        <v>5389352</v>
      </c>
      <c r="D4" s="1774">
        <f>B4-C4</f>
        <v>10392950</v>
      </c>
      <c r="E4" s="1546">
        <v>15821670</v>
      </c>
      <c r="F4" s="1774">
        <f>E4-C4</f>
        <v>10432318</v>
      </c>
    </row>
    <row r="5" spans="1:6" ht="13.7" customHeight="1" x14ac:dyDescent="0.2">
      <c r="A5" s="716" t="s">
        <v>924</v>
      </c>
      <c r="B5" s="1772">
        <f>'Revenues 9-14'!D5</f>
        <v>3234232</v>
      </c>
      <c r="C5" s="585">
        <f>1122529-18000-1</f>
        <v>1104528</v>
      </c>
      <c r="D5" s="1775">
        <f t="shared" ref="D5:D18" si="0">B5-C5</f>
        <v>2129704</v>
      </c>
      <c r="E5" s="585">
        <v>3242384</v>
      </c>
      <c r="F5" s="1775">
        <f>E5-C5</f>
        <v>2137856</v>
      </c>
    </row>
    <row r="6" spans="1:6" ht="13.7" customHeight="1" x14ac:dyDescent="0.2">
      <c r="A6" s="716" t="s">
        <v>430</v>
      </c>
      <c r="B6" s="1772">
        <f>'Revenues 9-14'!E5</f>
        <v>9179947</v>
      </c>
      <c r="C6" s="585">
        <v>3008796</v>
      </c>
      <c r="D6" s="1775">
        <f t="shared" si="0"/>
        <v>6171151</v>
      </c>
      <c r="E6" s="585">
        <v>8868388</v>
      </c>
      <c r="F6" s="1775">
        <f t="shared" ref="F6:F18" si="1">E6-C6</f>
        <v>5859592</v>
      </c>
    </row>
    <row r="7" spans="1:6" ht="13.7" customHeight="1" x14ac:dyDescent="0.2">
      <c r="A7" s="716" t="s">
        <v>157</v>
      </c>
      <c r="B7" s="1772">
        <f>'Revenues 9-14'!F5</f>
        <v>1552751</v>
      </c>
      <c r="C7" s="585">
        <v>530494</v>
      </c>
      <c r="D7" s="1775">
        <f t="shared" si="0"/>
        <v>1022257</v>
      </c>
      <c r="E7" s="585">
        <v>1556845</v>
      </c>
      <c r="F7" s="1775">
        <f t="shared" si="1"/>
        <v>1026351</v>
      </c>
    </row>
    <row r="8" spans="1:6" ht="13.7" customHeight="1" x14ac:dyDescent="0.2">
      <c r="A8" s="716" t="s">
        <v>1240</v>
      </c>
      <c r="B8" s="1772">
        <f>'Revenues 9-14'!G5</f>
        <v>386722</v>
      </c>
      <c r="C8" s="585">
        <v>127514</v>
      </c>
      <c r="D8" s="1775">
        <f t="shared" si="0"/>
        <v>259208</v>
      </c>
      <c r="E8" s="585">
        <v>374968</v>
      </c>
      <c r="F8" s="1775">
        <f t="shared" si="1"/>
        <v>247454</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647202</v>
      </c>
      <c r="C10" s="585">
        <v>221261</v>
      </c>
      <c r="D10" s="1775">
        <f t="shared" si="0"/>
        <v>425941</v>
      </c>
      <c r="E10" s="585">
        <v>649033</v>
      </c>
      <c r="F10" s="1775">
        <f t="shared" si="1"/>
        <v>427772</v>
      </c>
    </row>
    <row r="11" spans="1:6" x14ac:dyDescent="0.2">
      <c r="A11" s="716" t="s">
        <v>428</v>
      </c>
      <c r="B11" s="1772">
        <f>'Revenues 9-14'!J5</f>
        <v>1235839</v>
      </c>
      <c r="C11" s="585">
        <v>406534</v>
      </c>
      <c r="D11" s="1775">
        <f t="shared" si="0"/>
        <v>829305</v>
      </c>
      <c r="E11" s="585">
        <v>1197488</v>
      </c>
      <c r="F11" s="1775">
        <f t="shared" si="1"/>
        <v>790954</v>
      </c>
    </row>
    <row r="12" spans="1:6" ht="13.7" customHeight="1" x14ac:dyDescent="0.2">
      <c r="A12" s="716" t="s">
        <v>159</v>
      </c>
      <c r="B12" s="1772">
        <f>'Revenues 9-14'!K5</f>
        <v>647202</v>
      </c>
      <c r="C12" s="585">
        <v>221261</v>
      </c>
      <c r="D12" s="1775">
        <f t="shared" si="0"/>
        <v>425941</v>
      </c>
      <c r="E12" s="585">
        <v>649033</v>
      </c>
      <c r="F12" s="1775">
        <f t="shared" si="1"/>
        <v>427772</v>
      </c>
    </row>
    <row r="13" spans="1:6" ht="13.7" customHeight="1" x14ac:dyDescent="0.2">
      <c r="A13" s="716" t="s">
        <v>992</v>
      </c>
      <c r="B13" s="1772">
        <f>SUM('Revenues 9-14'!C6:D6)</f>
        <v>647202</v>
      </c>
      <c r="C13" s="585">
        <v>221261</v>
      </c>
      <c r="D13" s="1775">
        <f t="shared" si="0"/>
        <v>425941</v>
      </c>
      <c r="E13" s="585">
        <v>649033</v>
      </c>
      <c r="F13" s="1775">
        <f t="shared" si="1"/>
        <v>427772</v>
      </c>
    </row>
    <row r="14" spans="1:6" ht="13.7" customHeight="1" x14ac:dyDescent="0.2">
      <c r="A14" s="716" t="s">
        <v>429</v>
      </c>
      <c r="B14" s="1772">
        <f>SUM('Revenues 9-14'!C7:D7,'Revenues 9-14'!F7:H7)</f>
        <v>258790</v>
      </c>
      <c r="C14" s="585">
        <v>88416</v>
      </c>
      <c r="D14" s="1775">
        <f t="shared" si="0"/>
        <v>170374</v>
      </c>
      <c r="E14" s="585">
        <v>259475</v>
      </c>
      <c r="F14" s="1775">
        <f t="shared" si="1"/>
        <v>171059</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489151</v>
      </c>
      <c r="C16" s="585">
        <v>160836</v>
      </c>
      <c r="D16" s="1775">
        <f t="shared" si="0"/>
        <v>328315</v>
      </c>
      <c r="E16" s="585">
        <v>473917</v>
      </c>
      <c r="F16" s="1775">
        <f t="shared" si="1"/>
        <v>313081</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34061340</v>
      </c>
      <c r="C19" s="1773">
        <f>SUM(C4:C18)</f>
        <v>11480253</v>
      </c>
      <c r="D19" s="1773">
        <f>SUM(D4:D18)</f>
        <v>22581087</v>
      </c>
      <c r="E19" s="1773">
        <f>SUM(E4:E18)</f>
        <v>33742234</v>
      </c>
      <c r="F19" s="1773">
        <f>SUM(F4:F18)</f>
        <v>22261981</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7" sqref="J3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649</v>
      </c>
      <c r="B1" s="2220"/>
      <c r="C1" s="722"/>
    </row>
    <row r="2" spans="1:7" ht="33.75" x14ac:dyDescent="0.2">
      <c r="A2" s="2227" t="s">
        <v>1904</v>
      </c>
      <c r="B2" s="2228"/>
      <c r="C2" s="1908" t="s">
        <v>2035</v>
      </c>
      <c r="D2" s="724" t="s">
        <v>2042</v>
      </c>
      <c r="E2" s="724" t="s">
        <v>2043</v>
      </c>
      <c r="F2" s="1908" t="s">
        <v>2036</v>
      </c>
    </row>
    <row r="3" spans="1:7" ht="15.75" customHeight="1" x14ac:dyDescent="0.2">
      <c r="A3" s="2229" t="s">
        <v>1175</v>
      </c>
      <c r="B3" s="2230"/>
      <c r="C3" s="2223"/>
      <c r="D3" s="2224"/>
      <c r="E3" s="2224"/>
      <c r="F3" s="2225"/>
    </row>
    <row r="4" spans="1:7" ht="12.75" customHeight="1" thickBot="1" x14ac:dyDescent="0.25">
      <c r="A4" s="2217" t="s">
        <v>650</v>
      </c>
      <c r="B4" s="2218"/>
      <c r="C4" s="581"/>
      <c r="D4" s="581"/>
      <c r="E4" s="581"/>
      <c r="F4" s="1777">
        <f>SUM(C4+D4)-E4</f>
        <v>0</v>
      </c>
    </row>
    <row r="5" spans="1:7" ht="15.75" customHeight="1" thickTop="1" x14ac:dyDescent="0.2">
      <c r="A5" s="2221" t="s">
        <v>1171</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3" t="s">
        <v>651</v>
      </c>
      <c r="B15" s="2214"/>
      <c r="C15" s="1777">
        <f>SUM(C6:C14)</f>
        <v>0</v>
      </c>
      <c r="D15" s="1777">
        <f>SUM(D6:D14)</f>
        <v>0</v>
      </c>
      <c r="E15" s="1777">
        <f>SUM(E6:E14)</f>
        <v>0</v>
      </c>
      <c r="F15" s="1777">
        <f>SUM(F6:F14)</f>
        <v>0</v>
      </c>
      <c r="G15" s="552"/>
    </row>
    <row r="16" spans="1:7" s="202" customFormat="1" ht="15.75" customHeight="1" thickTop="1" x14ac:dyDescent="0.2">
      <c r="A16" s="2226" t="s">
        <v>1172</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405</v>
      </c>
      <c r="B19" s="2209"/>
      <c r="C19" s="727"/>
      <c r="D19" s="585"/>
      <c r="E19" s="727"/>
      <c r="F19" s="1777">
        <f>SUM(C19+D19)-E19</f>
        <v>0</v>
      </c>
    </row>
    <row r="20" spans="1:11" ht="12.75" customHeight="1" thickTop="1" thickBot="1" x14ac:dyDescent="0.25">
      <c r="A20" s="2208" t="s">
        <v>467</v>
      </c>
      <c r="B20" s="2209"/>
      <c r="C20" s="727"/>
      <c r="D20" s="585"/>
      <c r="E20" s="727"/>
      <c r="F20" s="1777">
        <f>SUM(C20+D20)-E20</f>
        <v>0</v>
      </c>
    </row>
    <row r="21" spans="1:11" ht="14.25" thickTop="1" thickBot="1" x14ac:dyDescent="0.25">
      <c r="A21" s="2213" t="s">
        <v>652</v>
      </c>
      <c r="B21" s="2214"/>
      <c r="C21" s="1777">
        <f>SUM(C17:C20)</f>
        <v>0</v>
      </c>
      <c r="D21" s="1777">
        <f>SUM(D17:D20)</f>
        <v>0</v>
      </c>
      <c r="E21" s="1777">
        <f>SUM(E17:E20)</f>
        <v>0</v>
      </c>
      <c r="F21" s="1777">
        <f>SUM(F17:F20)</f>
        <v>0</v>
      </c>
      <c r="G21" s="552"/>
    </row>
    <row r="22" spans="1:11" ht="15.75" customHeight="1" thickTop="1" x14ac:dyDescent="0.2">
      <c r="A22" s="2215" t="s">
        <v>1173</v>
      </c>
      <c r="B22" s="2216"/>
      <c r="C22" s="2210"/>
      <c r="D22" s="2211"/>
      <c r="E22" s="2211"/>
      <c r="F22" s="2212"/>
    </row>
    <row r="23" spans="1:11" ht="13.5" thickBot="1" x14ac:dyDescent="0.25">
      <c r="A23" s="2217" t="s">
        <v>653</v>
      </c>
      <c r="B23" s="2218"/>
      <c r="C23" s="581"/>
      <c r="D23" s="581"/>
      <c r="E23" s="581"/>
      <c r="F23" s="1777">
        <f>SUM(C23+D23)-E23</f>
        <v>0</v>
      </c>
      <c r="G23" s="552"/>
    </row>
    <row r="24" spans="1:11" ht="15.75" customHeight="1" thickTop="1" x14ac:dyDescent="0.2">
      <c r="A24" s="2215" t="s">
        <v>1174</v>
      </c>
      <c r="B24" s="2216"/>
      <c r="C24" s="2210"/>
      <c r="D24" s="2211"/>
      <c r="E24" s="2211"/>
      <c r="F24" s="2212"/>
    </row>
    <row r="25" spans="1:11" ht="13.5" thickBot="1" x14ac:dyDescent="0.25">
      <c r="A25" s="2217" t="s">
        <v>654</v>
      </c>
      <c r="B25" s="2218"/>
      <c r="C25" s="581"/>
      <c r="D25" s="581"/>
      <c r="E25" s="581"/>
      <c r="F25" s="1777">
        <f>SUM(C25+D25)-E25</f>
        <v>0</v>
      </c>
      <c r="G25" s="552"/>
    </row>
    <row r="26" spans="1:11" ht="15.75" customHeight="1" thickTop="1" x14ac:dyDescent="0.2">
      <c r="A26" s="2221" t="s">
        <v>677</v>
      </c>
      <c r="B26" s="2216"/>
      <c r="C26" s="728"/>
      <c r="D26" s="728"/>
      <c r="E26" s="728"/>
      <c r="F26" s="729"/>
    </row>
    <row r="27" spans="1:11" ht="13.5" thickBot="1" x14ac:dyDescent="0.25">
      <c r="A27" s="2213" t="s">
        <v>1129</v>
      </c>
      <c r="B27" s="2214"/>
      <c r="C27" s="585"/>
      <c r="D27" s="585"/>
      <c r="E27" s="585"/>
      <c r="F27" s="1777">
        <f>SUM(C27+D27)-E27</f>
        <v>0</v>
      </c>
      <c r="G27" s="552"/>
    </row>
    <row r="28" spans="1:11" ht="7.5" customHeight="1" thickTop="1" x14ac:dyDescent="0.2">
      <c r="A28" s="594"/>
    </row>
    <row r="29" spans="1:11" ht="23.25" customHeight="1" x14ac:dyDescent="0.2">
      <c r="A29" s="2219" t="s">
        <v>602</v>
      </c>
      <c r="B29" s="2220"/>
      <c r="C29" s="730"/>
      <c r="D29" s="730"/>
      <c r="E29" s="730"/>
      <c r="F29" s="730"/>
      <c r="G29" s="730"/>
      <c r="H29" s="730"/>
      <c r="I29" s="730"/>
      <c r="J29" s="730"/>
    </row>
    <row r="30" spans="1:11" ht="33.75" x14ac:dyDescent="0.2">
      <c r="A30" s="1551" t="s">
        <v>1130</v>
      </c>
      <c r="B30" s="731" t="s">
        <v>1185</v>
      </c>
      <c r="C30" s="1909" t="s">
        <v>603</v>
      </c>
      <c r="D30" s="1909" t="s">
        <v>1771</v>
      </c>
      <c r="E30" s="1909" t="s">
        <v>2037</v>
      </c>
      <c r="F30" s="1909" t="s">
        <v>2038</v>
      </c>
      <c r="G30" s="1909" t="s">
        <v>2041</v>
      </c>
      <c r="H30" s="1909" t="s">
        <v>2039</v>
      </c>
      <c r="I30" s="1909" t="s">
        <v>2040</v>
      </c>
      <c r="J30" s="1910" t="s">
        <v>2</v>
      </c>
      <c r="K30" s="732"/>
    </row>
    <row r="31" spans="1:11" ht="12" customHeight="1" x14ac:dyDescent="0.2">
      <c r="A31" s="733" t="s">
        <v>2095</v>
      </c>
      <c r="B31" s="734">
        <v>39695</v>
      </c>
      <c r="C31" s="735">
        <v>10000000</v>
      </c>
      <c r="D31" s="736">
        <v>3</v>
      </c>
      <c r="E31" s="735">
        <v>8250000</v>
      </c>
      <c r="F31" s="735"/>
      <c r="G31" s="735">
        <v>-7150000</v>
      </c>
      <c r="H31" s="735">
        <v>1100000</v>
      </c>
      <c r="I31" s="1778">
        <f>((E31+F31)-H31)+G31</f>
        <v>0</v>
      </c>
      <c r="J31" s="735"/>
      <c r="K31" s="737"/>
    </row>
    <row r="32" spans="1:11" ht="12" customHeight="1" x14ac:dyDescent="0.2">
      <c r="A32" s="733" t="s">
        <v>2096</v>
      </c>
      <c r="B32" s="734">
        <v>40625</v>
      </c>
      <c r="C32" s="735">
        <v>9465000</v>
      </c>
      <c r="D32" s="736">
        <v>3</v>
      </c>
      <c r="E32" s="735">
        <v>3965000</v>
      </c>
      <c r="F32" s="735"/>
      <c r="G32" s="735"/>
      <c r="H32" s="735">
        <v>1680000</v>
      </c>
      <c r="I32" s="1778">
        <f>((E32+F32)-H32)+G32</f>
        <v>2285000</v>
      </c>
      <c r="J32" s="735">
        <v>0</v>
      </c>
      <c r="K32" s="737"/>
    </row>
    <row r="33" spans="1:11" ht="12" customHeight="1" x14ac:dyDescent="0.2">
      <c r="A33" s="733" t="s">
        <v>2097</v>
      </c>
      <c r="B33" s="734">
        <v>41123</v>
      </c>
      <c r="C33" s="735">
        <v>9470000</v>
      </c>
      <c r="D33" s="736">
        <v>3</v>
      </c>
      <c r="E33" s="735">
        <v>9470000</v>
      </c>
      <c r="F33" s="735"/>
      <c r="G33" s="735"/>
      <c r="H33" s="735"/>
      <c r="I33" s="1778">
        <f t="shared" ref="I33:I48" si="1">((E33+F33)-H33)+G33</f>
        <v>9470000</v>
      </c>
      <c r="J33" s="735">
        <v>9470000</v>
      </c>
      <c r="K33" s="737"/>
    </row>
    <row r="34" spans="1:11" ht="12" customHeight="1" x14ac:dyDescent="0.2">
      <c r="A34" s="733" t="s">
        <v>2098</v>
      </c>
      <c r="B34" s="734">
        <v>41123</v>
      </c>
      <c r="C34" s="735">
        <v>1215000</v>
      </c>
      <c r="D34" s="736">
        <v>3</v>
      </c>
      <c r="E34" s="735">
        <v>1215000</v>
      </c>
      <c r="F34" s="735"/>
      <c r="G34" s="735"/>
      <c r="H34" s="735"/>
      <c r="I34" s="1778">
        <f t="shared" si="1"/>
        <v>1215000</v>
      </c>
      <c r="J34" s="735">
        <v>1215000</v>
      </c>
      <c r="K34" s="738"/>
    </row>
    <row r="35" spans="1:11" ht="12" customHeight="1" x14ac:dyDescent="0.2">
      <c r="A35" s="733" t="s">
        <v>2099</v>
      </c>
      <c r="B35" s="734">
        <v>41751</v>
      </c>
      <c r="C35" s="739">
        <v>8965000</v>
      </c>
      <c r="D35" s="736">
        <v>3</v>
      </c>
      <c r="E35" s="739">
        <v>8965000</v>
      </c>
      <c r="F35" s="739"/>
      <c r="G35" s="739"/>
      <c r="H35" s="739"/>
      <c r="I35" s="1778">
        <f t="shared" si="1"/>
        <v>8965000</v>
      </c>
      <c r="J35" s="739">
        <v>8965000</v>
      </c>
      <c r="K35" s="738"/>
    </row>
    <row r="36" spans="1:11" ht="12" customHeight="1" x14ac:dyDescent="0.2">
      <c r="A36" s="733" t="s">
        <v>2100</v>
      </c>
      <c r="B36" s="734">
        <v>42053</v>
      </c>
      <c r="C36" s="735">
        <v>11900000</v>
      </c>
      <c r="D36" s="736">
        <v>1</v>
      </c>
      <c r="E36" s="735">
        <v>5300000</v>
      </c>
      <c r="F36" s="735"/>
      <c r="G36" s="735"/>
      <c r="H36" s="735">
        <v>2625000</v>
      </c>
      <c r="I36" s="1778">
        <f t="shared" si="1"/>
        <v>2675000</v>
      </c>
      <c r="J36" s="735">
        <f>46993788-46930000</f>
        <v>63788</v>
      </c>
      <c r="K36" s="740"/>
    </row>
    <row r="37" spans="1:11" ht="12" customHeight="1" x14ac:dyDescent="0.2">
      <c r="A37" s="733" t="s">
        <v>2101</v>
      </c>
      <c r="B37" s="734">
        <v>42053</v>
      </c>
      <c r="C37" s="467">
        <v>9130000</v>
      </c>
      <c r="D37" s="741">
        <v>3</v>
      </c>
      <c r="E37" s="467">
        <v>9130000</v>
      </c>
      <c r="F37" s="467"/>
      <c r="G37" s="467"/>
      <c r="H37" s="467"/>
      <c r="I37" s="1778">
        <f t="shared" si="1"/>
        <v>9130000</v>
      </c>
      <c r="J37" s="467">
        <v>9130000</v>
      </c>
      <c r="K37" s="738"/>
    </row>
    <row r="38" spans="1:11" ht="12" customHeight="1" x14ac:dyDescent="0.2">
      <c r="A38" s="733" t="s">
        <v>2102</v>
      </c>
      <c r="B38" s="734">
        <v>42446</v>
      </c>
      <c r="C38" s="735">
        <v>4000000</v>
      </c>
      <c r="D38" s="742">
        <v>3</v>
      </c>
      <c r="E38" s="743">
        <v>3675000</v>
      </c>
      <c r="F38" s="743"/>
      <c r="G38" s="743"/>
      <c r="H38" s="743">
        <v>1325000</v>
      </c>
      <c r="I38" s="1778">
        <f t="shared" si="1"/>
        <v>2350000</v>
      </c>
      <c r="J38" s="744">
        <v>2350000</v>
      </c>
      <c r="K38" s="745"/>
    </row>
    <row r="39" spans="1:11" ht="12" customHeight="1" x14ac:dyDescent="0.2">
      <c r="A39" s="733" t="s">
        <v>2103</v>
      </c>
      <c r="B39" s="734">
        <v>42446</v>
      </c>
      <c r="C39" s="735">
        <v>8750000</v>
      </c>
      <c r="D39" s="742">
        <v>3</v>
      </c>
      <c r="E39" s="743">
        <v>8750000</v>
      </c>
      <c r="F39" s="743"/>
      <c r="G39" s="743"/>
      <c r="H39" s="743"/>
      <c r="I39" s="1778">
        <f t="shared" si="1"/>
        <v>8750000</v>
      </c>
      <c r="J39" s="744">
        <v>8750000</v>
      </c>
      <c r="K39" s="745"/>
    </row>
    <row r="40" spans="1:11" ht="12" customHeight="1" x14ac:dyDescent="0.2">
      <c r="A40" s="733" t="s">
        <v>2104</v>
      </c>
      <c r="B40" s="734">
        <v>43265</v>
      </c>
      <c r="C40" s="735">
        <v>7050000</v>
      </c>
      <c r="D40" s="742">
        <v>3</v>
      </c>
      <c r="E40" s="743"/>
      <c r="F40" s="743">
        <v>7050000</v>
      </c>
      <c r="G40" s="743"/>
      <c r="H40" s="743"/>
      <c r="I40" s="1778">
        <f t="shared" si="1"/>
        <v>7050000</v>
      </c>
      <c r="J40" s="744">
        <v>7050000</v>
      </c>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79945000</v>
      </c>
      <c r="D49" s="746"/>
      <c r="E49" s="1778">
        <f t="shared" ref="E49:J49" si="2">SUM(E31:E48)</f>
        <v>58720000</v>
      </c>
      <c r="F49" s="1778">
        <f t="shared" si="2"/>
        <v>7050000</v>
      </c>
      <c r="G49" s="1778">
        <f t="shared" si="2"/>
        <v>-7150000</v>
      </c>
      <c r="H49" s="1778">
        <f t="shared" si="2"/>
        <v>6730000</v>
      </c>
      <c r="I49" s="1778">
        <f t="shared" si="2"/>
        <v>51890000</v>
      </c>
      <c r="J49" s="1778">
        <f t="shared" si="2"/>
        <v>46993788</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02" t="s">
        <v>604</v>
      </c>
      <c r="C52" s="2203"/>
      <c r="D52" s="2203"/>
      <c r="E52" s="750" t="s">
        <v>899</v>
      </c>
      <c r="F52" s="2204"/>
      <c r="G52" s="2205"/>
      <c r="H52" s="737"/>
      <c r="I52" s="737"/>
      <c r="J52" s="747"/>
    </row>
    <row r="53" spans="1:11" ht="11.25" customHeight="1" x14ac:dyDescent="0.2">
      <c r="A53" s="751" t="s">
        <v>968</v>
      </c>
      <c r="B53" s="752" t="s">
        <v>1007</v>
      </c>
      <c r="C53" s="747"/>
      <c r="D53" s="738"/>
      <c r="E53" s="750" t="s">
        <v>517</v>
      </c>
      <c r="F53" s="2206"/>
      <c r="G53" s="2207"/>
      <c r="H53" s="737"/>
      <c r="I53" s="737"/>
      <c r="J53" s="747"/>
    </row>
    <row r="54" spans="1:11" ht="11.25" customHeight="1" x14ac:dyDescent="0.2">
      <c r="A54" s="753" t="s">
        <v>969</v>
      </c>
      <c r="B54" s="748" t="s">
        <v>1008</v>
      </c>
      <c r="C54" s="747"/>
      <c r="D54" s="738"/>
      <c r="E54" s="750" t="s">
        <v>518</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910</v>
      </c>
      <c r="B1" s="2232"/>
      <c r="C1" s="2232"/>
      <c r="D1" s="2232"/>
      <c r="E1" s="2232"/>
      <c r="F1" s="2232"/>
      <c r="G1" s="2233"/>
      <c r="H1" s="1552"/>
      <c r="I1" s="761"/>
      <c r="J1" s="433"/>
    </row>
    <row r="2" spans="1:11" ht="26.25" x14ac:dyDescent="0.2">
      <c r="A2" s="2250" t="s">
        <v>1775</v>
      </c>
      <c r="B2" s="2251"/>
      <c r="C2" s="2251"/>
      <c r="D2" s="2251"/>
      <c r="E2" s="2252"/>
      <c r="F2" s="762" t="s">
        <v>959</v>
      </c>
      <c r="G2" s="763" t="s">
        <v>1772</v>
      </c>
      <c r="H2" s="763" t="s">
        <v>429</v>
      </c>
      <c r="I2" s="763" t="s">
        <v>1219</v>
      </c>
      <c r="J2" s="763" t="s">
        <v>1918</v>
      </c>
      <c r="K2" s="763" t="s">
        <v>140</v>
      </c>
    </row>
    <row r="3" spans="1:11" x14ac:dyDescent="0.2">
      <c r="A3" s="2253" t="s">
        <v>1697</v>
      </c>
      <c r="B3" s="2254"/>
      <c r="C3" s="2254"/>
      <c r="D3" s="2254"/>
      <c r="E3" s="2255"/>
      <c r="F3" s="764"/>
      <c r="G3" s="765"/>
      <c r="H3" s="765"/>
      <c r="I3" s="765"/>
      <c r="J3" s="766"/>
      <c r="K3" s="766"/>
    </row>
    <row r="4" spans="1:11" x14ac:dyDescent="0.2">
      <c r="A4" s="2256" t="s">
        <v>386</v>
      </c>
      <c r="B4" s="2257"/>
      <c r="C4" s="2257"/>
      <c r="D4" s="2257"/>
      <c r="E4" s="2203"/>
      <c r="F4" s="767"/>
      <c r="G4" s="768"/>
      <c r="H4" s="769"/>
      <c r="I4" s="768"/>
      <c r="J4" s="770"/>
      <c r="K4" s="770"/>
    </row>
    <row r="5" spans="1:11" x14ac:dyDescent="0.2">
      <c r="A5" s="2234" t="s">
        <v>1128</v>
      </c>
      <c r="B5" s="2235"/>
      <c r="C5" s="2235"/>
      <c r="D5" s="2235"/>
      <c r="E5" s="2236"/>
      <c r="F5" s="771" t="s">
        <v>902</v>
      </c>
      <c r="G5" s="772"/>
      <c r="H5" s="765">
        <v>258790</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64134</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101598</v>
      </c>
    </row>
    <row r="10" spans="1:11" x14ac:dyDescent="0.2">
      <c r="A10" s="2234" t="s">
        <v>1919</v>
      </c>
      <c r="B10" s="2235"/>
      <c r="C10" s="2235"/>
      <c r="D10" s="2235"/>
      <c r="E10" s="2237"/>
      <c r="F10" s="784" t="s">
        <v>916</v>
      </c>
      <c r="G10" s="783"/>
      <c r="H10" s="785"/>
      <c r="I10" s="765"/>
      <c r="J10" s="766"/>
      <c r="K10" s="766"/>
    </row>
    <row r="11" spans="1:11" x14ac:dyDescent="0.2">
      <c r="A11" s="2234" t="s">
        <v>162</v>
      </c>
      <c r="B11" s="2235"/>
      <c r="C11" s="2235"/>
      <c r="D11" s="2235"/>
      <c r="E11" s="2236"/>
      <c r="F11" s="771" t="s">
        <v>906</v>
      </c>
      <c r="G11" s="772"/>
      <c r="H11" s="765"/>
      <c r="I11" s="765"/>
      <c r="J11" s="766"/>
      <c r="K11" s="774"/>
    </row>
    <row r="12" spans="1:11" ht="13.5" thickBot="1" x14ac:dyDescent="0.25">
      <c r="A12" s="2261" t="s">
        <v>960</v>
      </c>
      <c r="B12" s="2262"/>
      <c r="C12" s="2262"/>
      <c r="D12" s="2262"/>
      <c r="E12" s="2263"/>
      <c r="F12" s="1779"/>
      <c r="G12" s="1780">
        <f>SUM(G5:G11)</f>
        <v>0</v>
      </c>
      <c r="H12" s="1780">
        <f>SUM(H5:H11)</f>
        <v>258790</v>
      </c>
      <c r="I12" s="1780">
        <f>SUM(I5:I11)</f>
        <v>0</v>
      </c>
      <c r="J12" s="1780">
        <f>SUM(J5:J11)</f>
        <v>0</v>
      </c>
      <c r="K12" s="1780">
        <f>SUM(K5:K11)</f>
        <v>165732</v>
      </c>
    </row>
    <row r="13" spans="1:11" ht="13.5" thickTop="1" x14ac:dyDescent="0.2">
      <c r="A13" s="2258" t="s">
        <v>387</v>
      </c>
      <c r="B13" s="2259"/>
      <c r="C13" s="2259"/>
      <c r="D13" s="2259"/>
      <c r="E13" s="2260"/>
      <c r="F13" s="786"/>
      <c r="G13" s="787"/>
      <c r="H13" s="788"/>
      <c r="I13" s="789"/>
      <c r="J13" s="789"/>
      <c r="K13" s="789"/>
    </row>
    <row r="14" spans="1:11" x14ac:dyDescent="0.2">
      <c r="A14" s="2241" t="s">
        <v>475</v>
      </c>
      <c r="B14" s="2241"/>
      <c r="C14" s="2241"/>
      <c r="D14" s="2241"/>
      <c r="E14" s="2242"/>
      <c r="F14" s="790" t="s">
        <v>908</v>
      </c>
      <c r="G14" s="783"/>
      <c r="H14" s="765">
        <v>258790</v>
      </c>
      <c r="I14" s="772"/>
      <c r="J14" s="774"/>
      <c r="K14" s="766">
        <v>165732</v>
      </c>
    </row>
    <row r="15" spans="1:11" x14ac:dyDescent="0.2">
      <c r="A15" s="2235" t="s">
        <v>4</v>
      </c>
      <c r="B15" s="2235"/>
      <c r="C15" s="2235"/>
      <c r="D15" s="2235"/>
      <c r="E15" s="2236"/>
      <c r="F15" s="790" t="s">
        <v>909</v>
      </c>
      <c r="G15" s="772"/>
      <c r="H15" s="765"/>
      <c r="I15" s="765"/>
      <c r="J15" s="766"/>
      <c r="K15" s="766"/>
    </row>
    <row r="16" spans="1:11" x14ac:dyDescent="0.2">
      <c r="A16" s="2235" t="s">
        <v>315</v>
      </c>
      <c r="B16" s="2235"/>
      <c r="C16" s="2235"/>
      <c r="D16" s="2235"/>
      <c r="E16" s="2236"/>
      <c r="F16" s="790" t="s">
        <v>979</v>
      </c>
      <c r="G16" s="773"/>
      <c r="H16" s="768"/>
      <c r="I16" s="768"/>
      <c r="J16" s="770"/>
      <c r="K16" s="770"/>
    </row>
    <row r="17" spans="1:11" x14ac:dyDescent="0.2">
      <c r="A17" s="2266" t="s">
        <v>991</v>
      </c>
      <c r="B17" s="2266"/>
      <c r="C17" s="2266"/>
      <c r="D17" s="2266"/>
      <c r="E17" s="2267"/>
      <c r="F17" s="791"/>
      <c r="G17" s="792"/>
      <c r="H17" s="793"/>
      <c r="I17" s="793"/>
      <c r="J17" s="794"/>
      <c r="K17" s="795"/>
    </row>
    <row r="18" spans="1:11" x14ac:dyDescent="0.2">
      <c r="A18" s="2245" t="s">
        <v>385</v>
      </c>
      <c r="B18" s="2246"/>
      <c r="C18" s="2246"/>
      <c r="D18" s="2246"/>
      <c r="E18" s="2247"/>
      <c r="F18" s="790" t="s">
        <v>988</v>
      </c>
      <c r="G18" s="783"/>
      <c r="H18" s="783"/>
      <c r="I18" s="783"/>
      <c r="J18" s="766"/>
      <c r="K18" s="796"/>
    </row>
    <row r="19" spans="1:11" ht="21.75" customHeight="1" x14ac:dyDescent="0.2">
      <c r="A19" s="2243" t="s">
        <v>1915</v>
      </c>
      <c r="B19" s="2243"/>
      <c r="C19" s="2243"/>
      <c r="D19" s="2243"/>
      <c r="E19" s="2244"/>
      <c r="F19" s="790" t="s">
        <v>989</v>
      </c>
      <c r="G19" s="783"/>
      <c r="H19" s="783"/>
      <c r="I19" s="783"/>
      <c r="J19" s="766"/>
      <c r="K19" s="796"/>
    </row>
    <row r="20" spans="1:11" x14ac:dyDescent="0.2">
      <c r="A20" s="2245" t="s">
        <v>1920</v>
      </c>
      <c r="B20" s="2246"/>
      <c r="C20" s="2246"/>
      <c r="D20" s="2246"/>
      <c r="E20" s="2247"/>
      <c r="F20" s="790" t="s">
        <v>990</v>
      </c>
      <c r="G20" s="783"/>
      <c r="H20" s="783"/>
      <c r="I20" s="783"/>
      <c r="J20" s="766"/>
      <c r="K20" s="796"/>
    </row>
    <row r="21" spans="1:11" ht="13.5" thickBot="1" x14ac:dyDescent="0.25">
      <c r="A21" s="2264" t="s">
        <v>658</v>
      </c>
      <c r="B21" s="2264"/>
      <c r="C21" s="2264"/>
      <c r="D21" s="2264"/>
      <c r="E21" s="2264"/>
      <c r="F21" s="1781"/>
      <c r="G21" s="793"/>
      <c r="H21" s="797"/>
      <c r="I21" s="797"/>
      <c r="J21" s="1782">
        <f>SUM(J18:J20)</f>
        <v>0</v>
      </c>
      <c r="K21" s="794"/>
    </row>
    <row r="22" spans="1:11" ht="13.5" thickTop="1" x14ac:dyDescent="0.2">
      <c r="A22" s="2235" t="s">
        <v>1921</v>
      </c>
      <c r="B22" s="2235"/>
      <c r="C22" s="2235"/>
      <c r="D22" s="2235"/>
      <c r="E22" s="2236"/>
      <c r="F22" s="790" t="s">
        <v>916</v>
      </c>
      <c r="G22" s="783"/>
      <c r="H22" s="765"/>
      <c r="I22" s="765"/>
      <c r="J22" s="798"/>
      <c r="K22" s="766"/>
    </row>
    <row r="23" spans="1:11" ht="13.5" thickBot="1" x14ac:dyDescent="0.25">
      <c r="A23" s="2265" t="s">
        <v>961</v>
      </c>
      <c r="B23" s="2264"/>
      <c r="C23" s="2264"/>
      <c r="D23" s="2264"/>
      <c r="E23" s="2264"/>
      <c r="F23" s="1783"/>
      <c r="G23" s="1780">
        <f>SUM(G14:G16,G21,G22)</f>
        <v>0</v>
      </c>
      <c r="H23" s="1780">
        <f>SUM(H14:H16,H21,H22)</f>
        <v>258790</v>
      </c>
      <c r="I23" s="1780">
        <f>SUM(I14:I16,I21,I22)</f>
        <v>0</v>
      </c>
      <c r="J23" s="1780">
        <f>SUM(J14:J16,J21,J22)</f>
        <v>0</v>
      </c>
      <c r="K23" s="1780">
        <f>SUM(K14:K16,K21,K22)</f>
        <v>165732</v>
      </c>
    </row>
    <row r="24" spans="1:11" ht="14.25" thickTop="1" thickBot="1" x14ac:dyDescent="0.25">
      <c r="A24" s="2265" t="s">
        <v>2023</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38"/>
      <c r="I31" s="2239"/>
      <c r="J31" s="2239"/>
      <c r="K31" s="2239"/>
    </row>
    <row r="32" spans="1:11" x14ac:dyDescent="0.2">
      <c r="A32" s="810"/>
      <c r="B32" s="237"/>
      <c r="C32" s="237"/>
      <c r="D32" s="237"/>
      <c r="E32" s="806"/>
      <c r="F32" s="812" t="s">
        <v>560</v>
      </c>
      <c r="G32" s="765"/>
      <c r="H32" s="2240"/>
      <c r="I32" s="2239"/>
      <c r="J32" s="2239"/>
      <c r="K32" s="2239"/>
    </row>
    <row r="33" spans="1:11" ht="1.5" customHeight="1" x14ac:dyDescent="0.2">
      <c r="A33" s="813" t="s">
        <v>1230</v>
      </c>
      <c r="B33" s="364"/>
      <c r="C33" s="364"/>
      <c r="D33" s="364"/>
      <c r="E33" s="364"/>
      <c r="F33" s="364"/>
      <c r="G33" s="814"/>
      <c r="H33" s="2240"/>
      <c r="I33" s="2239"/>
      <c r="J33" s="2239"/>
      <c r="K33" s="2239"/>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5" t="s">
        <v>561</v>
      </c>
      <c r="B41" s="2248"/>
      <c r="C41" s="2248"/>
      <c r="D41" s="2248"/>
      <c r="E41" s="2248"/>
      <c r="F41" s="2249"/>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7" sqref="J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2032</v>
      </c>
      <c r="B1" s="2271"/>
      <c r="C1" s="2272"/>
      <c r="D1" s="827"/>
      <c r="E1" s="828"/>
      <c r="F1" s="828"/>
      <c r="G1" s="829"/>
      <c r="H1" s="830"/>
      <c r="I1" s="831"/>
      <c r="J1" s="2268"/>
      <c r="K1" s="2269"/>
      <c r="L1" s="2269"/>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c r="D5" s="842"/>
      <c r="E5" s="842"/>
      <c r="F5" s="1782">
        <f>(C5+D5)-E5</f>
        <v>0</v>
      </c>
      <c r="G5" s="838"/>
      <c r="H5" s="843"/>
      <c r="I5" s="843"/>
      <c r="J5" s="843"/>
      <c r="K5" s="794"/>
      <c r="L5" s="1791">
        <f>F5-K5</f>
        <v>0</v>
      </c>
    </row>
    <row r="6" spans="1:14" ht="14.25" thickTop="1" thickBot="1" x14ac:dyDescent="0.25">
      <c r="A6" s="779" t="s">
        <v>1178</v>
      </c>
      <c r="B6" s="841">
        <v>222</v>
      </c>
      <c r="C6" s="766">
        <v>5855792</v>
      </c>
      <c r="D6" s="766"/>
      <c r="E6" s="766"/>
      <c r="F6" s="1782">
        <f>(C6+D6)-E6</f>
        <v>5855792</v>
      </c>
      <c r="G6" s="838">
        <v>50</v>
      </c>
      <c r="H6" s="766"/>
      <c r="I6" s="766"/>
      <c r="J6" s="766"/>
      <c r="K6" s="1791">
        <f>(H6+I6)-J6</f>
        <v>0</v>
      </c>
      <c r="L6" s="1791">
        <f>F6-K6</f>
        <v>5855792</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92486597</v>
      </c>
      <c r="D8" s="845"/>
      <c r="E8" s="845"/>
      <c r="F8" s="1782">
        <f>(C8+D8)-E8</f>
        <v>92486597</v>
      </c>
      <c r="G8" s="844">
        <v>50</v>
      </c>
      <c r="H8" s="766"/>
      <c r="I8" s="766"/>
      <c r="J8" s="766"/>
      <c r="K8" s="1791">
        <f>(H8+I8)-J8</f>
        <v>0</v>
      </c>
      <c r="L8" s="1791">
        <f>F8-K8</f>
        <v>92486597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3879114</v>
      </c>
      <c r="D10" s="847"/>
      <c r="E10" s="847"/>
      <c r="F10" s="1786">
        <f>(C10+D10)-E10</f>
        <v>3879114</v>
      </c>
      <c r="G10" s="844">
        <v>20</v>
      </c>
      <c r="H10" s="848"/>
      <c r="I10" s="848"/>
      <c r="J10" s="848"/>
      <c r="K10" s="1791">
        <f>(H10+I10)-J10</f>
        <v>0</v>
      </c>
      <c r="L10" s="1791">
        <f>F10-K10</f>
        <v>3879114</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3035720</v>
      </c>
      <c r="D12" s="845"/>
      <c r="E12" s="845"/>
      <c r="F12" s="1782">
        <f>(C12+D12)-E12</f>
        <v>3035720</v>
      </c>
      <c r="G12" s="844">
        <v>10</v>
      </c>
      <c r="H12" s="766"/>
      <c r="I12" s="766"/>
      <c r="J12" s="766"/>
      <c r="K12" s="1791">
        <f>(H12+I12)-J12</f>
        <v>0</v>
      </c>
      <c r="L12" s="1791">
        <f>F12-K12</f>
        <v>3035720</v>
      </c>
    </row>
    <row r="13" spans="1:14" ht="14.25" thickTop="1" thickBot="1" x14ac:dyDescent="0.25">
      <c r="A13" s="849" t="s">
        <v>1183</v>
      </c>
      <c r="B13" s="841">
        <v>252</v>
      </c>
      <c r="C13" s="845">
        <v>10210062</v>
      </c>
      <c r="D13" s="845">
        <v>69942</v>
      </c>
      <c r="E13" s="845"/>
      <c r="F13" s="1782">
        <f>(C13+D13)-E13</f>
        <v>10280004</v>
      </c>
      <c r="G13" s="844">
        <v>5</v>
      </c>
      <c r="H13" s="766"/>
      <c r="I13" s="766"/>
      <c r="J13" s="766"/>
      <c r="K13" s="1791">
        <f>(H13+I13)-J13</f>
        <v>0</v>
      </c>
      <c r="L13" s="1791">
        <f>F13-K13</f>
        <v>10280004</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115467285</v>
      </c>
      <c r="D16" s="1782">
        <f>SUM(D3,D5:D6,D8:D10,D12:D15)</f>
        <v>69942</v>
      </c>
      <c r="E16" s="1782">
        <f>SUM(E3,E5:E6,E8:E10,E12:E15)</f>
        <v>0</v>
      </c>
      <c r="F16" s="1782">
        <f>SUM(F3,F5:F6,F8:F10,F12:F15)</f>
        <v>115537227</v>
      </c>
      <c r="G16" s="844"/>
      <c r="H16" s="1782">
        <f>SUM(H3,H6,H8:H10,H12:H14,)</f>
        <v>0</v>
      </c>
      <c r="I16" s="1782">
        <f>SUM(I3,I6,I8:I10,I12:I14,)</f>
        <v>0</v>
      </c>
      <c r="J16" s="1782">
        <f>SUM(J3,J6,J8:J10,J12:J14,)</f>
        <v>0</v>
      </c>
      <c r="K16" s="1782">
        <f>(H16+I16)-J16</f>
        <v>0</v>
      </c>
      <c r="L16" s="1782">
        <f>F16-K16</f>
        <v>115537227</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497</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26251296</v>
      </c>
      <c r="G8" s="866"/>
    </row>
    <row r="9" spans="1:7" x14ac:dyDescent="0.2">
      <c r="A9" s="870" t="s">
        <v>479</v>
      </c>
      <c r="B9" s="871" t="s">
        <v>1987</v>
      </c>
      <c r="C9" s="872"/>
      <c r="D9" s="870" t="s">
        <v>521</v>
      </c>
      <c r="E9" s="869"/>
      <c r="F9" s="1934">
        <f>'Expenditures 15-22'!K151</f>
        <v>3756656</v>
      </c>
      <c r="G9" s="873"/>
    </row>
    <row r="10" spans="1:7" x14ac:dyDescent="0.2">
      <c r="A10" s="870" t="s">
        <v>519</v>
      </c>
      <c r="B10" s="871" t="s">
        <v>1988</v>
      </c>
      <c r="C10" s="872"/>
      <c r="D10" s="870" t="s">
        <v>521</v>
      </c>
      <c r="E10" s="869"/>
      <c r="F10" s="1934">
        <f>'Expenditures 15-22'!K174</f>
        <v>9016367</v>
      </c>
      <c r="G10" s="873"/>
    </row>
    <row r="11" spans="1:7" x14ac:dyDescent="0.2">
      <c r="A11" s="870" t="s">
        <v>480</v>
      </c>
      <c r="B11" s="871" t="s">
        <v>1989</v>
      </c>
      <c r="C11" s="872"/>
      <c r="D11" s="870" t="s">
        <v>521</v>
      </c>
      <c r="E11" s="869"/>
      <c r="F11" s="1934">
        <f>'Expenditures 15-22'!K210</f>
        <v>2389464</v>
      </c>
      <c r="G11" s="873"/>
    </row>
    <row r="12" spans="1:7" x14ac:dyDescent="0.2">
      <c r="A12" s="870" t="s">
        <v>481</v>
      </c>
      <c r="B12" s="871" t="s">
        <v>1990</v>
      </c>
      <c r="C12" s="872"/>
      <c r="D12" s="870" t="s">
        <v>521</v>
      </c>
      <c r="E12" s="869"/>
      <c r="F12" s="1934">
        <f>'Expenditures 15-22'!K295</f>
        <v>883618</v>
      </c>
      <c r="G12" s="873"/>
    </row>
    <row r="13" spans="1:7" x14ac:dyDescent="0.2">
      <c r="A13" s="870" t="s">
        <v>108</v>
      </c>
      <c r="B13" s="871" t="s">
        <v>1991</v>
      </c>
      <c r="C13" s="872"/>
      <c r="D13" s="870" t="s">
        <v>521</v>
      </c>
      <c r="E13" s="869"/>
      <c r="F13" s="1934">
        <f>'Expenditures 15-22'!K342</f>
        <v>850482</v>
      </c>
      <c r="G13" s="874"/>
    </row>
    <row r="14" spans="1:7" ht="12" customHeight="1" thickBot="1" x14ac:dyDescent="0.25">
      <c r="A14" s="1792"/>
      <c r="B14" s="1793"/>
      <c r="C14" s="1794"/>
      <c r="D14" s="1795" t="s">
        <v>521</v>
      </c>
      <c r="E14" s="1796" t="s">
        <v>1014</v>
      </c>
      <c r="F14" s="1797">
        <f>SUM(F8:F13)</f>
        <v>43147883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921012</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8">
        <f>'Expenditures 15-22'!K102</f>
        <v>2115581</v>
      </c>
      <c r="G53" s="866"/>
    </row>
    <row r="54" spans="1:7" x14ac:dyDescent="0.2">
      <c r="A54" s="870" t="s">
        <v>478</v>
      </c>
      <c r="B54" s="870" t="s">
        <v>1551</v>
      </c>
      <c r="C54" s="890" t="s">
        <v>1038</v>
      </c>
      <c r="D54" s="886" t="s">
        <v>1156</v>
      </c>
      <c r="E54" s="869"/>
      <c r="F54" s="1938">
        <f>'Expenditures 15-22'!G114</f>
        <v>178444</v>
      </c>
      <c r="G54" s="866"/>
    </row>
    <row r="55" spans="1:7" x14ac:dyDescent="0.2">
      <c r="A55" s="870" t="s">
        <v>478</v>
      </c>
      <c r="B55" s="870" t="s">
        <v>1552</v>
      </c>
      <c r="C55" s="890" t="s">
        <v>1038</v>
      </c>
      <c r="D55" s="886" t="s">
        <v>308</v>
      </c>
      <c r="E55" s="869"/>
      <c r="F55" s="1938">
        <f>'Expenditures 15-22'!I114</f>
        <v>0</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1992</v>
      </c>
      <c r="C57" s="890">
        <f>'Expenditures 15-22'!B139</f>
        <v>4000</v>
      </c>
      <c r="D57" s="888" t="str">
        <f>'Expenditures 15-22'!A139</f>
        <v>Total Payments to Other Govt Units</v>
      </c>
      <c r="E57" s="869"/>
      <c r="F57" s="1938">
        <f>'Expenditures 15-22'!K139</f>
        <v>355275</v>
      </c>
      <c r="G57" s="866"/>
    </row>
    <row r="58" spans="1:7" x14ac:dyDescent="0.2">
      <c r="A58" s="870" t="s">
        <v>479</v>
      </c>
      <c r="B58" s="870" t="s">
        <v>1993</v>
      </c>
      <c r="C58" s="887" t="s">
        <v>1038</v>
      </c>
      <c r="D58" s="886" t="s">
        <v>1156</v>
      </c>
      <c r="E58" s="869"/>
      <c r="F58" s="1940">
        <f>'Expenditures 15-22'!G151</f>
        <v>159929</v>
      </c>
      <c r="G58" s="866"/>
    </row>
    <row r="59" spans="1:7" x14ac:dyDescent="0.2">
      <c r="A59" s="894" t="s">
        <v>479</v>
      </c>
      <c r="B59" s="857" t="s">
        <v>1994</v>
      </c>
      <c r="C59" s="895" t="s">
        <v>1038</v>
      </c>
      <c r="D59" s="857" t="s">
        <v>308</v>
      </c>
      <c r="F59" s="1941">
        <f>'Expenditures 15-22'!I151</f>
        <v>0</v>
      </c>
      <c r="G59" s="866"/>
    </row>
    <row r="60" spans="1:7" x14ac:dyDescent="0.2">
      <c r="A60" s="894" t="s">
        <v>519</v>
      </c>
      <c r="B60" s="857" t="s">
        <v>1995</v>
      </c>
      <c r="C60" s="895">
        <v>4000</v>
      </c>
      <c r="D60" s="857" t="s">
        <v>329</v>
      </c>
      <c r="F60" s="1939">
        <f>'Expenditures 15-22'!K160</f>
        <v>0</v>
      </c>
      <c r="G60" s="866"/>
    </row>
    <row r="61" spans="1:7" x14ac:dyDescent="0.2">
      <c r="A61" s="896" t="s">
        <v>519</v>
      </c>
      <c r="B61" s="896" t="s">
        <v>1996</v>
      </c>
      <c r="C61" s="897" t="str">
        <f>'Expenditures 15-22'!B170</f>
        <v>5300</v>
      </c>
      <c r="D61" s="898" t="s">
        <v>328</v>
      </c>
      <c r="E61" s="880"/>
      <c r="F61" s="1938">
        <f>'Expenditures 15-22'!K170</f>
        <v>6730000</v>
      </c>
      <c r="G61" s="866"/>
    </row>
    <row r="62" spans="1:7" x14ac:dyDescent="0.2">
      <c r="A62" s="870" t="s">
        <v>480</v>
      </c>
      <c r="B62" s="870" t="s">
        <v>1997</v>
      </c>
      <c r="C62" s="887">
        <f>'Expenditures 15-22'!B185</f>
        <v>3000</v>
      </c>
      <c r="D62" s="877" t="s">
        <v>468</v>
      </c>
      <c r="E62" s="869"/>
      <c r="F62" s="1938">
        <f>'Expenditures 15-22'!K185-SUM('Expenditures 15-22'!G185,'Expenditures 15-22'!I185)</f>
        <v>0</v>
      </c>
      <c r="G62" s="866"/>
    </row>
    <row r="63" spans="1:7" x14ac:dyDescent="0.2">
      <c r="A63" s="870" t="s">
        <v>480</v>
      </c>
      <c r="B63" s="870" t="s">
        <v>1998</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1999</v>
      </c>
      <c r="C64" s="897" t="str">
        <f>'Expenditures 15-22'!B206</f>
        <v>5300</v>
      </c>
      <c r="D64" s="893" t="s">
        <v>328</v>
      </c>
      <c r="E64" s="869"/>
      <c r="F64" s="1938">
        <f>'Expenditures 15-22'!K206</f>
        <v>0</v>
      </c>
      <c r="G64" s="866"/>
    </row>
    <row r="65" spans="1:8" x14ac:dyDescent="0.2">
      <c r="A65" s="870" t="s">
        <v>480</v>
      </c>
      <c r="B65" s="870" t="s">
        <v>2000</v>
      </c>
      <c r="C65" s="887" t="s">
        <v>1038</v>
      </c>
      <c r="D65" s="886" t="s">
        <v>1156</v>
      </c>
      <c r="E65" s="869"/>
      <c r="F65" s="1938">
        <f>'Expenditures 15-22'!G210</f>
        <v>23592</v>
      </c>
      <c r="G65" s="866"/>
    </row>
    <row r="66" spans="1:8" x14ac:dyDescent="0.2">
      <c r="A66" s="870" t="s">
        <v>480</v>
      </c>
      <c r="B66" s="870" t="s">
        <v>2001</v>
      </c>
      <c r="C66" s="887" t="s">
        <v>1038</v>
      </c>
      <c r="D66" s="886" t="s">
        <v>308</v>
      </c>
      <c r="E66" s="869"/>
      <c r="F66" s="1938">
        <f>'Expenditures 15-22'!I210</f>
        <v>0</v>
      </c>
      <c r="G66" s="866"/>
    </row>
    <row r="67" spans="1:8" x14ac:dyDescent="0.2">
      <c r="A67" s="870" t="s">
        <v>481</v>
      </c>
      <c r="B67" s="870" t="s">
        <v>2002</v>
      </c>
      <c r="C67" s="887" t="str">
        <f>'Expenditures 15-22'!B216</f>
        <v>1125</v>
      </c>
      <c r="D67" s="893" t="str">
        <f>'Expenditures 15-22'!A216</f>
        <v>Pre-K Programs</v>
      </c>
      <c r="E67" s="869"/>
      <c r="F67" s="1938">
        <f>'Expenditures 15-22'!K216</f>
        <v>132204</v>
      </c>
      <c r="G67" s="866"/>
    </row>
    <row r="68" spans="1:8" x14ac:dyDescent="0.2">
      <c r="A68" s="870" t="s">
        <v>481</v>
      </c>
      <c r="B68" s="870" t="s">
        <v>1554</v>
      </c>
      <c r="C68" s="887" t="str">
        <f>'Expenditures 15-22'!B218</f>
        <v>1225</v>
      </c>
      <c r="D68" s="893" t="str">
        <f>'Expenditures 15-22'!A218</f>
        <v>Special Education Programs - Pre-K</v>
      </c>
      <c r="E68" s="869"/>
      <c r="F68" s="1938">
        <f>'Expenditures 15-22'!K218</f>
        <v>0</v>
      </c>
      <c r="G68" s="866"/>
    </row>
    <row r="69" spans="1:8" x14ac:dyDescent="0.2">
      <c r="A69" s="870" t="s">
        <v>481</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2004</v>
      </c>
      <c r="C70" s="887">
        <f>'Expenditures 15-22'!B221</f>
        <v>1300</v>
      </c>
      <c r="D70" s="888" t="str">
        <f>'Expenditures 15-22'!A221</f>
        <v>Adult/Continuing Education Programs</v>
      </c>
      <c r="E70" s="869"/>
      <c r="F70" s="1938">
        <f>'Expenditures 15-22'!K221</f>
        <v>0</v>
      </c>
      <c r="G70" s="866"/>
    </row>
    <row r="71" spans="1:8" x14ac:dyDescent="0.2">
      <c r="A71" s="870" t="s">
        <v>481</v>
      </c>
      <c r="B71" s="870" t="s">
        <v>2005</v>
      </c>
      <c r="C71" s="887">
        <f>'Expenditures 15-22'!B224</f>
        <v>1600</v>
      </c>
      <c r="D71" s="888" t="str">
        <f>'Expenditures 15-22'!A224</f>
        <v>Summer School Programs</v>
      </c>
      <c r="E71" s="869"/>
      <c r="F71" s="1938">
        <f>'Expenditures 15-22'!K224</f>
        <v>0</v>
      </c>
      <c r="G71" s="866"/>
    </row>
    <row r="72" spans="1:8" x14ac:dyDescent="0.2">
      <c r="A72" s="870" t="s">
        <v>481</v>
      </c>
      <c r="B72" s="870" t="s">
        <v>2006</v>
      </c>
      <c r="C72" s="887">
        <f>'Expenditures 15-22'!B280</f>
        <v>3000</v>
      </c>
      <c r="D72" s="877" t="s">
        <v>468</v>
      </c>
      <c r="E72" s="869"/>
      <c r="F72" s="1938">
        <f>'Expenditures 15-22'!K280</f>
        <v>0</v>
      </c>
      <c r="G72" s="866"/>
    </row>
    <row r="73" spans="1:8" x14ac:dyDescent="0.2">
      <c r="A73" s="870" t="s">
        <v>481</v>
      </c>
      <c r="B73" s="870" t="s">
        <v>2007</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2008</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1014</v>
      </c>
      <c r="F76" s="1800">
        <f>SUM(F18:F74)</f>
        <v>10616037</v>
      </c>
      <c r="G76" s="866"/>
    </row>
    <row r="77" spans="1:8" s="894" customFormat="1" ht="12" customHeight="1" thickTop="1" thickBot="1" x14ac:dyDescent="0.25">
      <c r="A77" s="1801"/>
      <c r="B77" s="1798"/>
      <c r="C77" s="1794"/>
      <c r="D77" s="1799" t="s">
        <v>2010</v>
      </c>
      <c r="E77" s="1796"/>
      <c r="F77" s="1802">
        <f>(F14-F76)</f>
        <v>32531846</v>
      </c>
      <c r="G77" s="870"/>
    </row>
    <row r="78" spans="1:8" s="894" customFormat="1" ht="12" customHeight="1" thickTop="1" x14ac:dyDescent="0.2">
      <c r="A78" s="1803"/>
      <c r="B78" s="1798"/>
      <c r="C78" s="1794"/>
      <c r="D78" s="1799" t="s">
        <v>2056</v>
      </c>
      <c r="E78" s="1796"/>
      <c r="F78" s="899">
        <v>2618.94</v>
      </c>
      <c r="G78" s="900"/>
      <c r="H78" s="870"/>
    </row>
    <row r="79" spans="1:8" s="894" customFormat="1" ht="12" customHeight="1" thickBot="1" x14ac:dyDescent="0.25">
      <c r="A79" s="1804"/>
      <c r="B79" s="1798"/>
      <c r="C79" s="1794"/>
      <c r="D79" s="1799" t="s">
        <v>2011</v>
      </c>
      <c r="E79" s="1796" t="s">
        <v>1014</v>
      </c>
      <c r="F79" s="1805">
        <f>IF(F78&gt;0,F77/F78," Complete Line 78")</f>
        <v>12421.760712349271</v>
      </c>
      <c r="G79" s="870"/>
    </row>
    <row r="80" spans="1:8" s="894" customFormat="1" ht="8.25" customHeight="1" thickTop="1" x14ac:dyDescent="0.2">
      <c r="A80" s="901"/>
      <c r="B80" s="870"/>
      <c r="C80" s="872"/>
      <c r="D80" s="902"/>
      <c r="E80" s="869"/>
      <c r="F80" s="903"/>
      <c r="G80" s="870"/>
    </row>
    <row r="81" spans="1:7" s="894" customFormat="1" ht="12" thickBot="1" x14ac:dyDescent="0.25">
      <c r="A81" s="2273" t="s">
        <v>1166</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966676</v>
      </c>
      <c r="G94" s="913"/>
    </row>
    <row r="95" spans="1:7" x14ac:dyDescent="0.2">
      <c r="A95" s="909" t="s">
        <v>142</v>
      </c>
      <c r="B95" s="909" t="s">
        <v>177</v>
      </c>
      <c r="C95" s="911">
        <v>1700</v>
      </c>
      <c r="D95" s="919" t="str">
        <f>'Revenues 9-14'!A82</f>
        <v>Total District/School Activity Income</v>
      </c>
      <c r="E95" s="907"/>
      <c r="F95" s="1811">
        <f>SUM('Revenues 9-14'!C82,'Revenues 9-14'!D82)</f>
        <v>294701</v>
      </c>
      <c r="G95" s="913"/>
    </row>
    <row r="96" spans="1:7" x14ac:dyDescent="0.2">
      <c r="A96" s="909" t="s">
        <v>478</v>
      </c>
      <c r="B96" s="909" t="s">
        <v>178</v>
      </c>
      <c r="C96" s="911">
        <f>'Revenues 9-14'!B84</f>
        <v>1811</v>
      </c>
      <c r="D96" s="912" t="str">
        <f>'Revenues 9-14'!A84</f>
        <v>Rentals - Regular Textbooks</v>
      </c>
      <c r="E96" s="907"/>
      <c r="F96" s="1811">
        <f>'Revenues 9-14'!C84</f>
        <v>525693</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42828</v>
      </c>
      <c r="G100" s="913"/>
    </row>
    <row r="101" spans="1:7" x14ac:dyDescent="0.2">
      <c r="A101" s="909" t="s">
        <v>142</v>
      </c>
      <c r="B101" s="909" t="s">
        <v>183</v>
      </c>
      <c r="C101" s="911">
        <f>'Revenues 9-14'!B95</f>
        <v>1910</v>
      </c>
      <c r="D101" s="912" t="str">
        <f>'Revenues 9-14'!A95</f>
        <v>Rentals</v>
      </c>
      <c r="E101" s="907"/>
      <c r="F101" s="1811">
        <f>SUM('Revenues 9-14'!C95:D95)</f>
        <v>28518</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777024</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66759</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1298</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101598</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1322627</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3671</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3969</v>
      </c>
      <c r="G129" s="931"/>
    </row>
    <row r="130" spans="1:7" x14ac:dyDescent="0.2">
      <c r="A130" s="928" t="s">
        <v>688</v>
      </c>
      <c r="B130" s="928" t="s">
        <v>803</v>
      </c>
      <c r="C130" s="933">
        <v>4300</v>
      </c>
      <c r="D130" s="934" t="str">
        <f>'Revenues 9-14'!A211</f>
        <v>Total Title I</v>
      </c>
      <c r="E130" s="907"/>
      <c r="F130" s="1811">
        <f>SUM('Revenues 9-14'!C211,'Revenues 9-14'!D211,'Revenues 9-14'!F211,'Revenues 9-14'!G211)</f>
        <v>27695</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122179</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905</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2499</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2055</v>
      </c>
      <c r="C175" s="1945">
        <v>3100</v>
      </c>
      <c r="D175" s="1946" t="s">
        <v>2058</v>
      </c>
      <c r="E175" s="907"/>
      <c r="F175" s="1930"/>
      <c r="G175" s="928"/>
    </row>
    <row r="176" spans="1:7" x14ac:dyDescent="0.2">
      <c r="A176" s="1943" t="s">
        <v>684</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1014</v>
      </c>
      <c r="F178" s="1810">
        <f>SUM(F84:F136,F161:F176)</f>
        <v>4288640</v>
      </c>
    </row>
    <row r="179" spans="1:7" ht="12" customHeight="1" x14ac:dyDescent="0.2">
      <c r="A179" s="1792"/>
      <c r="B179" s="1806"/>
      <c r="C179" s="1807"/>
      <c r="D179" s="1808" t="s">
        <v>2013</v>
      </c>
      <c r="E179" s="1809"/>
      <c r="F179" s="1811">
        <f>'PCTC-OEPP 27-28'!F77-F178</f>
        <v>28243206</v>
      </c>
    </row>
    <row r="180" spans="1:7" ht="12" customHeight="1" x14ac:dyDescent="0.2">
      <c r="A180" s="1792"/>
      <c r="B180" s="1806"/>
      <c r="C180" s="1807"/>
      <c r="D180" s="1808" t="s">
        <v>1923</v>
      </c>
      <c r="E180" s="1809"/>
      <c r="F180" s="1811">
        <f>'Cap Outlay Deprec 26'!I18</f>
        <v>0</v>
      </c>
    </row>
    <row r="181" spans="1:7" ht="12" customHeight="1" x14ac:dyDescent="0.2">
      <c r="A181" s="1792"/>
      <c r="B181" s="1806"/>
      <c r="C181" s="1807"/>
      <c r="D181" s="1808" t="s">
        <v>2014</v>
      </c>
      <c r="E181" s="1809"/>
      <c r="F181" s="1811">
        <f>F179+F180</f>
        <v>28243206</v>
      </c>
    </row>
    <row r="182" spans="1:7" ht="12" customHeight="1" x14ac:dyDescent="0.2">
      <c r="A182" s="1792"/>
      <c r="B182" s="1812"/>
      <c r="C182" s="1807"/>
      <c r="D182" s="1808" t="str">
        <f>D78</f>
        <v>9 Month ADA from District Average Daily Attendance/Prior General State Aid Inquiry 2017-2018</v>
      </c>
      <c r="E182" s="1809"/>
      <c r="F182" s="1813">
        <f>'PCTC-OEPP 27-28'!F78</f>
        <v>2618.94</v>
      </c>
      <c r="G182" s="931"/>
    </row>
    <row r="183" spans="1:7" ht="12" customHeight="1" thickBot="1" x14ac:dyDescent="0.25">
      <c r="A183" s="1792"/>
      <c r="B183" s="1812"/>
      <c r="C183" s="1807"/>
      <c r="D183" s="1808" t="s">
        <v>2015</v>
      </c>
      <c r="E183" s="1809" t="s">
        <v>1625</v>
      </c>
      <c r="F183" s="1814">
        <f>F181/F182</f>
        <v>10784.212696739902</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8" sqref="D2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6" t="s">
        <v>1925</v>
      </c>
      <c r="B6" s="1557"/>
      <c r="C6" s="1557"/>
      <c r="D6" s="1557"/>
      <c r="E6" s="1557"/>
      <c r="F6" s="1557"/>
      <c r="G6" s="1558"/>
    </row>
    <row r="7" spans="1:7" ht="30.75" customHeight="1" x14ac:dyDescent="0.25">
      <c r="A7" s="2293" t="s">
        <v>2072</v>
      </c>
      <c r="B7" s="2294"/>
      <c r="C7" s="2294"/>
      <c r="D7" s="2294"/>
      <c r="E7" s="2294"/>
      <c r="F7" s="2294"/>
      <c r="G7" s="2295"/>
    </row>
    <row r="8" spans="1:7" ht="15.75" customHeight="1" x14ac:dyDescent="0.25">
      <c r="A8" s="2296" t="s">
        <v>2021</v>
      </c>
      <c r="B8" s="2297"/>
      <c r="C8" s="2297"/>
      <c r="D8" s="2297"/>
      <c r="E8" s="2297"/>
      <c r="F8" s="2297"/>
      <c r="G8" s="2298"/>
    </row>
    <row r="9" spans="1:7" ht="35.25" customHeight="1" x14ac:dyDescent="0.25">
      <c r="A9" s="2293" t="s">
        <v>2075</v>
      </c>
      <c r="B9" s="2294"/>
      <c r="C9" s="2294"/>
      <c r="D9" s="2294"/>
      <c r="E9" s="2294"/>
      <c r="F9" s="2294"/>
      <c r="G9" s="2295"/>
    </row>
    <row r="10" spans="1:7" ht="15" customHeight="1" x14ac:dyDescent="0.25">
      <c r="A10" s="1559" t="s">
        <v>1926</v>
      </c>
      <c r="B10" s="1560"/>
      <c r="C10" s="1560"/>
      <c r="D10" s="1560"/>
      <c r="E10" s="1560"/>
      <c r="F10" s="1560"/>
      <c r="G10" s="1561"/>
    </row>
    <row r="11" spans="1:7" ht="17.25" customHeight="1" x14ac:dyDescent="0.25">
      <c r="A11" s="2293" t="s">
        <v>2074</v>
      </c>
      <c r="B11" s="2294"/>
      <c r="C11" s="2294"/>
      <c r="D11" s="2294"/>
      <c r="E11" s="2294"/>
      <c r="F11" s="2294"/>
      <c r="G11" s="2295"/>
    </row>
    <row r="12" spans="1:7" ht="15" customHeight="1" x14ac:dyDescent="0.25">
      <c r="A12" s="1559" t="s">
        <v>1931</v>
      </c>
      <c r="B12" s="1560"/>
      <c r="C12" s="1560"/>
      <c r="D12" s="1560"/>
      <c r="E12" s="1560"/>
      <c r="F12" s="1560"/>
      <c r="G12" s="1561"/>
    </row>
    <row r="13" spans="1:7" ht="32.25" customHeight="1" x14ac:dyDescent="0.25">
      <c r="A13" s="2284" t="s">
        <v>1932</v>
      </c>
      <c r="B13" s="2285"/>
      <c r="C13" s="2285"/>
      <c r="D13" s="2285"/>
      <c r="E13" s="2285"/>
      <c r="F13" s="2285"/>
      <c r="G13" s="2286"/>
    </row>
    <row r="14" spans="1:7" x14ac:dyDescent="0.25">
      <c r="A14" s="1683" t="s">
        <v>1940</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2119</v>
      </c>
      <c r="B17" s="1956" t="s">
        <v>2120</v>
      </c>
      <c r="C17" s="1957" t="s">
        <v>2121</v>
      </c>
      <c r="D17" s="1867">
        <v>4400</v>
      </c>
      <c r="E17" s="1562">
        <f t="shared" ref="E17:E141" si="1">IF(D17&lt;=25000,D17,IF(D17&gt;25000,25000,0))</f>
        <v>4400</v>
      </c>
      <c r="F17" s="1815">
        <f t="shared" si="0"/>
        <v>4400</v>
      </c>
      <c r="G17" s="1816">
        <f>IF(F17=0,0,D17-F17)</f>
        <v>0</v>
      </c>
      <c r="H17" s="1669"/>
    </row>
    <row r="18" spans="1:8" x14ac:dyDescent="0.25">
      <c r="A18" s="1955" t="s">
        <v>2119</v>
      </c>
      <c r="B18" s="1956" t="s">
        <v>2120</v>
      </c>
      <c r="C18" s="1957" t="s">
        <v>2122</v>
      </c>
      <c r="D18" s="1867">
        <v>30941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5941</v>
      </c>
    </row>
    <row r="19" spans="1:8" x14ac:dyDescent="0.25">
      <c r="A19" s="1955" t="s">
        <v>2119</v>
      </c>
      <c r="B19" s="1956" t="s">
        <v>2120</v>
      </c>
      <c r="C19" s="1957" t="s">
        <v>2123</v>
      </c>
      <c r="D19" s="1867">
        <v>4140</v>
      </c>
      <c r="E19" s="1562">
        <f t="shared" si="2"/>
        <v>4140</v>
      </c>
      <c r="F19" s="1815">
        <f t="shared" si="3"/>
        <v>4140</v>
      </c>
      <c r="G19" s="1816">
        <f t="shared" si="4"/>
        <v>0</v>
      </c>
    </row>
    <row r="20" spans="1:8" x14ac:dyDescent="0.25">
      <c r="A20" s="1955" t="s">
        <v>2119</v>
      </c>
      <c r="B20" s="1956" t="s">
        <v>2120</v>
      </c>
      <c r="C20" s="1957" t="s">
        <v>2124</v>
      </c>
      <c r="D20" s="1867">
        <v>5175</v>
      </c>
      <c r="E20" s="1562">
        <f t="shared" si="2"/>
        <v>5175</v>
      </c>
      <c r="F20" s="1815">
        <f t="shared" si="3"/>
        <v>5175</v>
      </c>
      <c r="G20" s="1816">
        <f t="shared" si="4"/>
        <v>0</v>
      </c>
    </row>
    <row r="21" spans="1:8" x14ac:dyDescent="0.25">
      <c r="A21" s="1955" t="s">
        <v>2119</v>
      </c>
      <c r="B21" s="1956" t="s">
        <v>2120</v>
      </c>
      <c r="C21" s="1957" t="s">
        <v>2107</v>
      </c>
      <c r="D21" s="1867">
        <v>621369</v>
      </c>
      <c r="E21" s="1562">
        <f t="shared" si="2"/>
        <v>25000</v>
      </c>
      <c r="F21" s="1815">
        <f t="shared" si="3"/>
        <v>25000</v>
      </c>
      <c r="G21" s="1816">
        <f t="shared" si="4"/>
        <v>596369</v>
      </c>
    </row>
    <row r="22" spans="1:8" x14ac:dyDescent="0.25">
      <c r="A22" s="1955" t="s">
        <v>2119</v>
      </c>
      <c r="B22" s="1956" t="s">
        <v>2120</v>
      </c>
      <c r="C22" s="1957" t="s">
        <v>2125</v>
      </c>
      <c r="D22" s="1867">
        <v>5987</v>
      </c>
      <c r="E22" s="1562">
        <f t="shared" si="2"/>
        <v>5987</v>
      </c>
      <c r="F22" s="1815">
        <f t="shared" si="3"/>
        <v>5987</v>
      </c>
      <c r="G22" s="1816">
        <f t="shared" si="4"/>
        <v>0</v>
      </c>
    </row>
    <row r="23" spans="1:8" x14ac:dyDescent="0.25">
      <c r="A23" s="1955" t="s">
        <v>2119</v>
      </c>
      <c r="B23" s="1956" t="s">
        <v>2120</v>
      </c>
      <c r="C23" s="1957" t="s">
        <v>2126</v>
      </c>
      <c r="D23" s="1867">
        <v>25465</v>
      </c>
      <c r="E23" s="1562">
        <f t="shared" si="2"/>
        <v>25000</v>
      </c>
      <c r="F23" s="1815">
        <f t="shared" si="3"/>
        <v>25000</v>
      </c>
      <c r="G23" s="1816">
        <f t="shared" si="4"/>
        <v>465</v>
      </c>
    </row>
    <row r="24" spans="1:8" x14ac:dyDescent="0.25">
      <c r="A24" s="1955" t="s">
        <v>2119</v>
      </c>
      <c r="B24" s="1956" t="s">
        <v>2120</v>
      </c>
      <c r="C24" s="1957" t="s">
        <v>2127</v>
      </c>
      <c r="D24" s="1867">
        <v>19930</v>
      </c>
      <c r="E24" s="1562">
        <f t="shared" si="2"/>
        <v>19930</v>
      </c>
      <c r="F24" s="1815">
        <f t="shared" si="3"/>
        <v>19930</v>
      </c>
      <c r="G24" s="1816">
        <f t="shared" si="4"/>
        <v>0</v>
      </c>
    </row>
    <row r="25" spans="1:8" x14ac:dyDescent="0.25">
      <c r="A25" s="1955" t="s">
        <v>2119</v>
      </c>
      <c r="B25" s="1956" t="s">
        <v>2120</v>
      </c>
      <c r="C25" s="1957" t="s">
        <v>2128</v>
      </c>
      <c r="D25" s="1867">
        <v>90755</v>
      </c>
      <c r="E25" s="1562">
        <f t="shared" si="2"/>
        <v>25000</v>
      </c>
      <c r="F25" s="1815">
        <f t="shared" si="3"/>
        <v>25000</v>
      </c>
      <c r="G25" s="1816">
        <f t="shared" si="4"/>
        <v>65755</v>
      </c>
    </row>
    <row r="26" spans="1:8" x14ac:dyDescent="0.25">
      <c r="A26" s="1955" t="s">
        <v>2119</v>
      </c>
      <c r="B26" s="1956" t="s">
        <v>2120</v>
      </c>
      <c r="C26" s="1957" t="s">
        <v>2129</v>
      </c>
      <c r="D26" s="1867">
        <v>61602</v>
      </c>
      <c r="E26" s="1562">
        <f t="shared" si="2"/>
        <v>25000</v>
      </c>
      <c r="F26" s="1815">
        <f t="shared" si="3"/>
        <v>25000</v>
      </c>
      <c r="G26" s="1816">
        <f t="shared" si="4"/>
        <v>36602</v>
      </c>
    </row>
    <row r="27" spans="1:8" x14ac:dyDescent="0.25">
      <c r="A27" s="1955" t="s">
        <v>2130</v>
      </c>
      <c r="B27" s="1956" t="s">
        <v>2131</v>
      </c>
      <c r="C27" s="1957" t="s">
        <v>2132</v>
      </c>
      <c r="D27" s="1867">
        <v>894419</v>
      </c>
      <c r="E27" s="1562">
        <f t="shared" si="2"/>
        <v>25000</v>
      </c>
      <c r="F27" s="1815">
        <f t="shared" si="3"/>
        <v>25000</v>
      </c>
      <c r="G27" s="1816">
        <f t="shared" si="4"/>
        <v>869419</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1764183</v>
      </c>
      <c r="E141" s="1563">
        <f t="shared" si="1"/>
        <v>25000</v>
      </c>
      <c r="F141" s="1817">
        <f>SUM(F17:F140)</f>
        <v>189632</v>
      </c>
      <c r="G141" s="1818">
        <f>SUM(G17:G140)</f>
        <v>1574551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f>+'Revenues 9-14'!C201</f>
        <v>3969</v>
      </c>
      <c r="F10" s="975"/>
      <c r="G10" s="976"/>
      <c r="H10" s="162"/>
      <c r="I10" s="162"/>
    </row>
    <row r="11" spans="1:9" s="669" customFormat="1" ht="22.5" customHeight="1" x14ac:dyDescent="0.2">
      <c r="A11" s="2304" t="s">
        <v>1943</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18599030</v>
      </c>
      <c r="F19" s="1822"/>
      <c r="G19" s="1824">
        <f>'Expenditures 15-22'!K33-SUM('Expenditures 15-22'!G33,'Expenditures 15-22'!I33)+'Expenditures 15-22'!D229</f>
        <v>18599030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1642256</v>
      </c>
      <c r="F21" s="1825"/>
      <c r="G21" s="1828">
        <f>'Expenditures 15-22'!K42-SUM('Expenditures 15-22'!G42,'Expenditures 15-22'!I42)+'Expenditures 15-22'!K120-SUM('Expenditures 15-22'!G120,'Expenditures 15-22'!I120)+'Expenditures 15-22'!K180-SUM('Expenditures 15-22'!G180,'Expenditures 15-22'!I180)+'Expenditures 15-22'!D238</f>
        <v>1642256</v>
      </c>
      <c r="H21" s="988"/>
      <c r="I21" s="162"/>
    </row>
    <row r="22" spans="1:9" s="669" customFormat="1" ht="12" customHeight="1" x14ac:dyDescent="0.2">
      <c r="A22" s="995" t="s">
        <v>584</v>
      </c>
      <c r="B22" s="996"/>
      <c r="C22" s="994">
        <v>2200</v>
      </c>
      <c r="D22" s="1825"/>
      <c r="E22" s="1827">
        <f>'Expenditures 15-22'!K47-SUM('Expenditures 15-22'!G47,'Expenditures 15-22'!I47)+'Expenditures 15-22'!D243</f>
        <v>1141777</v>
      </c>
      <c r="F22" s="1825"/>
      <c r="G22" s="1828">
        <f>'Expenditures 15-22'!K47-SUM('Expenditures 15-22'!G47,'Expenditures 15-22'!I47)+'Expenditures 15-22'!D243</f>
        <v>1141777</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1319480</v>
      </c>
      <c r="F23" s="1825"/>
      <c r="G23" s="1827">
        <f>'Expenditures 15-22'!K53-SUM('Expenditures 15-22'!G53,'Expenditures 15-22'!I53)+'Expenditures 15-22'!D257+'Expenditures 15-22'!K330-SUM('Expenditures 15-22'!G330,'Expenditures 15-22'!I330)</f>
        <v>1319480</v>
      </c>
      <c r="H23" s="988"/>
      <c r="I23" s="162"/>
    </row>
    <row r="24" spans="1:9" s="669" customFormat="1" ht="12" customHeight="1" x14ac:dyDescent="0.2">
      <c r="A24" s="995" t="s">
        <v>586</v>
      </c>
      <c r="B24" s="996"/>
      <c r="C24" s="994">
        <v>2400</v>
      </c>
      <c r="D24" s="1825"/>
      <c r="E24" s="1827">
        <f>'Expenditures 15-22'!K57-SUM('Expenditures 15-22'!G57,'Expenditures 15-22'!I57)+'Expenditures 15-22'!D261</f>
        <v>1116426</v>
      </c>
      <c r="F24" s="1825"/>
      <c r="G24" s="1828">
        <f>'Expenditures 15-22'!K57-SUM('Expenditures 15-22'!G57,'Expenditures 15-22'!I57)+'Expenditures 15-22'!D261</f>
        <v>1116426</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89015</v>
      </c>
      <c r="E26" s="1827">
        <f>'Expenditures 15-22'!K122-SUM('Expenditures 15-22'!G122,'Expenditures 15-22'!I122)+E7</f>
        <v>59283</v>
      </c>
      <c r="F26" s="1827">
        <f>'Expenditures 15-22'!K59-SUM('Expenditures 15-22'!G59,'Expenditures 15-22'!I59)+'Expenditures 15-22'!D263-E7</f>
        <v>89015</v>
      </c>
      <c r="G26" s="1828">
        <f>'Expenditures 15-22'!K122-SUM('Expenditures 15-22'!G122,'Expenditures 15-22'!I122)+E7</f>
        <v>59283</v>
      </c>
      <c r="H26" s="988"/>
      <c r="I26" s="162"/>
    </row>
    <row r="27" spans="1:9" s="669" customFormat="1" ht="12" customHeight="1" x14ac:dyDescent="0.2">
      <c r="A27" s="995" t="s">
        <v>482</v>
      </c>
      <c r="B27" s="998"/>
      <c r="C27" s="994">
        <v>2520</v>
      </c>
      <c r="D27" s="1827">
        <f>'Expenditures 15-22'!K60-SUM('Expenditures 15-22'!G60,'Expenditures 15-22'!I60)+'Expenditures 15-22'!D264-E8</f>
        <v>205683</v>
      </c>
      <c r="E27" s="1827">
        <f>E8</f>
        <v>0</v>
      </c>
      <c r="F27" s="1827">
        <f>'Expenditures 15-22'!K60-SUM('Expenditures 15-22'!G60,'Expenditures 15-22'!I60)+'Expenditures 15-22'!D264-E8</f>
        <v>205683</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3305181</v>
      </c>
      <c r="F28" s="1829">
        <f>'Expenditures 15-22'!K61-SUM('Expenditures 15-22'!G61,'Expenditures 15-22'!I61)+'Expenditures 15-22'!K124-SUM('Expenditures 15-22'!G124,'Expenditures 15-22'!I124)+'Expenditures 15-22'!D266-E9</f>
        <v>3305181</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2536908</v>
      </c>
      <c r="F29" s="1825"/>
      <c r="G29" s="1828">
        <f>'Expenditures 15-22'!K62-SUM('Expenditures 15-22'!G62,'Expenditures 15-22'!I62)+'Expenditures 15-22'!K125-SUM('Expenditures 15-22'!G125,'Expenditures 15-22'!I125)+'Expenditures 15-22'!K182-SUM('Expenditures 15-22'!G182,'Expenditures 15-22'!I182)+'Expenditures 15-22'!D267</f>
        <v>2536908</v>
      </c>
      <c r="H29" s="986"/>
    </row>
    <row r="30" spans="1:9" ht="12" customHeight="1" x14ac:dyDescent="0.2">
      <c r="A30" s="995" t="s">
        <v>102</v>
      </c>
      <c r="B30" s="998"/>
      <c r="C30" s="994">
        <v>2560</v>
      </c>
      <c r="D30" s="1825"/>
      <c r="E30" s="1827">
        <f>'Expenditures 15-22'!K63-SUM('Expenditures 15-22'!G63,'Expenditures 15-22'!I63)+'Expenditures 15-22'!D268-E10</f>
        <v>890789</v>
      </c>
      <c r="F30" s="1825"/>
      <c r="G30" s="1827">
        <f>'Expenditures 15-22'!K63-SUM('Expenditures 15-22'!G63,'Expenditures 15-22'!I63)+'Expenditures 15-22'!D268-E10</f>
        <v>890789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386231</v>
      </c>
      <c r="F35" s="1825"/>
      <c r="G35" s="1827">
        <f>'Expenditures 15-22'!K69-SUM('Expenditures 15-22'!G69,'Expenditures 15-22'!I69)+'Expenditures 15-22'!D274</f>
        <v>386231</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1500</v>
      </c>
      <c r="F38" s="1825"/>
      <c r="G38" s="1827">
        <f>'Expenditures 15-22'!K73-SUM('Expenditures 15-22'!G73,'Expenditures 15-22'!I73)+'Expenditures 15-22'!K128-SUM('Expenditures 15-22'!G128,'Expenditures 15-22'!I128)+'Expenditures 15-22'!K183-SUM('Expenditures 15-22'!G183,'Expenditures 15-22'!I183)+'Expenditures 15-22'!D278</f>
        <v>1500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-1574551</v>
      </c>
      <c r="F40" s="1825"/>
      <c r="G40" s="1829">
        <f>-'Contracts Paid in CY 29'!G141</f>
        <v>-1574551</v>
      </c>
    </row>
    <row r="41" spans="1:7" ht="12" customHeight="1" x14ac:dyDescent="0.2">
      <c r="A41" s="999" t="s">
        <v>158</v>
      </c>
      <c r="B41" s="1000"/>
      <c r="C41" s="1001"/>
      <c r="D41" s="1829">
        <f>SUM(D19:D39)</f>
        <v>294698</v>
      </c>
      <c r="E41" s="1829">
        <f>SUM(E19:E40)</f>
        <v>29424310</v>
      </c>
      <c r="F41" s="1829">
        <f>SUM(F19:F39)</f>
        <v>3599879</v>
      </c>
      <c r="G41" s="1829">
        <f>SUM(G19:G40)</f>
        <v>26119129</v>
      </c>
    </row>
    <row r="42" spans="1:7" x14ac:dyDescent="0.2">
      <c r="A42" s="988"/>
      <c r="B42" s="162"/>
      <c r="C42" s="1002"/>
      <c r="D42" s="2302" t="s">
        <v>542</v>
      </c>
      <c r="E42" s="2303"/>
      <c r="F42" s="1003" t="s">
        <v>543</v>
      </c>
      <c r="G42" s="1004"/>
    </row>
    <row r="43" spans="1:7" ht="12" customHeight="1" x14ac:dyDescent="0.2">
      <c r="A43" s="988"/>
      <c r="B43" s="162"/>
      <c r="C43" s="1002"/>
      <c r="D43" s="1830" t="s">
        <v>492</v>
      </c>
      <c r="E43" s="1831">
        <f>D41</f>
        <v>294698</v>
      </c>
      <c r="F43" s="1830" t="s">
        <v>494</v>
      </c>
      <c r="G43" s="1831">
        <f>F41</f>
        <v>3599879</v>
      </c>
    </row>
    <row r="44" spans="1:7" ht="12" customHeight="1" x14ac:dyDescent="0.2">
      <c r="A44" s="988"/>
      <c r="B44" s="162"/>
      <c r="C44" s="1002"/>
      <c r="D44" s="1830" t="s">
        <v>493</v>
      </c>
      <c r="E44" s="1831">
        <f>E41</f>
        <v>29424310</v>
      </c>
      <c r="F44" s="1830" t="s">
        <v>493</v>
      </c>
      <c r="G44" s="1831">
        <f>G41</f>
        <v>26119129</v>
      </c>
    </row>
    <row r="45" spans="1:7" ht="12" customHeight="1" x14ac:dyDescent="0.2">
      <c r="A45" s="988"/>
      <c r="B45" s="162"/>
      <c r="C45" s="162"/>
      <c r="D45" s="1832" t="s">
        <v>1062</v>
      </c>
      <c r="E45" s="1833">
        <f>(E43/E44)</f>
        <v>1.0015460005689173E-2</v>
      </c>
      <c r="F45" s="1832" t="s">
        <v>1062</v>
      </c>
      <c r="G45" s="1833">
        <f>(G43/G44)</f>
        <v>0.13782538460604871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1" t="s">
        <v>1445</v>
      </c>
      <c r="B1" s="2321"/>
      <c r="C1" s="2321"/>
      <c r="D1" s="2321"/>
      <c r="E1" s="2321"/>
      <c r="F1" s="2321"/>
    </row>
    <row r="2" spans="1:10" x14ac:dyDescent="0.2">
      <c r="A2" s="1911" t="s">
        <v>2045</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22" t="s">
        <v>1626</v>
      </c>
      <c r="B5" s="2323"/>
      <c r="C5" s="2324"/>
      <c r="D5" s="2324"/>
      <c r="E5" s="2324"/>
      <c r="F5" s="2324"/>
    </row>
    <row r="6" spans="1:10" ht="12" customHeight="1" x14ac:dyDescent="0.25">
      <c r="A6" s="1874"/>
      <c r="B6" s="1875"/>
      <c r="C6" s="2325" t="str">
        <f>COVER!A17</f>
        <v>Minooka CHSD 111</v>
      </c>
      <c r="D6" s="2325"/>
      <c r="E6" s="2325"/>
      <c r="F6" s="1876"/>
    </row>
    <row r="7" spans="1:10" ht="11.25" customHeight="1" thickBot="1" x14ac:dyDescent="0.3">
      <c r="A7" s="1874"/>
      <c r="B7" s="1875"/>
      <c r="C7" s="2326">
        <f>COVER!A13</f>
        <v>24032111016</v>
      </c>
      <c r="D7" s="2326"/>
      <c r="E7" s="2326"/>
      <c r="F7" s="1876"/>
    </row>
    <row r="8" spans="1:10" ht="25.5" customHeight="1" thickBot="1" x14ac:dyDescent="0.25">
      <c r="A8" s="1917" t="s">
        <v>2022</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t="s">
        <v>2105</v>
      </c>
      <c r="D16" s="1889" t="s">
        <v>2105</v>
      </c>
      <c r="E16" s="1892"/>
      <c r="F16" s="1891" t="s">
        <v>2106</v>
      </c>
      <c r="H16" s="1902">
        <f t="shared" si="0"/>
        <v>5</v>
      </c>
      <c r="I16" s="1902">
        <f t="shared" si="1"/>
        <v>5</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t="s">
        <v>2105</v>
      </c>
      <c r="D20" s="1889" t="s">
        <v>2105</v>
      </c>
      <c r="E20" s="1892"/>
      <c r="F20" s="1891" t="s">
        <v>2118</v>
      </c>
      <c r="H20" s="1902">
        <f t="shared" si="0"/>
        <v>5</v>
      </c>
      <c r="I20" s="1902">
        <f t="shared" si="1"/>
        <v>5</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t="s">
        <v>2105</v>
      </c>
      <c r="D22" s="1889" t="s">
        <v>2105</v>
      </c>
      <c r="E22" s="1892"/>
      <c r="F22" s="1891" t="s">
        <v>2107</v>
      </c>
      <c r="H22" s="1902">
        <f t="shared" si="0"/>
        <v>5</v>
      </c>
      <c r="I22" s="1902">
        <f t="shared" si="1"/>
        <v>5</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2105</v>
      </c>
      <c r="D26" s="1889" t="s">
        <v>2105</v>
      </c>
      <c r="E26" s="1892"/>
      <c r="F26" s="1891" t="s">
        <v>2108</v>
      </c>
      <c r="H26" s="1902">
        <f t="shared" si="0"/>
        <v>5</v>
      </c>
      <c r="I26" s="1902">
        <f t="shared" si="1"/>
        <v>5</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t="s">
        <v>2105</v>
      </c>
      <c r="D30" s="1889" t="s">
        <v>2105</v>
      </c>
      <c r="E30" s="1892"/>
      <c r="F30" s="1891" t="s">
        <v>2109</v>
      </c>
      <c r="H30" s="1902">
        <f t="shared" si="0"/>
        <v>5</v>
      </c>
      <c r="I30" s="1902">
        <f t="shared" si="1"/>
        <v>5</v>
      </c>
      <c r="J30" s="1902">
        <f t="shared" si="2"/>
        <v>0</v>
      </c>
    </row>
    <row r="31" spans="1:12" ht="12" customHeight="1" x14ac:dyDescent="0.2">
      <c r="A31" s="1887" t="s">
        <v>1619</v>
      </c>
      <c r="B31" s="1888"/>
      <c r="C31" s="1889" t="s">
        <v>2105</v>
      </c>
      <c r="D31" s="1889" t="s">
        <v>2105</v>
      </c>
      <c r="E31" s="1892"/>
      <c r="F31" s="1891" t="s">
        <v>2110</v>
      </c>
      <c r="H31" s="1902">
        <f t="shared" si="0"/>
        <v>5</v>
      </c>
      <c r="I31" s="1902">
        <f t="shared" si="1"/>
        <v>5</v>
      </c>
      <c r="J31" s="1902">
        <f t="shared" si="2"/>
        <v>0</v>
      </c>
      <c r="L31" s="1893"/>
    </row>
    <row r="32" spans="1:12" ht="12" customHeight="1" x14ac:dyDescent="0.2">
      <c r="A32" s="1887" t="s">
        <v>1620</v>
      </c>
      <c r="B32" s="1888"/>
      <c r="C32" s="1889" t="s">
        <v>2105</v>
      </c>
      <c r="D32" s="1889" t="s">
        <v>2105</v>
      </c>
      <c r="E32" s="1892"/>
      <c r="F32" s="1891" t="s">
        <v>2133</v>
      </c>
      <c r="H32" s="1902">
        <f t="shared" si="0"/>
        <v>5</v>
      </c>
      <c r="I32" s="1902">
        <f t="shared" si="1"/>
        <v>5</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35</v>
      </c>
      <c r="I34" s="1902">
        <f>SUM(I11:I32)</f>
        <v>35</v>
      </c>
      <c r="J34" s="1902">
        <f>SUM(J11:J32)</f>
        <v>0</v>
      </c>
      <c r="K34" s="1902">
        <f>SUM(H34:J34)</f>
        <v>70</v>
      </c>
    </row>
    <row r="35" spans="1:11" ht="12" customHeight="1" x14ac:dyDescent="0.2">
      <c r="A35" s="1895" t="s">
        <v>1458</v>
      </c>
      <c r="B35" s="1896"/>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7"/>
      <c r="B39" s="1897"/>
      <c r="C39" s="1897"/>
      <c r="D39" s="1897"/>
      <c r="E39" s="1897"/>
      <c r="F39" s="1897"/>
    </row>
    <row r="40" spans="1:11" s="1894" customFormat="1" ht="12" customHeight="1" x14ac:dyDescent="0.25">
      <c r="A40" s="1898" t="s">
        <v>1457</v>
      </c>
      <c r="B40" s="1899"/>
      <c r="C40" s="2316"/>
      <c r="D40" s="2316"/>
      <c r="E40" s="2316"/>
      <c r="F40" s="2317"/>
      <c r="H40" s="1903"/>
      <c r="I40" s="1903"/>
      <c r="J40" s="1903"/>
      <c r="K40" s="1903"/>
    </row>
    <row r="41" spans="1:11" s="1894" customFormat="1" ht="12" customHeight="1" x14ac:dyDescent="0.25">
      <c r="A41" s="2318"/>
      <c r="B41" s="2319"/>
      <c r="C41" s="2319"/>
      <c r="D41" s="2319"/>
      <c r="E41" s="2319"/>
      <c r="F41" s="2320"/>
      <c r="H41" s="1903"/>
      <c r="I41" s="1903"/>
      <c r="J41" s="1903"/>
      <c r="K41" s="1903"/>
    </row>
    <row r="42" spans="1:11" s="1894" customFormat="1" ht="12" customHeight="1" x14ac:dyDescent="0.25">
      <c r="A42" s="2318"/>
      <c r="B42" s="2319"/>
      <c r="C42" s="2319"/>
      <c r="D42" s="2319"/>
      <c r="E42" s="2319"/>
      <c r="F42" s="2320"/>
      <c r="H42" s="1903"/>
      <c r="I42" s="1903"/>
      <c r="J42" s="1903"/>
      <c r="K42" s="1903"/>
    </row>
    <row r="43" spans="1:11" s="1894" customFormat="1" ht="15" x14ac:dyDescent="0.25">
      <c r="A43" s="2307"/>
      <c r="B43" s="2308"/>
      <c r="C43" s="2308"/>
      <c r="D43" s="2308"/>
      <c r="E43" s="2308"/>
      <c r="F43" s="2309"/>
      <c r="H43" s="1903"/>
      <c r="I43" s="1903"/>
      <c r="J43" s="1903"/>
      <c r="K43" s="1903"/>
    </row>
    <row r="44" spans="1:11" s="1894" customFormat="1" ht="12" hidden="1" customHeight="1" x14ac:dyDescent="0.25">
      <c r="A44" s="2307"/>
      <c r="B44" s="2308"/>
      <c r="C44" s="2308"/>
      <c r="D44" s="2308"/>
      <c r="E44" s="2308"/>
      <c r="F44" s="230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34" t="str">
        <f>COVER!A17</f>
        <v>Minooka CHSD 111</v>
      </c>
      <c r="J6" s="2335"/>
      <c r="Q6" s="1686"/>
    </row>
    <row r="7" spans="1:17" x14ac:dyDescent="0.2">
      <c r="A7" s="2336" t="s">
        <v>923</v>
      </c>
      <c r="B7" s="2337"/>
      <c r="C7" s="2337"/>
      <c r="D7" s="2337"/>
      <c r="E7" s="2338"/>
      <c r="F7" s="1018"/>
      <c r="G7" s="1010"/>
      <c r="H7" s="1017" t="s">
        <v>389</v>
      </c>
      <c r="I7" s="2339">
        <f>COVER!A13</f>
        <v>24032111016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0" t="s">
        <v>501</v>
      </c>
      <c r="B11" s="2341"/>
      <c r="C11" s="234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296503</v>
      </c>
      <c r="F12" s="1040"/>
      <c r="G12" s="1834">
        <f t="shared" ref="G12:G18" si="0">SUM(E12:F12)</f>
        <v>296503</v>
      </c>
      <c r="H12" s="1041">
        <v>309391</v>
      </c>
      <c r="I12" s="1040"/>
      <c r="J12" s="1834">
        <f t="shared" ref="J12:J18" si="1">SUM(H12:I12)</f>
        <v>309391</v>
      </c>
    </row>
    <row r="13" spans="1:17" ht="15" customHeight="1" x14ac:dyDescent="0.2">
      <c r="A13" s="1036">
        <v>2</v>
      </c>
      <c r="B13" s="1037" t="s">
        <v>44</v>
      </c>
      <c r="C13" s="1038"/>
      <c r="D13" s="1039">
        <v>2330</v>
      </c>
      <c r="E13" s="1834">
        <f>'Expenditures 15-22'!K51</f>
        <v>446</v>
      </c>
      <c r="F13" s="1040"/>
      <c r="G13" s="1834">
        <f t="shared" si="0"/>
        <v>446</v>
      </c>
      <c r="H13" s="1041">
        <v>500</v>
      </c>
      <c r="I13" s="1040"/>
      <c r="J13" s="1834">
        <f t="shared" si="1"/>
        <v>500</v>
      </c>
    </row>
    <row r="14" spans="1:17" ht="15" customHeight="1" x14ac:dyDescent="0.2">
      <c r="A14" s="1036">
        <v>3</v>
      </c>
      <c r="B14" s="1037" t="s">
        <v>45</v>
      </c>
      <c r="C14" s="1038"/>
      <c r="D14" s="1042">
        <v>2490</v>
      </c>
      <c r="E14" s="1834">
        <f>'Expenditures 15-22'!K56</f>
        <v>94683</v>
      </c>
      <c r="F14" s="1040"/>
      <c r="G14" s="1834">
        <f t="shared" si="0"/>
        <v>94683</v>
      </c>
      <c r="H14" s="1041">
        <v>100592</v>
      </c>
      <c r="I14" s="1040"/>
      <c r="J14" s="1834">
        <f t="shared" si="1"/>
        <v>100592</v>
      </c>
    </row>
    <row r="15" spans="1:17" ht="15" customHeight="1" x14ac:dyDescent="0.2">
      <c r="A15" s="1036">
        <v>4</v>
      </c>
      <c r="B15" s="1037" t="s">
        <v>1127</v>
      </c>
      <c r="C15" s="1038"/>
      <c r="D15" s="1039">
        <v>2510</v>
      </c>
      <c r="E15" s="1834">
        <f>'Expenditures 15-22'!K59</f>
        <v>74235</v>
      </c>
      <c r="F15" s="1834">
        <f>'Expenditures 15-22'!K122</f>
        <v>59283</v>
      </c>
      <c r="G15" s="1834">
        <f t="shared" si="0"/>
        <v>133518</v>
      </c>
      <c r="H15" s="1041">
        <v>69037</v>
      </c>
      <c r="I15" s="1041">
        <v>60754</v>
      </c>
      <c r="J15" s="1834">
        <f t="shared" si="1"/>
        <v>129791</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465867</v>
      </c>
      <c r="F19" s="1836">
        <f t="shared" si="2"/>
        <v>59283</v>
      </c>
      <c r="G19" s="1836">
        <f t="shared" si="2"/>
        <v>525150</v>
      </c>
      <c r="H19" s="1836">
        <f t="shared" si="2"/>
        <v>479520</v>
      </c>
      <c r="I19" s="1836">
        <f t="shared" si="2"/>
        <v>60754</v>
      </c>
      <c r="J19" s="1836">
        <f t="shared" si="2"/>
        <v>540274</v>
      </c>
    </row>
    <row r="20" spans="1:10" ht="13.5" thickTop="1" x14ac:dyDescent="0.2">
      <c r="A20" s="1036">
        <v>9</v>
      </c>
      <c r="B20" s="2346" t="s">
        <v>1702</v>
      </c>
      <c r="C20" s="2346"/>
      <c r="D20" s="2347"/>
      <c r="E20" s="1047"/>
      <c r="F20" s="1047"/>
      <c r="G20" s="1047"/>
      <c r="H20" s="1047"/>
      <c r="I20" s="1047"/>
      <c r="J20" s="1837">
        <f>IF(AND(G19&gt;0,J19&gt;0),(((J19-G19)/G19)),"Enter Budget Data")</f>
        <v>2.8799390650290392E-2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1092</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1942</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936</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zoomScale="110" zoomScaleNormal="110" workbookViewId="0">
      <selection activeCell="A19" sqref="A1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2134</v>
      </c>
    </row>
    <row r="6" spans="1:2" x14ac:dyDescent="0.2">
      <c r="A6" s="1069">
        <v>2</v>
      </c>
      <c r="B6" s="329" t="s">
        <v>2111</v>
      </c>
    </row>
    <row r="7" spans="1:2" x14ac:dyDescent="0.2">
      <c r="A7" s="1069">
        <v>3</v>
      </c>
      <c r="B7" s="329" t="s">
        <v>2135</v>
      </c>
    </row>
    <row r="8" spans="1:2" x14ac:dyDescent="0.2">
      <c r="A8" s="1069">
        <v>4</v>
      </c>
      <c r="B8" s="329" t="s">
        <v>2112</v>
      </c>
    </row>
    <row r="9" spans="1:2" x14ac:dyDescent="0.2">
      <c r="A9" s="1069">
        <v>5</v>
      </c>
      <c r="B9" s="329" t="s">
        <v>2113</v>
      </c>
    </row>
    <row r="10" spans="1:2" x14ac:dyDescent="0.2">
      <c r="A10" s="1069">
        <v>6</v>
      </c>
      <c r="B10" s="329" t="s">
        <v>2136</v>
      </c>
    </row>
    <row r="11" spans="1:2" x14ac:dyDescent="0.2">
      <c r="A11" s="1069">
        <v>7</v>
      </c>
      <c r="B11" s="329" t="s">
        <v>2114</v>
      </c>
    </row>
    <row r="12" spans="1:2" x14ac:dyDescent="0.2">
      <c r="A12" s="1069">
        <v>8</v>
      </c>
      <c r="B12" s="329" t="s">
        <v>2137</v>
      </c>
    </row>
    <row r="13" spans="1:2" x14ac:dyDescent="0.2">
      <c r="A13" s="1069">
        <v>9</v>
      </c>
      <c r="B13" s="329" t="s">
        <v>2115</v>
      </c>
    </row>
    <row r="14" spans="1:2" x14ac:dyDescent="0.2">
      <c r="A14" s="1069">
        <v>10</v>
      </c>
      <c r="B14" s="329" t="s">
        <v>2138</v>
      </c>
    </row>
    <row r="15" spans="1:2" x14ac:dyDescent="0.2">
      <c r="A15" s="1069">
        <v>11</v>
      </c>
      <c r="B15" s="329" t="s">
        <v>2116</v>
      </c>
    </row>
    <row r="16" spans="1:2" x14ac:dyDescent="0.2">
      <c r="A16" s="1069">
        <v>12</v>
      </c>
      <c r="B16" s="329" t="s">
        <v>2139</v>
      </c>
    </row>
    <row r="17" spans="1:2" x14ac:dyDescent="0.2">
      <c r="A17" s="1069">
        <v>13</v>
      </c>
      <c r="B17" s="329" t="s">
        <v>2117</v>
      </c>
    </row>
    <row r="18" spans="1:2" x14ac:dyDescent="0.2">
      <c r="A18" s="1069">
        <v>24</v>
      </c>
      <c r="B18" s="329" t="s">
        <v>2140</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Minooka CHSD 111</v>
      </c>
    </row>
    <row r="67" spans="1:2" x14ac:dyDescent="0.2">
      <c r="B67" s="1071">
        <f>COVER!A13</f>
        <v>24032111016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1969</v>
      </c>
      <c r="C4" s="162" t="s">
        <v>1230</v>
      </c>
      <c r="D4" s="169" t="s">
        <v>10</v>
      </c>
      <c r="E4" s="170" t="s">
        <v>22</v>
      </c>
    </row>
    <row r="5" spans="1:5" x14ac:dyDescent="0.2">
      <c r="A5" s="168" t="s">
        <v>1971</v>
      </c>
      <c r="C5" s="162" t="s">
        <v>1230</v>
      </c>
      <c r="D5" s="169" t="s">
        <v>10</v>
      </c>
      <c r="E5" s="170" t="s">
        <v>22</v>
      </c>
    </row>
    <row r="6" spans="1:5" x14ac:dyDescent="0.2">
      <c r="A6" s="168" t="s">
        <v>1970</v>
      </c>
      <c r="C6" s="162" t="s">
        <v>1230</v>
      </c>
      <c r="D6" s="167" t="s">
        <v>11</v>
      </c>
      <c r="E6" s="170" t="s">
        <v>997</v>
      </c>
    </row>
    <row r="7" spans="1:5" x14ac:dyDescent="0.2">
      <c r="A7" s="168" t="s">
        <v>1972</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1973</v>
      </c>
      <c r="C11" s="162" t="s">
        <v>1230</v>
      </c>
      <c r="D11" s="169" t="s">
        <v>14</v>
      </c>
      <c r="E11" s="170" t="s">
        <v>1217</v>
      </c>
    </row>
    <row r="12" spans="1:5" x14ac:dyDescent="0.2">
      <c r="B12" s="169" t="s">
        <v>1974</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1975</v>
      </c>
      <c r="C15" s="162" t="s">
        <v>1230</v>
      </c>
      <c r="D15" s="169" t="s">
        <v>17</v>
      </c>
      <c r="E15" s="170" t="s">
        <v>656</v>
      </c>
    </row>
    <row r="16" spans="1:5" x14ac:dyDescent="0.2">
      <c r="A16" s="172"/>
      <c r="B16" s="162" t="s">
        <v>1976</v>
      </c>
      <c r="C16" s="162" t="s">
        <v>1230</v>
      </c>
      <c r="D16" s="169" t="s">
        <v>701</v>
      </c>
      <c r="E16" s="170" t="s">
        <v>1099</v>
      </c>
    </row>
    <row r="17" spans="1:5" x14ac:dyDescent="0.2">
      <c r="B17" s="167" t="s">
        <v>1044</v>
      </c>
      <c r="C17" s="162" t="s">
        <v>1230</v>
      </c>
    </row>
    <row r="18" spans="1:5" x14ac:dyDescent="0.2">
      <c r="B18" s="167" t="s">
        <v>1982</v>
      </c>
      <c r="D18" s="169" t="s">
        <v>18</v>
      </c>
      <c r="E18" s="170" t="s">
        <v>1100</v>
      </c>
    </row>
    <row r="19" spans="1:5" x14ac:dyDescent="0.2">
      <c r="A19" s="168" t="s">
        <v>1160</v>
      </c>
      <c r="C19" s="162" t="s">
        <v>1230</v>
      </c>
      <c r="D19" s="169"/>
      <c r="E19" s="171"/>
    </row>
    <row r="20" spans="1:5" x14ac:dyDescent="0.2">
      <c r="B20" s="167" t="s">
        <v>1977</v>
      </c>
      <c r="C20" s="162" t="s">
        <v>1230</v>
      </c>
      <c r="D20" s="169" t="s">
        <v>19</v>
      </c>
      <c r="E20" s="170" t="s">
        <v>53</v>
      </c>
    </row>
    <row r="21" spans="1:5" x14ac:dyDescent="0.2">
      <c r="B21" s="167" t="s">
        <v>1978</v>
      </c>
      <c r="C21" s="162" t="s">
        <v>1230</v>
      </c>
      <c r="D21" s="169" t="s">
        <v>20</v>
      </c>
      <c r="E21" s="170" t="s">
        <v>1707</v>
      </c>
    </row>
    <row r="22" spans="1:5" x14ac:dyDescent="0.2">
      <c r="A22" s="168"/>
      <c r="B22" s="162" t="s">
        <v>1966</v>
      </c>
      <c r="C22" s="162" t="s">
        <v>1230</v>
      </c>
      <c r="D22" s="167" t="s">
        <v>1968</v>
      </c>
      <c r="E22" s="1859" t="s">
        <v>1708</v>
      </c>
    </row>
    <row r="23" spans="1:5" x14ac:dyDescent="0.2">
      <c r="A23" s="168"/>
      <c r="B23" s="162" t="s">
        <v>1967</v>
      </c>
      <c r="D23" s="167" t="s">
        <v>657</v>
      </c>
      <c r="E23" s="1859" t="s">
        <v>1015</v>
      </c>
    </row>
    <row r="24" spans="1:5" x14ac:dyDescent="0.2">
      <c r="A24" s="168" t="s">
        <v>1706</v>
      </c>
      <c r="C24" s="162" t="s">
        <v>1230</v>
      </c>
      <c r="D24" s="167" t="s">
        <v>1459</v>
      </c>
      <c r="E24" s="170" t="s">
        <v>1016</v>
      </c>
    </row>
    <row r="25" spans="1:5" x14ac:dyDescent="0.2">
      <c r="A25" s="168" t="s">
        <v>1979</v>
      </c>
      <c r="C25" s="162" t="s">
        <v>1230</v>
      </c>
      <c r="D25" s="169" t="s">
        <v>21</v>
      </c>
      <c r="E25" s="170" t="s">
        <v>1101</v>
      </c>
    </row>
    <row r="26" spans="1:5" x14ac:dyDescent="0.2">
      <c r="A26" s="168" t="s">
        <v>1980</v>
      </c>
      <c r="C26" s="162" t="s">
        <v>1230</v>
      </c>
      <c r="D26" s="169" t="s">
        <v>583</v>
      </c>
      <c r="E26" s="170" t="s">
        <v>1102</v>
      </c>
    </row>
    <row r="27" spans="1:5" x14ac:dyDescent="0.2">
      <c r="A27" s="168" t="s">
        <v>1981</v>
      </c>
      <c r="C27" s="162" t="s">
        <v>1230</v>
      </c>
      <c r="D27" s="169" t="s">
        <v>577</v>
      </c>
      <c r="E27" s="170" t="s">
        <v>703</v>
      </c>
    </row>
    <row r="28" spans="1:5" x14ac:dyDescent="0.2">
      <c r="A28" s="168" t="s">
        <v>1983</v>
      </c>
      <c r="D28" s="169" t="s">
        <v>704</v>
      </c>
      <c r="E28" s="170" t="s">
        <v>1432</v>
      </c>
    </row>
    <row r="29" spans="1:5" x14ac:dyDescent="0.2">
      <c r="A29" s="168" t="s">
        <v>1984</v>
      </c>
      <c r="D29" s="169" t="s">
        <v>1460</v>
      </c>
      <c r="E29" s="170" t="s">
        <v>1441</v>
      </c>
    </row>
    <row r="30" spans="1:5" x14ac:dyDescent="0.2">
      <c r="A30" s="173" t="s">
        <v>1985</v>
      </c>
      <c r="C30" s="162" t="s">
        <v>1230</v>
      </c>
      <c r="D30" s="169" t="s">
        <v>42</v>
      </c>
      <c r="E30" s="170" t="s">
        <v>1038</v>
      </c>
    </row>
    <row r="31" spans="1:5" x14ac:dyDescent="0.2">
      <c r="A31" s="168" t="s">
        <v>1601</v>
      </c>
      <c r="C31" s="162" t="s">
        <v>1230</v>
      </c>
      <c r="D31" s="167"/>
      <c r="E31" s="171"/>
    </row>
    <row r="32" spans="1:5" x14ac:dyDescent="0.2">
      <c r="B32" s="167" t="s">
        <v>1986</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2016</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11" dvAspect="DVASPECT_ICON" shapeId="50177" r:id="rId4"/>
      </mc:Fallback>
    </mc:AlternateContent>
    <mc:AlternateContent xmlns:mc="http://schemas.openxmlformats.org/markup-compatibility/2006">
      <mc:Choice Requires="x14">
        <oleObject progId="AcroExch.Document.11" dvAspect="DVASPECT_ICON" shapeId="50178" r:id="rId6">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Exch.Document.11" dvAspect="DVASPECT_ICON" shapeId="50178" r:id="rId6"/>
      </mc:Fallback>
    </mc:AlternateContent>
    <mc:AlternateContent xmlns:mc="http://schemas.openxmlformats.org/markup-compatibility/2006">
      <mc:Choice Requires="x14">
        <oleObject progId="AcroExch.Document.11" dvAspect="DVASPECT_ICON" shapeId="50180" r:id="rId7">
          <objectPr defaultSize="0" r:id="rId5">
            <anchor moveWithCells="1">
              <from>
                <xdr:col>0</xdr:col>
                <xdr:colOff>0</xdr:colOff>
                <xdr:row>8</xdr:row>
                <xdr:rowOff>0</xdr:rowOff>
              </from>
              <to>
                <xdr:col>1</xdr:col>
                <xdr:colOff>790575</xdr:colOff>
                <xdr:row>12</xdr:row>
                <xdr:rowOff>38100</xdr:rowOff>
              </to>
            </anchor>
          </objectPr>
        </oleObject>
      </mc:Choice>
      <mc:Fallback>
        <oleObject progId="AcroExch.Document.11" dvAspect="DVASPECT_ICON" shapeId="50180" r:id="rId7"/>
      </mc:Fallback>
    </mc:AlternateContent>
    <mc:AlternateContent xmlns:mc="http://schemas.openxmlformats.org/markup-compatibility/2006">
      <mc:Choice Requires="x14">
        <oleObject progId="AcroExch.Document.11" dvAspect="DVASPECT_ICON" shapeId="50181" r:id="rId8">
          <objectPr defaultSize="0" r:id="rId5">
            <anchor moveWithCells="1">
              <from>
                <xdr:col>0</xdr:col>
                <xdr:colOff>0</xdr:colOff>
                <xdr:row>12</xdr:row>
                <xdr:rowOff>0</xdr:rowOff>
              </from>
              <to>
                <xdr:col>1</xdr:col>
                <xdr:colOff>790575</xdr:colOff>
                <xdr:row>15</xdr:row>
                <xdr:rowOff>200025</xdr:rowOff>
              </to>
            </anchor>
          </objectPr>
        </oleObject>
      </mc:Choice>
      <mc:Fallback>
        <oleObject progId="AcroExch.Document.11" dvAspect="DVASPECT_ICON" shapeId="5018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2053</v>
      </c>
      <c r="B4" s="2374"/>
      <c r="C4" s="2374"/>
      <c r="D4" s="2374"/>
      <c r="E4" s="2374"/>
      <c r="F4" s="2375"/>
      <c r="G4" s="1075"/>
      <c r="H4" s="1075"/>
    </row>
    <row r="5" spans="1:8" ht="14.25" customHeight="1" x14ac:dyDescent="0.2">
      <c r="A5" s="2376" t="s">
        <v>2054</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26178392</v>
      </c>
      <c r="C8" s="1838">
        <f>'Acct Summary 7-8'!D8</f>
        <v>3631541</v>
      </c>
      <c r="D8" s="1838">
        <f>'Acct Summary 7-8'!F8</f>
        <v>2985140</v>
      </c>
      <c r="E8" s="1838">
        <f>'Acct Summary 7-8'!I8</f>
        <v>856021</v>
      </c>
      <c r="F8" s="1838">
        <f>SUM(B8:E8)</f>
        <v>33651094</v>
      </c>
    </row>
    <row r="9" spans="1:8" s="1080" customFormat="1" ht="14.25" customHeight="1" thickBot="1" x14ac:dyDescent="0.25">
      <c r="A9" s="1079" t="s">
        <v>1435</v>
      </c>
      <c r="B9" s="1839">
        <f>'Acct Summary 7-8'!C17</f>
        <v>26251296</v>
      </c>
      <c r="C9" s="1839">
        <f>'Acct Summary 7-8'!D17</f>
        <v>3756656</v>
      </c>
      <c r="D9" s="1839">
        <f>'Acct Summary 7-8'!F17</f>
        <v>2389464</v>
      </c>
      <c r="E9" s="1838"/>
      <c r="F9" s="1838">
        <f>SUM(B9:E9)</f>
        <v>32397416</v>
      </c>
    </row>
    <row r="10" spans="1:8" s="1080" customFormat="1" ht="14.25" thickTop="1" thickBot="1" x14ac:dyDescent="0.25">
      <c r="A10" s="1081" t="s">
        <v>1436</v>
      </c>
      <c r="B10" s="1840">
        <f>(B8-B9)</f>
        <v>-72904</v>
      </c>
      <c r="C10" s="1840">
        <f>(C8-C9)</f>
        <v>-125115</v>
      </c>
      <c r="D10" s="1840">
        <f>(D8-D9)</f>
        <v>595676</v>
      </c>
      <c r="E10" s="1839">
        <f>(E8-E9)</f>
        <v>856021</v>
      </c>
      <c r="F10" s="1841">
        <f>SUM(F8-F9)</f>
        <v>1253678</v>
      </c>
    </row>
    <row r="11" spans="1:8" s="1080" customFormat="1" ht="14.25" thickTop="1" thickBot="1" x14ac:dyDescent="0.25">
      <c r="A11" s="1082" t="s">
        <v>1784</v>
      </c>
      <c r="B11" s="1842">
        <f>'Acct Summary 7-8'!C81</f>
        <v>8736621</v>
      </c>
      <c r="C11" s="1842">
        <f>'Acct Summary 7-8'!D81</f>
        <v>3313373</v>
      </c>
      <c r="D11" s="1842">
        <f>'Acct Summary 7-8'!F81</f>
        <v>2473366</v>
      </c>
      <c r="E11" s="1842">
        <f>'Acct Summary 7-8'!I81</f>
        <v>13088764</v>
      </c>
      <c r="F11" s="1843">
        <f>SUM(B11:E11)</f>
        <v>27612124</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685</v>
      </c>
      <c r="B3" s="2380"/>
      <c r="C3" s="2380"/>
      <c r="D3" s="2381"/>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2" t="s">
        <v>1064</v>
      </c>
      <c r="B15" s="2383"/>
      <c r="C15" s="2383"/>
      <c r="D15" s="2384"/>
    </row>
    <row r="16" spans="1:4" s="669" customFormat="1" ht="24" customHeight="1" x14ac:dyDescent="0.2">
      <c r="A16" s="2385" t="s">
        <v>683</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4" t="s">
        <v>331</v>
      </c>
      <c r="D21" s="2395"/>
    </row>
    <row r="22" spans="1:10" ht="12.75" x14ac:dyDescent="0.2">
      <c r="A22" s="1140"/>
      <c r="B22" s="1141">
        <v>2</v>
      </c>
      <c r="C22" s="2392" t="s">
        <v>1604</v>
      </c>
      <c r="D22" s="2393"/>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6" t="s">
        <v>556</v>
      </c>
      <c r="D43" s="2397"/>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8" t="s">
        <v>816</v>
      </c>
      <c r="D56" s="2389"/>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24032111016</v>
      </c>
    </row>
    <row r="3" spans="1:2" x14ac:dyDescent="0.2">
      <c r="A3" t="s">
        <v>1012</v>
      </c>
      <c r="B3" s="138" t="str">
        <f>COVER!A15</f>
        <v>Grundy, Will, Kendall</v>
      </c>
    </row>
    <row r="4" spans="1:2" x14ac:dyDescent="0.2">
      <c r="A4" t="s">
        <v>1063</v>
      </c>
      <c r="B4" s="138" t="str">
        <f>COVER!A17</f>
        <v>Minooka CHSD 111</v>
      </c>
    </row>
    <row r="5" spans="1:2" x14ac:dyDescent="0.2">
      <c r="A5" t="s">
        <v>727</v>
      </c>
      <c r="B5" s="138" t="str">
        <f>COVER!A38</f>
        <v>Kenneth Lee</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066-005100</v>
      </c>
    </row>
    <row r="16" spans="1:2" x14ac:dyDescent="0.2">
      <c r="A16" t="s">
        <v>441</v>
      </c>
      <c r="B16" s="138" t="str">
        <f>COVER!T13</f>
        <v>Mack &amp; Associates, P.C.</v>
      </c>
    </row>
    <row r="17" spans="1:2" x14ac:dyDescent="0.2">
      <c r="A17" t="s">
        <v>938</v>
      </c>
      <c r="B17" s="138" t="str">
        <f>COVER!T15</f>
        <v>Tawnya Mack, CPA</v>
      </c>
    </row>
    <row r="18" spans="1:2" x14ac:dyDescent="0.2">
      <c r="A18" t="s">
        <v>1211</v>
      </c>
      <c r="B18" s="138" t="str">
        <f>COVER!T17</f>
        <v>116 E. Washington Street, Suite One</v>
      </c>
    </row>
    <row r="19" spans="1:2" x14ac:dyDescent="0.2">
      <c r="A19" t="s">
        <v>940</v>
      </c>
      <c r="B19" s="138" t="str">
        <f>COVER!T25</f>
        <v>tmack@mackcpas.com</v>
      </c>
    </row>
    <row r="20" spans="1:2" x14ac:dyDescent="0.2">
      <c r="A20" t="s">
        <v>941</v>
      </c>
      <c r="B20" s="138" t="str">
        <f>COVER!T19</f>
        <v>Morris</v>
      </c>
    </row>
    <row r="21" spans="1:2" x14ac:dyDescent="0.2">
      <c r="A21" t="s">
        <v>499</v>
      </c>
      <c r="B21" s="138" t="str">
        <f>COVER!X19</f>
        <v>IL</v>
      </c>
    </row>
    <row r="22" spans="1:2" x14ac:dyDescent="0.2">
      <c r="A22" t="s">
        <v>942</v>
      </c>
      <c r="B22" s="138">
        <f>COVER!Z19</f>
        <v>60450</v>
      </c>
    </row>
    <row r="23" spans="1:2" x14ac:dyDescent="0.2">
      <c r="A23" t="s">
        <v>1213</v>
      </c>
      <c r="B23" s="138" t="str">
        <f>COVER!T21</f>
        <v>(815) 942-3306</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6051412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2761</v>
      </c>
      <c r="D76" s="2" t="str">
        <f t="shared" si="0"/>
        <v>Error?</v>
      </c>
    </row>
    <row r="77" spans="1:4" x14ac:dyDescent="0.2">
      <c r="A77" s="5">
        <v>16</v>
      </c>
      <c r="B77" s="138">
        <f>'Assets-Liab 5-6'!C13</f>
        <v>8736621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5044773</v>
      </c>
      <c r="D92" s="2" t="str">
        <f t="shared" si="0"/>
        <v>Error?</v>
      </c>
    </row>
    <row r="93" spans="1:4" x14ac:dyDescent="0.2">
      <c r="A93" s="5">
        <v>32</v>
      </c>
      <c r="B93" s="138">
        <f>'Assets-Liab 5-6'!C41</f>
        <v>8736621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2816451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2515</v>
      </c>
      <c r="D108" s="2" t="str">
        <f t="shared" si="0"/>
        <v>Error?</v>
      </c>
    </row>
    <row r="109" spans="1:4" x14ac:dyDescent="0.2">
      <c r="A109" s="5">
        <v>48</v>
      </c>
      <c r="B109" s="138">
        <f>'Assets-Liab 5-6'!D13</f>
        <v>3313373</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3313373</v>
      </c>
      <c r="D123" s="2" t="str">
        <f t="shared" si="0"/>
        <v>Error?</v>
      </c>
    </row>
    <row r="124" spans="1:4" x14ac:dyDescent="0.2">
      <c r="A124" s="5">
        <v>63</v>
      </c>
      <c r="B124" s="138">
        <f>'Assets-Liab 5-6'!D41</f>
        <v>3313373</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3063639</v>
      </c>
      <c r="D129" s="2" t="str">
        <f t="shared" si="1"/>
        <v>Error?</v>
      </c>
    </row>
    <row r="130" spans="1:4" x14ac:dyDescent="0.2">
      <c r="A130" s="5">
        <v>69</v>
      </c>
      <c r="B130" s="138">
        <f>'Assets-Liab 5-6'!E12</f>
        <v>0</v>
      </c>
      <c r="D130" s="2" t="str">
        <f t="shared" si="1"/>
        <v>Error?</v>
      </c>
    </row>
    <row r="131" spans="1:4" x14ac:dyDescent="0.2">
      <c r="A131" s="5">
        <v>70</v>
      </c>
      <c r="B131" s="138">
        <f>'Assets-Liab 5-6'!E13</f>
        <v>4896212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4896212</v>
      </c>
      <c r="D140" s="2" t="str">
        <f t="shared" si="1"/>
        <v>Error?</v>
      </c>
    </row>
    <row r="141" spans="1:4" x14ac:dyDescent="0.2">
      <c r="A141" s="5">
        <v>80</v>
      </c>
      <c r="B141" s="138">
        <f>'Assets-Liab 5-6'!E41</f>
        <v>4896212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2230052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2512</v>
      </c>
      <c r="D156" s="2" t="str">
        <f t="shared" si="1"/>
        <v>Error?</v>
      </c>
    </row>
    <row r="157" spans="1:4" x14ac:dyDescent="0.2">
      <c r="A157" s="5">
        <v>96</v>
      </c>
      <c r="B157" s="138">
        <f>'Assets-Liab 5-6'!F13</f>
        <v>2473366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2473366</v>
      </c>
      <c r="D170" s="2" t="str">
        <f t="shared" si="1"/>
        <v>Error?</v>
      </c>
    </row>
    <row r="171" spans="1:4" x14ac:dyDescent="0.2">
      <c r="A171" s="5">
        <v>110</v>
      </c>
      <c r="B171" s="138">
        <f>'Assets-Liab 5-6'!F41</f>
        <v>2473366</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141836</v>
      </c>
      <c r="D177" s="2" t="str">
        <f t="shared" si="1"/>
        <v>Error?</v>
      </c>
    </row>
    <row r="178" spans="1:4" x14ac:dyDescent="0.2">
      <c r="A178" s="10">
        <v>117</v>
      </c>
      <c r="D178" s="2" t="str">
        <f t="shared" si="1"/>
        <v>OK</v>
      </c>
    </row>
    <row r="179" spans="1:4" x14ac:dyDescent="0.2">
      <c r="A179" s="5">
        <v>118</v>
      </c>
      <c r="B179" s="138">
        <f>'Assets-Liab 5-6'!G12</f>
        <v>1200</v>
      </c>
      <c r="D179" s="2" t="str">
        <f t="shared" si="1"/>
        <v>Error?</v>
      </c>
    </row>
    <row r="180" spans="1:4" x14ac:dyDescent="0.2">
      <c r="A180" s="5">
        <v>119</v>
      </c>
      <c r="B180" s="138">
        <f>'Assets-Liab 5-6'!G13</f>
        <v>361317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361317</v>
      </c>
      <c r="D189" s="2" t="str">
        <f t="shared" si="1"/>
        <v>Error?</v>
      </c>
    </row>
    <row r="190" spans="1:4" x14ac:dyDescent="0.2">
      <c r="A190" s="5">
        <v>129</v>
      </c>
      <c r="B190" s="138">
        <f>'Assets-Liab 5-6'!G41</f>
        <v>361317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1388991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1398192</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1398192</v>
      </c>
      <c r="D212" s="2" t="str">
        <f t="shared" si="2"/>
        <v>Error?</v>
      </c>
    </row>
    <row r="213" spans="1:4" x14ac:dyDescent="0.2">
      <c r="A213" s="12">
        <v>152</v>
      </c>
      <c r="B213" s="138">
        <f>'Assets-Liab 5-6'!H41</f>
        <v>1398192</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5855792</v>
      </c>
      <c r="D273" s="2" t="str">
        <f t="shared" si="3"/>
        <v>Error?</v>
      </c>
    </row>
    <row r="274" spans="1:4" x14ac:dyDescent="0.2">
      <c r="A274" s="5">
        <v>213</v>
      </c>
      <c r="B274" s="138">
        <f>'Assets-Liab 5-6'!M17</f>
        <v>92486597</v>
      </c>
      <c r="D274" s="2" t="str">
        <f t="shared" si="3"/>
        <v>Error?</v>
      </c>
    </row>
    <row r="275" spans="1:4" x14ac:dyDescent="0.2">
      <c r="A275" s="5">
        <v>214</v>
      </c>
      <c r="B275" s="138">
        <f>'Assets-Liab 5-6'!M18</f>
        <v>3879114</v>
      </c>
      <c r="D275" s="2" t="str">
        <f t="shared" si="3"/>
        <v>Error?</v>
      </c>
    </row>
    <row r="276" spans="1:4" x14ac:dyDescent="0.2">
      <c r="A276" s="5">
        <v>215</v>
      </c>
      <c r="B276" s="138">
        <f>'Assets-Liab 5-6'!M19</f>
        <v>13315724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115537227</v>
      </c>
      <c r="C279" s="2" t="s">
        <v>593</v>
      </c>
      <c r="D279" s="2" t="str">
        <f t="shared" si="3"/>
        <v>Error?</v>
      </c>
    </row>
    <row r="280" spans="1:4" x14ac:dyDescent="0.2">
      <c r="A280" s="5">
        <v>219</v>
      </c>
      <c r="B280" s="138">
        <f>'Assets-Liab 5-6'!M40</f>
        <v>115537227</v>
      </c>
      <c r="D280" s="2" t="str">
        <f t="shared" si="3"/>
        <v>Error?</v>
      </c>
    </row>
    <row r="281" spans="1:4" x14ac:dyDescent="0.2">
      <c r="A281" s="5">
        <v>220</v>
      </c>
      <c r="B281" s="138">
        <f>'Assets-Liab 5-6'!M41</f>
        <v>115537227</v>
      </c>
      <c r="C281" s="2" t="s">
        <v>593</v>
      </c>
      <c r="D281" s="2" t="str">
        <f t="shared" si="3"/>
        <v>Error?</v>
      </c>
    </row>
    <row r="282" spans="1:4" x14ac:dyDescent="0.2">
      <c r="A282" s="5">
        <v>221</v>
      </c>
      <c r="B282" s="138">
        <f>'Assets-Liab 5-6'!N21</f>
        <v>4896212</v>
      </c>
      <c r="D282" s="2" t="str">
        <f t="shared" si="3"/>
        <v>Error?</v>
      </c>
    </row>
    <row r="283" spans="1:4" x14ac:dyDescent="0.2">
      <c r="A283" s="5">
        <v>222</v>
      </c>
      <c r="B283" s="138">
        <f>'Assets-Liab 5-6'!N22</f>
        <v>46993788</v>
      </c>
      <c r="D283" s="2" t="str">
        <f t="shared" si="3"/>
        <v>Error?</v>
      </c>
    </row>
    <row r="284" spans="1:4" x14ac:dyDescent="0.2">
      <c r="A284" s="5">
        <v>223</v>
      </c>
      <c r="B284" s="138">
        <f>'Assets-Liab 5-6'!N23</f>
        <v>51890000</v>
      </c>
      <c r="C284" s="2" t="s">
        <v>593</v>
      </c>
      <c r="D284" s="2" t="str">
        <f t="shared" si="3"/>
        <v>Error?</v>
      </c>
    </row>
    <row r="285" spans="1:4" x14ac:dyDescent="0.2">
      <c r="A285" s="5">
        <v>224</v>
      </c>
      <c r="B285" s="138">
        <f>'Assets-Liab 5-6'!N36</f>
        <v>51890000</v>
      </c>
      <c r="D285" s="2" t="str">
        <f t="shared" si="3"/>
        <v>Error?</v>
      </c>
    </row>
    <row r="286" spans="1:4" x14ac:dyDescent="0.2">
      <c r="A286" s="10">
        <v>225</v>
      </c>
      <c r="D286" s="2" t="str">
        <f t="shared" si="3"/>
        <v>OK</v>
      </c>
    </row>
    <row r="287" spans="1:4" x14ac:dyDescent="0.2">
      <c r="A287" s="5">
        <v>226</v>
      </c>
      <c r="B287" s="138">
        <f>'Assets-Liab 5-6'!N37</f>
        <v>51890000</v>
      </c>
      <c r="C287" s="2" t="s">
        <v>593</v>
      </c>
      <c r="D287" s="2" t="str">
        <f t="shared" si="3"/>
        <v>Error?</v>
      </c>
    </row>
    <row r="288" spans="1:4" x14ac:dyDescent="0.2">
      <c r="A288" s="5">
        <v>227</v>
      </c>
      <c r="B288" s="138">
        <f>'Assets-Liab 5-6'!N41</f>
        <v>51890000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246418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8495819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966147</v>
      </c>
      <c r="D717" s="2" t="str">
        <f t="shared" si="10"/>
        <v>Error?</v>
      </c>
    </row>
    <row r="718" spans="1:4" x14ac:dyDescent="0.2">
      <c r="A718" s="5">
        <v>657</v>
      </c>
      <c r="B718" s="138">
        <f>'Expenditures 15-22'!C14</f>
        <v>1238659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12505913</v>
      </c>
      <c r="C720" s="2" t="s">
        <v>593</v>
      </c>
      <c r="D720" s="2" t="str">
        <f t="shared" si="10"/>
        <v>Error?</v>
      </c>
    </row>
    <row r="721" spans="1:4" x14ac:dyDescent="0.2">
      <c r="A721" s="5">
        <v>660</v>
      </c>
      <c r="B721" s="138">
        <f>'Expenditures 15-22'!C36</f>
        <v>167695</v>
      </c>
      <c r="D721" s="2" t="str">
        <f t="shared" si="10"/>
        <v>Error?</v>
      </c>
    </row>
    <row r="722" spans="1:4" x14ac:dyDescent="0.2">
      <c r="A722" s="5">
        <v>661</v>
      </c>
      <c r="B722" s="138">
        <f>'Expenditures 15-22'!C37</f>
        <v>686774</v>
      </c>
      <c r="D722" s="2" t="str">
        <f t="shared" si="10"/>
        <v>Error?</v>
      </c>
    </row>
    <row r="723" spans="1:4" x14ac:dyDescent="0.2">
      <c r="A723" s="5">
        <v>662</v>
      </c>
      <c r="B723" s="138">
        <f>'Expenditures 15-22'!C38</f>
        <v>72146</v>
      </c>
      <c r="D723" s="2" t="str">
        <f t="shared" si="10"/>
        <v>Error?</v>
      </c>
    </row>
    <row r="724" spans="1:4" x14ac:dyDescent="0.2">
      <c r="A724" s="5">
        <v>663</v>
      </c>
      <c r="B724" s="138">
        <f>'Expenditures 15-22'!C39</f>
        <v>69641</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164034</v>
      </c>
      <c r="D726" s="2" t="str">
        <f t="shared" si="10"/>
        <v>Error?</v>
      </c>
    </row>
    <row r="727" spans="1:4" x14ac:dyDescent="0.2">
      <c r="A727" s="5">
        <v>666</v>
      </c>
      <c r="B727" s="138">
        <f>'Expenditures 15-22'!C42</f>
        <v>1160290</v>
      </c>
      <c r="C727" s="2" t="s">
        <v>593</v>
      </c>
      <c r="D727" s="2" t="str">
        <f t="shared" si="10"/>
        <v>Error?</v>
      </c>
    </row>
    <row r="728" spans="1:4" x14ac:dyDescent="0.2">
      <c r="A728" s="5">
        <v>667</v>
      </c>
      <c r="B728" s="138">
        <f>'Expenditures 15-22'!C44</f>
        <v>153462</v>
      </c>
      <c r="D728" s="2" t="str">
        <f t="shared" si="10"/>
        <v>Error?</v>
      </c>
    </row>
    <row r="729" spans="1:4" x14ac:dyDescent="0.2">
      <c r="A729" s="5">
        <v>668</v>
      </c>
      <c r="B729" s="138">
        <f>'Expenditures 15-22'!C45</f>
        <v>410545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564007</v>
      </c>
      <c r="C731" s="2" t="s">
        <v>593</v>
      </c>
      <c r="D731" s="2" t="str">
        <f t="shared" si="10"/>
        <v>Error?</v>
      </c>
    </row>
    <row r="732" spans="1:4" x14ac:dyDescent="0.2">
      <c r="A732" s="5">
        <v>671</v>
      </c>
      <c r="B732" s="138">
        <f>'Expenditures 15-22'!C49</f>
        <v>3437</v>
      </c>
      <c r="D732" s="2" t="str">
        <f t="shared" si="10"/>
        <v>Error?</v>
      </c>
    </row>
    <row r="733" spans="1:4" x14ac:dyDescent="0.2">
      <c r="A733" s="5">
        <v>672</v>
      </c>
      <c r="B733" s="138">
        <f>'Expenditures 15-22'!C50</f>
        <v>257057</v>
      </c>
      <c r="D733" s="2" t="str">
        <f t="shared" si="10"/>
        <v>Error?</v>
      </c>
    </row>
    <row r="734" spans="1:4" x14ac:dyDescent="0.2">
      <c r="A734" s="5">
        <v>673</v>
      </c>
      <c r="B734" s="138">
        <f>'Expenditures 15-22'!C53</f>
        <v>260494</v>
      </c>
      <c r="C734" s="2" t="s">
        <v>593</v>
      </c>
      <c r="D734" s="2" t="str">
        <f t="shared" si="10"/>
        <v>Error?</v>
      </c>
    </row>
    <row r="735" spans="1:4" x14ac:dyDescent="0.2">
      <c r="A735" s="5">
        <v>674</v>
      </c>
      <c r="B735" s="138">
        <f>'Expenditures 15-22'!C55</f>
        <v>700421</v>
      </c>
      <c r="D735" s="2" t="str">
        <f t="shared" si="10"/>
        <v>Error?</v>
      </c>
    </row>
    <row r="736" spans="1:4" x14ac:dyDescent="0.2">
      <c r="A736" s="5">
        <v>675</v>
      </c>
      <c r="B736" s="138">
        <f>'Expenditures 15-22'!C56</f>
        <v>69219</v>
      </c>
      <c r="D736" s="2" t="str">
        <f t="shared" si="10"/>
        <v>Error?</v>
      </c>
    </row>
    <row r="737" spans="1:4" x14ac:dyDescent="0.2">
      <c r="A737" s="5">
        <v>676</v>
      </c>
      <c r="B737" s="138">
        <f>'Expenditures 15-22'!C57</f>
        <v>769640</v>
      </c>
      <c r="C737" s="2" t="s">
        <v>593</v>
      </c>
      <c r="D737" s="2" t="str">
        <f t="shared" si="10"/>
        <v>Error?</v>
      </c>
    </row>
    <row r="738" spans="1:4" x14ac:dyDescent="0.2">
      <c r="A738" s="5">
        <v>677</v>
      </c>
      <c r="B738" s="138">
        <f>'Expenditures 15-22'!C59</f>
        <v>51260</v>
      </c>
      <c r="D738" s="2" t="str">
        <f t="shared" si="10"/>
        <v>Error?</v>
      </c>
    </row>
    <row r="739" spans="1:4" x14ac:dyDescent="0.2">
      <c r="A739" s="5">
        <v>678</v>
      </c>
      <c r="B739" s="138">
        <f>'Expenditures 15-22'!C60</f>
        <v>126730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177990</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98191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98191</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3030612</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15536525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2854841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335783</v>
      </c>
      <c r="D775" s="2" t="str">
        <f t="shared" si="11"/>
        <v>Error?</v>
      </c>
    </row>
    <row r="776" spans="1:4" x14ac:dyDescent="0.2">
      <c r="A776" s="5">
        <v>715</v>
      </c>
      <c r="B776" s="138">
        <f>'Expenditures 15-22'!D14</f>
        <v>324690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4034233</v>
      </c>
      <c r="C778" s="2" t="s">
        <v>593</v>
      </c>
      <c r="D778" s="2" t="str">
        <f t="shared" si="11"/>
        <v>Error?</v>
      </c>
    </row>
    <row r="779" spans="1:4" x14ac:dyDescent="0.2">
      <c r="A779" s="5">
        <v>718</v>
      </c>
      <c r="B779" s="138">
        <f>'Expenditures 15-22'!D36</f>
        <v>46258</v>
      </c>
      <c r="D779" s="2" t="str">
        <f t="shared" si="11"/>
        <v>Error?</v>
      </c>
    </row>
    <row r="780" spans="1:4" x14ac:dyDescent="0.2">
      <c r="A780" s="5">
        <v>719</v>
      </c>
      <c r="B780" s="138">
        <f>'Expenditures 15-22'!D37</f>
        <v>202493</v>
      </c>
      <c r="D780" s="2" t="str">
        <f t="shared" si="11"/>
        <v>Error?</v>
      </c>
    </row>
    <row r="781" spans="1:4" x14ac:dyDescent="0.2">
      <c r="A781" s="5">
        <v>720</v>
      </c>
      <c r="B781" s="138">
        <f>'Expenditures 15-22'!D38</f>
        <v>7415</v>
      </c>
      <c r="D781" s="2" t="str">
        <f t="shared" si="11"/>
        <v>Error?</v>
      </c>
    </row>
    <row r="782" spans="1:4" x14ac:dyDescent="0.2">
      <c r="A782" s="5">
        <v>721</v>
      </c>
      <c r="B782" s="138">
        <f>'Expenditures 15-22'!D39</f>
        <v>8787</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16564</v>
      </c>
      <c r="D784" s="2" t="str">
        <f t="shared" si="11"/>
        <v>Error?</v>
      </c>
    </row>
    <row r="785" spans="1:4" x14ac:dyDescent="0.2">
      <c r="A785" s="5">
        <v>724</v>
      </c>
      <c r="B785" s="138">
        <f>'Expenditures 15-22'!D42</f>
        <v>281517</v>
      </c>
      <c r="C785" s="2" t="s">
        <v>593</v>
      </c>
      <c r="D785" s="2" t="str">
        <f t="shared" si="11"/>
        <v>Error?</v>
      </c>
    </row>
    <row r="786" spans="1:4" x14ac:dyDescent="0.2">
      <c r="A786" s="5">
        <v>725</v>
      </c>
      <c r="B786" s="138">
        <f>'Expenditures 15-22'!D44</f>
        <v>35275</v>
      </c>
      <c r="D786" s="2" t="str">
        <f t="shared" si="11"/>
        <v>Error?</v>
      </c>
    </row>
    <row r="787" spans="1:4" x14ac:dyDescent="0.2">
      <c r="A787" s="5">
        <v>726</v>
      </c>
      <c r="B787" s="138">
        <f>'Expenditures 15-22'!D45</f>
        <v>100348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135623</v>
      </c>
      <c r="C789" s="2" t="s">
        <v>593</v>
      </c>
      <c r="D789" s="2" t="str">
        <f t="shared" si="11"/>
        <v>Error?</v>
      </c>
    </row>
    <row r="790" spans="1:4" x14ac:dyDescent="0.2">
      <c r="A790" s="5">
        <v>729</v>
      </c>
      <c r="B790" s="138">
        <f>'Expenditures 15-22'!D49</f>
        <v>-603</v>
      </c>
      <c r="D790" s="2" t="str">
        <f t="shared" si="11"/>
        <v>Error?</v>
      </c>
    </row>
    <row r="791" spans="1:4" x14ac:dyDescent="0.2">
      <c r="A791" s="5">
        <v>730</v>
      </c>
      <c r="B791" s="138">
        <f>'Expenditures 15-22'!D50</f>
        <v>32276</v>
      </c>
      <c r="D791" s="2" t="str">
        <f t="shared" si="11"/>
        <v>Error?</v>
      </c>
    </row>
    <row r="792" spans="1:4" x14ac:dyDescent="0.2">
      <c r="A792" s="5">
        <v>731</v>
      </c>
      <c r="B792" s="138">
        <f>'Expenditures 15-22'!D53</f>
        <v>31673</v>
      </c>
      <c r="C792" s="2" t="s">
        <v>593</v>
      </c>
      <c r="D792" s="2" t="str">
        <f t="shared" si="11"/>
        <v>Error?</v>
      </c>
    </row>
    <row r="793" spans="1:4" x14ac:dyDescent="0.2">
      <c r="A793" s="5">
        <v>732</v>
      </c>
      <c r="B793" s="138">
        <f>'Expenditures 15-22'!D55</f>
        <v>190802</v>
      </c>
      <c r="D793" s="2" t="str">
        <f t="shared" si="11"/>
        <v>Error?</v>
      </c>
    </row>
    <row r="794" spans="1:4" x14ac:dyDescent="0.2">
      <c r="A794" s="5">
        <v>733</v>
      </c>
      <c r="B794" s="138">
        <f>'Expenditures 15-22'!D56</f>
        <v>24310</v>
      </c>
      <c r="D794" s="2" t="str">
        <f t="shared" si="11"/>
        <v>Error?</v>
      </c>
    </row>
    <row r="795" spans="1:4" x14ac:dyDescent="0.2">
      <c r="A795" s="5">
        <v>734</v>
      </c>
      <c r="B795" s="138">
        <f>'Expenditures 15-22'!D57</f>
        <v>215112</v>
      </c>
      <c r="C795" s="2" t="s">
        <v>593</v>
      </c>
      <c r="D795" s="2" t="str">
        <f t="shared" si="11"/>
        <v>Error?</v>
      </c>
    </row>
    <row r="796" spans="1:4" x14ac:dyDescent="0.2">
      <c r="A796" s="5">
        <v>735</v>
      </c>
      <c r="B796" s="138">
        <f>'Expenditures 15-22'!D59</f>
        <v>12012</v>
      </c>
      <c r="D796" s="2" t="str">
        <f t="shared" si="11"/>
        <v>Error?</v>
      </c>
    </row>
    <row r="797" spans="1:4" x14ac:dyDescent="0.2">
      <c r="A797" s="5">
        <v>736</v>
      </c>
      <c r="B797" s="138">
        <f>'Expenditures 15-22'!D60</f>
        <v>14464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26476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30109</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30109</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720510</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4754743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40437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51946</v>
      </c>
      <c r="D833" s="2" t="str">
        <f t="shared" si="12"/>
        <v>Error?</v>
      </c>
    </row>
    <row r="834" spans="1:4" x14ac:dyDescent="0.2">
      <c r="A834" s="5">
        <v>773</v>
      </c>
      <c r="B834" s="138">
        <f>'Expenditures 15-22'!E14</f>
        <v>232951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325724</v>
      </c>
      <c r="C836" s="2" t="s">
        <v>593</v>
      </c>
      <c r="D836" s="2" t="str">
        <f t="shared" si="12"/>
        <v>Error?</v>
      </c>
    </row>
    <row r="837" spans="1:4" x14ac:dyDescent="0.2">
      <c r="A837" s="5">
        <v>776</v>
      </c>
      <c r="B837" s="138">
        <f>'Expenditures 15-22'!E36</f>
        <v>220</v>
      </c>
      <c r="D837" s="2" t="str">
        <f t="shared" si="12"/>
        <v>Error?</v>
      </c>
    </row>
    <row r="838" spans="1:4" x14ac:dyDescent="0.2">
      <c r="A838" s="5">
        <v>777</v>
      </c>
      <c r="B838" s="138">
        <f>'Expenditures 15-22'!E37</f>
        <v>50086</v>
      </c>
      <c r="D838" s="2" t="str">
        <f t="shared" si="12"/>
        <v>Error?</v>
      </c>
    </row>
    <row r="839" spans="1:4" x14ac:dyDescent="0.2">
      <c r="A839" s="5">
        <v>778</v>
      </c>
      <c r="B839" s="138">
        <f>'Expenditures 15-22'!E38</f>
        <v>135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3189</v>
      </c>
      <c r="D842" s="2" t="str">
        <f t="shared" si="12"/>
        <v>Error?</v>
      </c>
    </row>
    <row r="843" spans="1:4" x14ac:dyDescent="0.2">
      <c r="A843" s="5">
        <v>782</v>
      </c>
      <c r="B843" s="138">
        <f>'Expenditures 15-22'!E42</f>
        <v>53630</v>
      </c>
      <c r="C843" s="2" t="s">
        <v>593</v>
      </c>
      <c r="D843" s="2" t="str">
        <f t="shared" si="12"/>
        <v>Error?</v>
      </c>
    </row>
    <row r="844" spans="1:4" x14ac:dyDescent="0.2">
      <c r="A844" s="5">
        <v>783</v>
      </c>
      <c r="B844" s="138">
        <f>'Expenditures 15-22'!E44</f>
        <v>65275</v>
      </c>
      <c r="D844" s="2" t="str">
        <f t="shared" si="12"/>
        <v>Error?</v>
      </c>
    </row>
    <row r="845" spans="1:4" x14ac:dyDescent="0.2">
      <c r="A845" s="5">
        <v>784</v>
      </c>
      <c r="B845" s="138">
        <f>'Expenditures 15-22'!E45</f>
        <v>112217</v>
      </c>
      <c r="D845" s="2" t="str">
        <f t="shared" si="12"/>
        <v>Error?</v>
      </c>
    </row>
    <row r="846" spans="1:4" x14ac:dyDescent="0.2">
      <c r="A846" s="5">
        <v>785</v>
      </c>
      <c r="B846" s="138">
        <f>'Expenditures 15-22'!E46</f>
        <v>12492</v>
      </c>
      <c r="D846" s="2" t="str">
        <f t="shared" si="12"/>
        <v>Error?</v>
      </c>
    </row>
    <row r="847" spans="1:4" x14ac:dyDescent="0.2">
      <c r="A847" s="5">
        <v>786</v>
      </c>
      <c r="B847" s="138">
        <f>'Expenditures 15-22'!E47</f>
        <v>189984</v>
      </c>
      <c r="C847" s="2" t="s">
        <v>593</v>
      </c>
      <c r="D847" s="2" t="str">
        <f t="shared" si="12"/>
        <v>Error?</v>
      </c>
    </row>
    <row r="848" spans="1:4" x14ac:dyDescent="0.2">
      <c r="A848" s="5">
        <v>787</v>
      </c>
      <c r="B848" s="138">
        <f>'Expenditures 15-22'!E49</f>
        <v>83540</v>
      </c>
      <c r="D848" s="2" t="str">
        <f t="shared" si="12"/>
        <v>Error?</v>
      </c>
    </row>
    <row r="849" spans="1:4" x14ac:dyDescent="0.2">
      <c r="A849" s="5">
        <v>788</v>
      </c>
      <c r="B849" s="138">
        <f>'Expenditures 15-22'!E50</f>
        <v>2062</v>
      </c>
      <c r="D849" s="2" t="str">
        <f t="shared" si="12"/>
        <v>Error?</v>
      </c>
    </row>
    <row r="850" spans="1:4" x14ac:dyDescent="0.2">
      <c r="A850" s="5">
        <v>789</v>
      </c>
      <c r="B850" s="138">
        <f>'Expenditures 15-22'!E53</f>
        <v>85602</v>
      </c>
      <c r="C850" s="2" t="s">
        <v>593</v>
      </c>
      <c r="D850" s="2" t="str">
        <f t="shared" si="12"/>
        <v>Error?</v>
      </c>
    </row>
    <row r="851" spans="1:4" x14ac:dyDescent="0.2">
      <c r="A851" s="5">
        <v>790</v>
      </c>
      <c r="B851" s="138">
        <f>'Expenditures 15-22'!E55</f>
        <v>37315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37315</v>
      </c>
      <c r="C853" s="2" t="s">
        <v>593</v>
      </c>
      <c r="D853" s="2" t="str">
        <f t="shared" si="12"/>
        <v>Error?</v>
      </c>
    </row>
    <row r="854" spans="1:4" x14ac:dyDescent="0.2">
      <c r="A854" s="5">
        <v>793</v>
      </c>
      <c r="B854" s="138">
        <f>'Expenditures 15-22'!E59</f>
        <v>29</v>
      </c>
      <c r="D854" s="2" t="str">
        <f t="shared" si="12"/>
        <v>Error?</v>
      </c>
    </row>
    <row r="855" spans="1:4" x14ac:dyDescent="0.2">
      <c r="A855" s="5">
        <v>794</v>
      </c>
      <c r="B855" s="138">
        <f>'Expenditures 15-22'!E60</f>
        <v>39467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893438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932934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201546</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201546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1501011</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1826735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314730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97130</v>
      </c>
      <c r="D891" s="2" t="str">
        <f t="shared" si="12"/>
        <v>Error?</v>
      </c>
    </row>
    <row r="892" spans="1:4" x14ac:dyDescent="0.2">
      <c r="A892" s="5">
        <v>831</v>
      </c>
      <c r="B892" s="138">
        <f>'Expenditures 15-22'!F14</f>
        <v>109481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537172</v>
      </c>
      <c r="C894" s="2" t="s">
        <v>593</v>
      </c>
      <c r="D894" s="2" t="str">
        <f t="shared" si="12"/>
        <v>Error?</v>
      </c>
    </row>
    <row r="895" spans="1:4" x14ac:dyDescent="0.2">
      <c r="A895" s="5">
        <v>834</v>
      </c>
      <c r="B895" s="138">
        <f>'Expenditures 15-22'!F36</f>
        <v>1359</v>
      </c>
      <c r="D895" s="2" t="str">
        <f t="shared" ref="D895:D958" si="13">IF(ISBLANK(B895),"OK",IF(A895-B895=0,"OK","Error?"))</f>
        <v>Error?</v>
      </c>
    </row>
    <row r="896" spans="1:4" x14ac:dyDescent="0.2">
      <c r="A896" s="5">
        <v>835</v>
      </c>
      <c r="B896" s="138">
        <f>'Expenditures 15-22'!F37</f>
        <v>10773</v>
      </c>
      <c r="D896" s="2" t="str">
        <f t="shared" si="13"/>
        <v>Error?</v>
      </c>
    </row>
    <row r="897" spans="1:4" x14ac:dyDescent="0.2">
      <c r="A897" s="5">
        <v>836</v>
      </c>
      <c r="B897" s="138">
        <f>'Expenditures 15-22'!F38</f>
        <v>3202</v>
      </c>
      <c r="D897" s="2" t="str">
        <f t="shared" si="13"/>
        <v>Error?</v>
      </c>
    </row>
    <row r="898" spans="1:4" x14ac:dyDescent="0.2">
      <c r="A898" s="5">
        <v>837</v>
      </c>
      <c r="B898" s="138">
        <f>'Expenditures 15-22'!F39</f>
        <v>1372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352</v>
      </c>
      <c r="D900" s="2" t="str">
        <f t="shared" si="13"/>
        <v>Error?</v>
      </c>
    </row>
    <row r="901" spans="1:4" x14ac:dyDescent="0.2">
      <c r="A901" s="5">
        <v>840</v>
      </c>
      <c r="B901" s="138">
        <f>'Expenditures 15-22'!F42</f>
        <v>17058</v>
      </c>
      <c r="C901" s="2" t="s">
        <v>593</v>
      </c>
      <c r="D901" s="2" t="str">
        <f t="shared" si="13"/>
        <v>Error?</v>
      </c>
    </row>
    <row r="902" spans="1:4" x14ac:dyDescent="0.2">
      <c r="A902" s="5">
        <v>841</v>
      </c>
      <c r="B902" s="138">
        <f>'Expenditures 15-22'!F44</f>
        <v>11096</v>
      </c>
      <c r="D902" s="2" t="str">
        <f t="shared" si="13"/>
        <v>Error?</v>
      </c>
    </row>
    <row r="903" spans="1:4" x14ac:dyDescent="0.2">
      <c r="A903" s="5">
        <v>842</v>
      </c>
      <c r="B903" s="138">
        <f>'Expenditures 15-22'!F45</f>
        <v>176210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187306</v>
      </c>
      <c r="C905" s="2" t="s">
        <v>593</v>
      </c>
      <c r="D905" s="2" t="str">
        <f t="shared" si="13"/>
        <v>Error?</v>
      </c>
    </row>
    <row r="906" spans="1:4" x14ac:dyDescent="0.2">
      <c r="A906" s="5">
        <v>845</v>
      </c>
      <c r="B906" s="138">
        <f>'Expenditures 15-22'!F49</f>
        <v>14872</v>
      </c>
      <c r="D906" s="2" t="str">
        <f t="shared" si="13"/>
        <v>Error?</v>
      </c>
    </row>
    <row r="907" spans="1:4" x14ac:dyDescent="0.2">
      <c r="A907" s="5">
        <v>846</v>
      </c>
      <c r="B907" s="138">
        <f>'Expenditures 15-22'!F50</f>
        <v>162</v>
      </c>
      <c r="D907" s="2" t="str">
        <f t="shared" si="13"/>
        <v>Error?</v>
      </c>
    </row>
    <row r="908" spans="1:4" x14ac:dyDescent="0.2">
      <c r="A908" s="5">
        <v>847</v>
      </c>
      <c r="B908" s="138">
        <f>'Expenditures 15-22'!F53</f>
        <v>15480</v>
      </c>
      <c r="C908" s="2" t="s">
        <v>593</v>
      </c>
      <c r="D908" s="2" t="str">
        <f t="shared" si="13"/>
        <v>Error?</v>
      </c>
    </row>
    <row r="909" spans="1:4" x14ac:dyDescent="0.2">
      <c r="A909" s="5">
        <v>848</v>
      </c>
      <c r="B909" s="138">
        <f>'Expenditures 15-22'!F55</f>
        <v>45552</v>
      </c>
      <c r="D909" s="2" t="str">
        <f t="shared" si="13"/>
        <v>Error?</v>
      </c>
    </row>
    <row r="910" spans="1:4" x14ac:dyDescent="0.2">
      <c r="A910" s="5">
        <v>849</v>
      </c>
      <c r="B910" s="138">
        <f>'Expenditures 15-22'!F56</f>
        <v>1154</v>
      </c>
      <c r="D910" s="2" t="str">
        <f t="shared" si="13"/>
        <v>Error?</v>
      </c>
    </row>
    <row r="911" spans="1:4" x14ac:dyDescent="0.2">
      <c r="A911" s="5">
        <v>850</v>
      </c>
      <c r="B911" s="138">
        <f>'Expenditures 15-22'!F57</f>
        <v>46706</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2058</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38092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38092</v>
      </c>
      <c r="C927" s="2" t="s">
        <v>593</v>
      </c>
      <c r="D927" s="2" t="str">
        <f t="shared" si="13"/>
        <v>Error?</v>
      </c>
    </row>
    <row r="928" spans="1:4" x14ac:dyDescent="0.2">
      <c r="A928" s="5">
        <v>867</v>
      </c>
      <c r="B928" s="138">
        <f>'Expenditures 15-22'!F73</f>
        <v>1500</v>
      </c>
      <c r="D928" s="2" t="str">
        <f t="shared" si="13"/>
        <v>Error?</v>
      </c>
    </row>
    <row r="929" spans="1:4" x14ac:dyDescent="0.2">
      <c r="A929" s="5">
        <v>868</v>
      </c>
      <c r="B929" s="138">
        <f>'Expenditures 15-22'!F74</f>
        <v>308200</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845372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31215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5790</v>
      </c>
      <c r="D949" s="2" t="str">
        <f t="shared" si="13"/>
        <v>Error?</v>
      </c>
    </row>
    <row r="950" spans="1:4" x14ac:dyDescent="0.2">
      <c r="A950" s="5">
        <v>889</v>
      </c>
      <c r="B950" s="138">
        <f>'Expenditures 15-22'!G14</f>
        <v>4794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47653</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119680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119680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1628</v>
      </c>
      <c r="D965" s="2" t="str">
        <f t="shared" si="14"/>
        <v>Error?</v>
      </c>
    </row>
    <row r="966" spans="1:4" x14ac:dyDescent="0.2">
      <c r="A966" s="5">
        <v>905</v>
      </c>
      <c r="B966" s="138">
        <f>'Expenditures 15-22'!G53</f>
        <v>1628</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121308</v>
      </c>
      <c r="C987" s="2" t="s">
        <v>593</v>
      </c>
      <c r="D987" s="2" t="str">
        <f t="shared" si="14"/>
        <v>Error?</v>
      </c>
    </row>
    <row r="988" spans="1:4" x14ac:dyDescent="0.2">
      <c r="A988" s="5">
        <v>927</v>
      </c>
      <c r="B988" s="138">
        <f>'Expenditures 15-22'!G75</f>
        <v>9483</v>
      </c>
      <c r="D988" s="2" t="str">
        <f t="shared" si="14"/>
        <v>Error?</v>
      </c>
    </row>
    <row r="989" spans="1:4" x14ac:dyDescent="0.2">
      <c r="A989" s="5">
        <v>928</v>
      </c>
      <c r="B989" s="138">
        <f>'Expenditures 15-22'!G114</f>
        <v>178444</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11170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1573</v>
      </c>
      <c r="D1007" s="2" t="str">
        <f t="shared" si="14"/>
        <v>Error?</v>
      </c>
    </row>
    <row r="1008" spans="1:4" x14ac:dyDescent="0.2">
      <c r="A1008" s="5">
        <v>947</v>
      </c>
      <c r="B1008" s="138">
        <f>'Expenditures 15-22'!H14</f>
        <v>7557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941312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1052</v>
      </c>
      <c r="D1016" s="2" t="str">
        <f t="shared" si="14"/>
        <v>Error?</v>
      </c>
    </row>
    <row r="1017" spans="1:4" x14ac:dyDescent="0.2">
      <c r="A1017" s="5">
        <v>956</v>
      </c>
      <c r="B1017" s="138">
        <f>'Expenditures 15-22'!H42</f>
        <v>1157</v>
      </c>
      <c r="C1017" s="2" t="s">
        <v>593</v>
      </c>
      <c r="D1017" s="2" t="str">
        <f t="shared" si="14"/>
        <v>Error?</v>
      </c>
    </row>
    <row r="1018" spans="1:4" x14ac:dyDescent="0.2">
      <c r="A1018" s="5">
        <v>957</v>
      </c>
      <c r="B1018" s="138">
        <f>'Expenditures 15-22'!H44</f>
        <v>122</v>
      </c>
      <c r="D1018" s="2" t="str">
        <f t="shared" si="14"/>
        <v>Error?</v>
      </c>
    </row>
    <row r="1019" spans="1:4" x14ac:dyDescent="0.2">
      <c r="A1019" s="5">
        <v>958</v>
      </c>
      <c r="B1019" s="138">
        <f>'Expenditures 15-22'!H45</f>
        <v>715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837</v>
      </c>
      <c r="C1021" s="2" t="s">
        <v>593</v>
      </c>
      <c r="D1021" s="2" t="str">
        <f t="shared" si="14"/>
        <v>Error?</v>
      </c>
    </row>
    <row r="1022" spans="1:4" x14ac:dyDescent="0.2">
      <c r="A1022" s="5">
        <v>961</v>
      </c>
      <c r="B1022" s="138">
        <f>'Expenditures 15-22'!H49</f>
        <v>21071</v>
      </c>
      <c r="D1022" s="2" t="str">
        <f t="shared" si="14"/>
        <v>Error?</v>
      </c>
    </row>
    <row r="1023" spans="1:4" x14ac:dyDescent="0.2">
      <c r="A1023" s="5">
        <v>962</v>
      </c>
      <c r="B1023" s="138">
        <f>'Expenditures 15-22'!H50</f>
        <v>3318</v>
      </c>
      <c r="D1023" s="2" t="str">
        <f t="shared" ref="D1023:D1086" si="15">IF(ISBLANK(B1023),"OK",IF(A1023-B1023=0,"OK","Error?"))</f>
        <v>Error?</v>
      </c>
    </row>
    <row r="1024" spans="1:4" x14ac:dyDescent="0.2">
      <c r="A1024" s="5">
        <v>963</v>
      </c>
      <c r="B1024" s="138">
        <f>'Expenditures 15-22'!H53</f>
        <v>24389</v>
      </c>
      <c r="C1024" s="2" t="s">
        <v>593</v>
      </c>
      <c r="D1024" s="2" t="str">
        <f t="shared" si="15"/>
        <v>Error?</v>
      </c>
    </row>
    <row r="1025" spans="1:4" x14ac:dyDescent="0.2">
      <c r="A1025" s="5">
        <v>964</v>
      </c>
      <c r="B1025" s="138">
        <f>'Expenditures 15-22'!H55</f>
        <v>12878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12878</v>
      </c>
      <c r="C1027" s="2" t="s">
        <v>593</v>
      </c>
      <c r="D1027" s="2" t="str">
        <f t="shared" si="15"/>
        <v>Error?</v>
      </c>
    </row>
    <row r="1028" spans="1:4" x14ac:dyDescent="0.2">
      <c r="A1028" s="5">
        <v>967</v>
      </c>
      <c r="B1028" s="138">
        <f>'Expenditures 15-22'!H59</f>
        <v>10934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1320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12254</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1069</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1069</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52584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2115581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3109477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11748212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1458369</v>
      </c>
      <c r="C1105" s="2" t="s">
        <v>593</v>
      </c>
      <c r="D1105" s="2" t="str">
        <f t="shared" si="16"/>
        <v>Error?</v>
      </c>
    </row>
    <row r="1106" spans="1:4" x14ac:dyDescent="0.2">
      <c r="A1106" s="5">
        <v>1045</v>
      </c>
      <c r="B1106" s="138">
        <f>'Expenditures 15-22'!K14</f>
        <v>1918132</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18392007</v>
      </c>
      <c r="C1108" s="2" t="s">
        <v>593</v>
      </c>
      <c r="D1108" s="2" t="str">
        <f t="shared" si="16"/>
        <v>Error?</v>
      </c>
    </row>
    <row r="1109" spans="1:4" x14ac:dyDescent="0.2">
      <c r="A1109" s="5">
        <v>1048</v>
      </c>
      <c r="B1109" s="138">
        <f>'Expenditures 15-22'!K36</f>
        <v>215532</v>
      </c>
      <c r="C1109" s="2" t="s">
        <v>593</v>
      </c>
      <c r="D1109" s="2" t="str">
        <f t="shared" si="16"/>
        <v>Error?</v>
      </c>
    </row>
    <row r="1110" spans="1:4" x14ac:dyDescent="0.2">
      <c r="A1110" s="5">
        <v>1049</v>
      </c>
      <c r="B1110" s="138">
        <f>'Expenditures 15-22'!K37</f>
        <v>950231</v>
      </c>
      <c r="C1110" s="2" t="s">
        <v>593</v>
      </c>
      <c r="D1110" s="2" t="str">
        <f t="shared" si="16"/>
        <v>Error?</v>
      </c>
    </row>
    <row r="1111" spans="1:4" x14ac:dyDescent="0.2">
      <c r="A1111" s="5">
        <v>1050</v>
      </c>
      <c r="B1111" s="138">
        <f>'Expenditures 15-22'!K38</f>
        <v>82898</v>
      </c>
      <c r="C1111" s="2" t="s">
        <v>593</v>
      </c>
      <c r="D1111" s="2" t="str">
        <f t="shared" si="16"/>
        <v>Error?</v>
      </c>
    </row>
    <row r="1112" spans="1:4" x14ac:dyDescent="0.2">
      <c r="A1112" s="5">
        <v>1051</v>
      </c>
      <c r="B1112" s="138">
        <f>'Expenditures 15-22'!K39</f>
        <v>79800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185191</v>
      </c>
      <c r="C1114" s="2" t="s">
        <v>593</v>
      </c>
      <c r="D1114" s="2" t="str">
        <f t="shared" si="16"/>
        <v>Error?</v>
      </c>
    </row>
    <row r="1115" spans="1:4" x14ac:dyDescent="0.2">
      <c r="A1115" s="5">
        <v>1054</v>
      </c>
      <c r="B1115" s="138">
        <f>'Expenditures 15-22'!K42</f>
        <v>1513652</v>
      </c>
      <c r="C1115" s="2" t="s">
        <v>593</v>
      </c>
      <c r="D1115" s="2" t="str">
        <f t="shared" si="16"/>
        <v>Error?</v>
      </c>
    </row>
    <row r="1116" spans="1:4" x14ac:dyDescent="0.2">
      <c r="A1116" s="5">
        <v>1055</v>
      </c>
      <c r="B1116" s="138">
        <f>'Expenditures 15-22'!K44</f>
        <v>265230</v>
      </c>
      <c r="C1116" s="2" t="s">
        <v>593</v>
      </c>
      <c r="D1116" s="2" t="str">
        <f t="shared" si="16"/>
        <v>Error?</v>
      </c>
    </row>
    <row r="1117" spans="1:4" x14ac:dyDescent="0.2">
      <c r="A1117" s="5">
        <v>1056</v>
      </c>
      <c r="B1117" s="138">
        <f>'Expenditures 15-22'!K45</f>
        <v>919715</v>
      </c>
      <c r="C1117" s="2" t="s">
        <v>593</v>
      </c>
      <c r="D1117" s="2" t="str">
        <f t="shared" si="16"/>
        <v>Error?</v>
      </c>
    </row>
    <row r="1118" spans="1:4" x14ac:dyDescent="0.2">
      <c r="A1118" s="5">
        <v>1057</v>
      </c>
      <c r="B1118" s="138">
        <f>'Expenditures 15-22'!K46</f>
        <v>12492</v>
      </c>
      <c r="C1118" s="2" t="s">
        <v>593</v>
      </c>
      <c r="D1118" s="2" t="str">
        <f t="shared" si="16"/>
        <v>Error?</v>
      </c>
    </row>
    <row r="1119" spans="1:4" x14ac:dyDescent="0.2">
      <c r="A1119" s="5">
        <v>1058</v>
      </c>
      <c r="B1119" s="138">
        <f>'Expenditures 15-22'!K47</f>
        <v>1197437</v>
      </c>
      <c r="C1119" s="2" t="s">
        <v>593</v>
      </c>
      <c r="D1119" s="2" t="str">
        <f t="shared" si="16"/>
        <v>Error?</v>
      </c>
    </row>
    <row r="1120" spans="1:4" x14ac:dyDescent="0.2">
      <c r="A1120" s="5">
        <v>1059</v>
      </c>
      <c r="B1120" s="138">
        <f>'Expenditures 15-22'!K49</f>
        <v>122317</v>
      </c>
      <c r="C1120" s="2" t="s">
        <v>593</v>
      </c>
      <c r="D1120" s="2" t="str">
        <f t="shared" si="16"/>
        <v>Error?</v>
      </c>
    </row>
    <row r="1121" spans="1:4" x14ac:dyDescent="0.2">
      <c r="A1121" s="5">
        <v>1060</v>
      </c>
      <c r="B1121" s="138">
        <f>'Expenditures 15-22'!K50</f>
        <v>296503</v>
      </c>
      <c r="C1121" s="2" t="s">
        <v>593</v>
      </c>
      <c r="D1121" s="2" t="str">
        <f t="shared" si="16"/>
        <v>Error?</v>
      </c>
    </row>
    <row r="1122" spans="1:4" x14ac:dyDescent="0.2">
      <c r="A1122" s="5">
        <v>1061</v>
      </c>
      <c r="B1122" s="138">
        <f>'Expenditures 15-22'!K53</f>
        <v>419266</v>
      </c>
      <c r="C1122" s="2" t="s">
        <v>593</v>
      </c>
      <c r="D1122" s="2" t="str">
        <f t="shared" si="16"/>
        <v>Error?</v>
      </c>
    </row>
    <row r="1123" spans="1:4" x14ac:dyDescent="0.2">
      <c r="A1123" s="5">
        <v>1062</v>
      </c>
      <c r="B1123" s="138">
        <f>'Expenditures 15-22'!K55</f>
        <v>986968</v>
      </c>
      <c r="C1123" s="2" t="s">
        <v>593</v>
      </c>
      <c r="D1123" s="2" t="str">
        <f t="shared" si="16"/>
        <v>Error?</v>
      </c>
    </row>
    <row r="1124" spans="1:4" x14ac:dyDescent="0.2">
      <c r="A1124" s="5">
        <v>1063</v>
      </c>
      <c r="B1124" s="138">
        <f>'Expenditures 15-22'!K56</f>
        <v>94683</v>
      </c>
      <c r="C1124" s="2" t="s">
        <v>593</v>
      </c>
      <c r="D1124" s="2" t="str">
        <f t="shared" si="16"/>
        <v>Error?</v>
      </c>
    </row>
    <row r="1125" spans="1:4" x14ac:dyDescent="0.2">
      <c r="A1125" s="5">
        <v>1064</v>
      </c>
      <c r="B1125" s="138">
        <f>'Expenditures 15-22'!K57</f>
        <v>1081651</v>
      </c>
      <c r="C1125" s="2" t="s">
        <v>593</v>
      </c>
      <c r="D1125" s="2" t="str">
        <f t="shared" si="16"/>
        <v>Error?</v>
      </c>
    </row>
    <row r="1126" spans="1:4" x14ac:dyDescent="0.2">
      <c r="A1126" s="5">
        <v>1065</v>
      </c>
      <c r="B1126" s="138">
        <f>'Expenditures 15-22'!K59</f>
        <v>74235</v>
      </c>
      <c r="C1126" s="2" t="s">
        <v>593</v>
      </c>
      <c r="D1126" s="2" t="str">
        <f t="shared" si="16"/>
        <v>Error?</v>
      </c>
    </row>
    <row r="1127" spans="1:4" x14ac:dyDescent="0.2">
      <c r="A1127" s="5">
        <v>1066</v>
      </c>
      <c r="B1127" s="138">
        <f>'Expenditures 15-22'!K60</f>
        <v>182719</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894758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1151712</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369007</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369007</v>
      </c>
      <c r="C1141" s="2" t="s">
        <v>593</v>
      </c>
      <c r="D1141" s="2" t="str">
        <f t="shared" si="16"/>
        <v>Error?</v>
      </c>
    </row>
    <row r="1142" spans="1:4" x14ac:dyDescent="0.2">
      <c r="A1142" s="5">
        <v>1081</v>
      </c>
      <c r="B1142" s="138">
        <f>'Expenditures 15-22'!K73</f>
        <v>1500</v>
      </c>
      <c r="C1142" s="2" t="s">
        <v>593</v>
      </c>
      <c r="D1142" s="2" t="str">
        <f t="shared" si="16"/>
        <v>Error?</v>
      </c>
    </row>
    <row r="1143" spans="1:4" x14ac:dyDescent="0.2">
      <c r="A1143" s="5">
        <v>1082</v>
      </c>
      <c r="B1143" s="138">
        <f>'Expenditures 15-22'!K74</f>
        <v>5734225</v>
      </c>
      <c r="C1143" s="2" t="s">
        <v>593</v>
      </c>
      <c r="D1143" s="2" t="str">
        <f t="shared" si="16"/>
        <v>Error?</v>
      </c>
    </row>
    <row r="1144" spans="1:4" x14ac:dyDescent="0.2">
      <c r="A1144" s="5">
        <v>1083</v>
      </c>
      <c r="B1144" s="138">
        <f>'Expenditures 15-22'!K75</f>
        <v>9483</v>
      </c>
      <c r="C1144" s="2" t="s">
        <v>593</v>
      </c>
      <c r="D1144" s="2" t="str">
        <f t="shared" si="16"/>
        <v>Error?</v>
      </c>
    </row>
    <row r="1145" spans="1:4" x14ac:dyDescent="0.2">
      <c r="A1145" s="5">
        <v>1084</v>
      </c>
      <c r="B1145" s="138">
        <f>'Expenditures 15-22'!K102</f>
        <v>2115581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26251296</v>
      </c>
      <c r="C1152" s="2" t="s">
        <v>593</v>
      </c>
      <c r="D1152" s="2" t="str">
        <f t="shared" si="17"/>
        <v>Error?</v>
      </c>
    </row>
    <row r="1153" spans="1:4" x14ac:dyDescent="0.2">
      <c r="A1153" s="5">
        <v>1092</v>
      </c>
      <c r="B1153" s="138">
        <f>'Expenditures 15-22'!K115</f>
        <v>-72904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51245</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736059</v>
      </c>
      <c r="D1221" s="2" t="str">
        <f t="shared" si="18"/>
        <v>Error?</v>
      </c>
    </row>
    <row r="1222" spans="1:4" x14ac:dyDescent="0.2">
      <c r="A1222" s="10">
        <v>1161</v>
      </c>
      <c r="D1222" s="2" t="str">
        <f t="shared" si="18"/>
        <v>OK</v>
      </c>
    </row>
    <row r="1223" spans="1:4" x14ac:dyDescent="0.2">
      <c r="A1223" s="5">
        <v>1162</v>
      </c>
      <c r="B1223" s="138">
        <f>'Expenditures 15-22'!C127</f>
        <v>787304</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787304</v>
      </c>
      <c r="C1225" s="2" t="s">
        <v>593</v>
      </c>
      <c r="D1225" s="2" t="str">
        <f t="shared" si="18"/>
        <v>Error?</v>
      </c>
    </row>
    <row r="1226" spans="1:4" x14ac:dyDescent="0.2">
      <c r="A1226" s="5">
        <v>1165</v>
      </c>
      <c r="B1226" s="138">
        <f>'Expenditures 15-22'!C151</f>
        <v>787304</v>
      </c>
      <c r="C1226" s="2" t="s">
        <v>593</v>
      </c>
      <c r="D1226" s="2" t="str">
        <f t="shared" si="18"/>
        <v>Error?</v>
      </c>
    </row>
    <row r="1227" spans="1:4" x14ac:dyDescent="0.2">
      <c r="A1227" s="5">
        <v>1166</v>
      </c>
      <c r="B1227" s="138">
        <f>'Expenditures 15-22'!D122</f>
        <v>8038</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173987</v>
      </c>
      <c r="D1229" s="2" t="str">
        <f t="shared" si="18"/>
        <v>Error?</v>
      </c>
    </row>
    <row r="1230" spans="1:4" x14ac:dyDescent="0.2">
      <c r="A1230" s="10">
        <v>1169</v>
      </c>
      <c r="D1230" s="2" t="str">
        <f t="shared" si="18"/>
        <v>OK</v>
      </c>
    </row>
    <row r="1231" spans="1:4" x14ac:dyDescent="0.2">
      <c r="A1231" s="5">
        <v>1170</v>
      </c>
      <c r="B1231" s="138">
        <f>'Expenditures 15-22'!D127</f>
        <v>182025</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182025</v>
      </c>
      <c r="C1233" s="2" t="s">
        <v>593</v>
      </c>
      <c r="D1233" s="2" t="str">
        <f t="shared" si="18"/>
        <v>Error?</v>
      </c>
    </row>
    <row r="1234" spans="1:4" x14ac:dyDescent="0.2">
      <c r="A1234" s="5">
        <v>1173</v>
      </c>
      <c r="B1234" s="138">
        <f>'Expenditures 15-22'!D151</f>
        <v>182025</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1205499</v>
      </c>
      <c r="D1237" s="2" t="str">
        <f t="shared" si="18"/>
        <v>Error?</v>
      </c>
    </row>
    <row r="1238" spans="1:4" x14ac:dyDescent="0.2">
      <c r="A1238" s="10">
        <v>1177</v>
      </c>
      <c r="D1238" s="2" t="str">
        <f t="shared" si="18"/>
        <v>OK</v>
      </c>
    </row>
    <row r="1239" spans="1:4" x14ac:dyDescent="0.2">
      <c r="A1239" s="5">
        <v>1178</v>
      </c>
      <c r="B1239" s="138">
        <f>'Expenditures 15-22'!E127</f>
        <v>1205499</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1205499</v>
      </c>
      <c r="C1241" s="2" t="s">
        <v>593</v>
      </c>
      <c r="D1241" s="2" t="str">
        <f t="shared" si="18"/>
        <v>Error?</v>
      </c>
    </row>
    <row r="1242" spans="1:4" x14ac:dyDescent="0.2">
      <c r="A1242" s="5">
        <v>1181</v>
      </c>
      <c r="B1242" s="138">
        <f>'Expenditures 15-22'!E151</f>
        <v>1205499</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1063504</v>
      </c>
      <c r="D1245" s="2" t="str">
        <f t="shared" si="18"/>
        <v>Error?</v>
      </c>
    </row>
    <row r="1246" spans="1:4" x14ac:dyDescent="0.2">
      <c r="A1246" s="10">
        <v>1185</v>
      </c>
      <c r="D1246" s="2" t="str">
        <f t="shared" si="18"/>
        <v>OK</v>
      </c>
    </row>
    <row r="1247" spans="1:4" x14ac:dyDescent="0.2">
      <c r="A1247" s="5">
        <v>1186</v>
      </c>
      <c r="B1247" s="138">
        <f>'Expenditures 15-22'!F127</f>
        <v>1063504</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1063504</v>
      </c>
      <c r="C1249" s="2" t="s">
        <v>593</v>
      </c>
      <c r="D1249" s="2" t="str">
        <f t="shared" si="18"/>
        <v>Error?</v>
      </c>
    </row>
    <row r="1250" spans="1:4" x14ac:dyDescent="0.2">
      <c r="A1250" s="5">
        <v>1189</v>
      </c>
      <c r="B1250" s="138">
        <f>'Expenditures 15-22'!F151</f>
        <v>1063504</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159929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159929</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159929</v>
      </c>
      <c r="C1258" s="2" t="s">
        <v>593</v>
      </c>
      <c r="D1258" s="2" t="str">
        <f t="shared" si="18"/>
        <v>Error?</v>
      </c>
    </row>
    <row r="1259" spans="1:4" x14ac:dyDescent="0.2">
      <c r="A1259" s="5">
        <v>1198</v>
      </c>
      <c r="B1259" s="138">
        <f>'Expenditures 15-22'!G151</f>
        <v>159929</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3120</v>
      </c>
      <c r="D1262" s="2" t="str">
        <f t="shared" si="18"/>
        <v>Error?</v>
      </c>
    </row>
    <row r="1263" spans="1:4" x14ac:dyDescent="0.2">
      <c r="A1263" s="10">
        <v>1202</v>
      </c>
      <c r="D1263" s="2" t="str">
        <f t="shared" si="18"/>
        <v>OK</v>
      </c>
    </row>
    <row r="1264" spans="1:4" x14ac:dyDescent="0.2">
      <c r="A1264" s="5">
        <v>1203</v>
      </c>
      <c r="B1264" s="138">
        <f>'Expenditures 15-22'!H127</f>
        <v>3120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3120</v>
      </c>
      <c r="C1266" s="2" t="s">
        <v>593</v>
      </c>
      <c r="D1266" s="2" t="str">
        <f t="shared" si="18"/>
        <v>Error?</v>
      </c>
    </row>
    <row r="1267" spans="1:4" x14ac:dyDescent="0.2">
      <c r="A1267" s="5">
        <v>1206</v>
      </c>
      <c r="B1267" s="138">
        <f>'Expenditures 15-22'!H139</f>
        <v>355275</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358395</v>
      </c>
      <c r="C1273" s="2" t="s">
        <v>593</v>
      </c>
      <c r="D1273" s="2" t="str">
        <f t="shared" si="18"/>
        <v>Error?</v>
      </c>
    </row>
    <row r="1274" spans="1:4" x14ac:dyDescent="0.2">
      <c r="A1274" s="5">
        <v>1213</v>
      </c>
      <c r="B1274" s="138">
        <f>'Expenditures 15-22'!K122</f>
        <v>59283</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3342098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3401381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3401381</v>
      </c>
      <c r="C1281" s="2" t="s">
        <v>593</v>
      </c>
      <c r="D1281" s="2" t="str">
        <f t="shared" si="19"/>
        <v>Error?</v>
      </c>
    </row>
    <row r="1282" spans="1:4" x14ac:dyDescent="0.2">
      <c r="A1282" s="5">
        <v>1221</v>
      </c>
      <c r="B1282" s="138">
        <f>'Expenditures 15-22'!K139</f>
        <v>355275</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3756656</v>
      </c>
      <c r="C1288" s="2" t="s">
        <v>593</v>
      </c>
      <c r="D1288" s="2" t="str">
        <f t="shared" si="19"/>
        <v>Error?</v>
      </c>
    </row>
    <row r="1289" spans="1:4" x14ac:dyDescent="0.2">
      <c r="A1289" s="5">
        <v>1228</v>
      </c>
      <c r="B1289" s="138">
        <f>'Expenditures 15-22'!K152</f>
        <v>-125115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2177345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6730000</v>
      </c>
      <c r="D1315" s="2" t="str">
        <f t="shared" si="19"/>
        <v>Error?</v>
      </c>
    </row>
    <row r="1316" spans="1:4" x14ac:dyDescent="0.2">
      <c r="A1316" s="5">
        <v>1255</v>
      </c>
      <c r="B1316" s="138">
        <f>'Expenditures 15-22'!H171</f>
        <v>109022</v>
      </c>
      <c r="D1316" s="2" t="str">
        <f t="shared" si="19"/>
        <v>Error?</v>
      </c>
    </row>
    <row r="1317" spans="1:4" x14ac:dyDescent="0.2">
      <c r="A1317" s="5">
        <v>1256</v>
      </c>
      <c r="B1317" s="138">
        <f>'Expenditures 15-22'!H172</f>
        <v>9016367</v>
      </c>
      <c r="C1317" s="2" t="s">
        <v>593</v>
      </c>
      <c r="D1317" s="2" t="str">
        <f t="shared" si="19"/>
        <v>Error?</v>
      </c>
    </row>
    <row r="1318" spans="1:4" x14ac:dyDescent="0.2">
      <c r="A1318" s="5">
        <v>1257</v>
      </c>
      <c r="B1318" s="138">
        <f>'Expenditures 15-22'!H174</f>
        <v>9016367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2177345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6730000</v>
      </c>
      <c r="C1329" s="2" t="s">
        <v>593</v>
      </c>
      <c r="D1329" s="2" t="str">
        <f t="shared" si="19"/>
        <v>Error?</v>
      </c>
    </row>
    <row r="1330" spans="1:4" x14ac:dyDescent="0.2">
      <c r="A1330" s="5">
        <v>1269</v>
      </c>
      <c r="B1330" s="138">
        <f>'Expenditures 15-22'!K171</f>
        <v>109022</v>
      </c>
      <c r="C1330" s="2" t="s">
        <v>593</v>
      </c>
      <c r="D1330" s="2" t="str">
        <f t="shared" si="19"/>
        <v>Error?</v>
      </c>
    </row>
    <row r="1331" spans="1:4" x14ac:dyDescent="0.2">
      <c r="A1331" s="5">
        <v>1270</v>
      </c>
      <c r="B1331" s="138">
        <f>'Expenditures 15-22'!K172</f>
        <v>9016367</v>
      </c>
      <c r="C1331" s="2" t="s">
        <v>593</v>
      </c>
      <c r="D1331" s="2" t="str">
        <f t="shared" si="19"/>
        <v>Error?</v>
      </c>
    </row>
    <row r="1332" spans="1:4" x14ac:dyDescent="0.2">
      <c r="A1332" s="5">
        <v>1271</v>
      </c>
      <c r="B1332" s="138">
        <f>'Expenditures 15-22'!K174</f>
        <v>9016367</v>
      </c>
      <c r="C1332" s="2" t="s">
        <v>593</v>
      </c>
      <c r="D1332" s="2" t="str">
        <f t="shared" si="19"/>
        <v>Error?</v>
      </c>
    </row>
    <row r="1333" spans="1:4" x14ac:dyDescent="0.2">
      <c r="A1333" s="5">
        <v>1272</v>
      </c>
      <c r="B1333" s="138">
        <f>'Expenditures 15-22'!K175</f>
        <v>652755</v>
      </c>
      <c r="C1333" s="2" t="s">
        <v>593</v>
      </c>
      <c r="D1333" s="2" t="str">
        <f t="shared" si="19"/>
        <v>Error?</v>
      </c>
    </row>
    <row r="1334" spans="1:4" x14ac:dyDescent="0.2">
      <c r="A1334" s="10">
        <v>1273</v>
      </c>
      <c r="D1334" s="2" t="str">
        <f t="shared" si="19"/>
        <v>OK</v>
      </c>
    </row>
    <row r="1335" spans="1:4" x14ac:dyDescent="0.2">
      <c r="A1335" s="5">
        <v>1274</v>
      </c>
      <c r="B1335" s="138">
        <f>'Expenditures 15-22'!C182</f>
        <v>1297375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1348620</v>
      </c>
      <c r="C1339" s="2" t="s">
        <v>593</v>
      </c>
      <c r="D1339" s="2" t="str">
        <f t="shared" si="19"/>
        <v>Error?</v>
      </c>
    </row>
    <row r="1340" spans="1:4" x14ac:dyDescent="0.2">
      <c r="A1340" s="5">
        <v>1279</v>
      </c>
      <c r="B1340" s="138">
        <f>'Expenditures 15-22'!C210</f>
        <v>1348620</v>
      </c>
      <c r="C1340" s="2" t="s">
        <v>593</v>
      </c>
      <c r="D1340" s="2" t="str">
        <f t="shared" si="19"/>
        <v>Error?</v>
      </c>
    </row>
    <row r="1341" spans="1:4" x14ac:dyDescent="0.2">
      <c r="A1341" s="5">
        <v>1280</v>
      </c>
      <c r="B1341" s="138">
        <f>'Expenditures 15-22'!D182</f>
        <v>83621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92776</v>
      </c>
      <c r="C1345" s="2" t="s">
        <v>593</v>
      </c>
      <c r="D1345" s="2" t="str">
        <f t="shared" si="20"/>
        <v>Error?</v>
      </c>
    </row>
    <row r="1346" spans="1:4" x14ac:dyDescent="0.2">
      <c r="A1346" s="5">
        <v>1285</v>
      </c>
      <c r="B1346" s="138">
        <f>'Expenditures 15-22'!D210</f>
        <v>92776</v>
      </c>
      <c r="C1346" s="2" t="s">
        <v>593</v>
      </c>
      <c r="D1346" s="2" t="str">
        <f t="shared" si="20"/>
        <v>Error?</v>
      </c>
    </row>
    <row r="1347" spans="1:4" x14ac:dyDescent="0.2">
      <c r="A1347" s="5">
        <v>1286</v>
      </c>
      <c r="B1347" s="138">
        <f>'Expenditures 15-22'!E182</f>
        <v>645610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645610</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645610</v>
      </c>
      <c r="C1353" s="2" t="s">
        <v>593</v>
      </c>
      <c r="D1353" s="2" t="str">
        <f t="shared" si="20"/>
        <v>Error?</v>
      </c>
    </row>
    <row r="1354" spans="1:4" x14ac:dyDescent="0.2">
      <c r="A1354" s="5">
        <v>1293</v>
      </c>
      <c r="B1354" s="138">
        <f>'Expenditures 15-22'!F182</f>
        <v>278516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278516</v>
      </c>
      <c r="C1358" s="2" t="s">
        <v>593</v>
      </c>
      <c r="D1358" s="2" t="str">
        <f t="shared" si="20"/>
        <v>Error?</v>
      </c>
    </row>
    <row r="1359" spans="1:4" x14ac:dyDescent="0.2">
      <c r="A1359" s="5">
        <v>1298</v>
      </c>
      <c r="B1359" s="138">
        <f>'Expenditures 15-22'!F210</f>
        <v>278516</v>
      </c>
      <c r="C1359" s="2" t="s">
        <v>593</v>
      </c>
      <c r="D1359" s="2" t="str">
        <f t="shared" si="20"/>
        <v>Error?</v>
      </c>
    </row>
    <row r="1360" spans="1:4" x14ac:dyDescent="0.2">
      <c r="A1360" s="5">
        <v>1299</v>
      </c>
      <c r="B1360" s="138">
        <f>'Expenditures 15-22'!G182</f>
        <v>23592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23592</v>
      </c>
      <c r="C1364" s="2" t="s">
        <v>593</v>
      </c>
      <c r="D1364" s="2" t="str">
        <f t="shared" si="20"/>
        <v>Error?</v>
      </c>
    </row>
    <row r="1365" spans="1:4" x14ac:dyDescent="0.2">
      <c r="A1365" s="5">
        <v>1304</v>
      </c>
      <c r="B1365" s="138">
        <f>'Expenditures 15-22'!G210</f>
        <v>23592</v>
      </c>
      <c r="C1365" s="2" t="s">
        <v>593</v>
      </c>
      <c r="D1365" s="2" t="str">
        <f t="shared" si="20"/>
        <v>Error?</v>
      </c>
    </row>
    <row r="1366" spans="1:4" x14ac:dyDescent="0.2">
      <c r="A1366" s="5">
        <v>1305</v>
      </c>
      <c r="B1366" s="138">
        <f>'Expenditures 15-22'!H182</f>
        <v>350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350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350</v>
      </c>
      <c r="C1376" s="2" t="s">
        <v>593</v>
      </c>
      <c r="D1376" s="2" t="str">
        <f t="shared" si="20"/>
        <v>Error?</v>
      </c>
    </row>
    <row r="1377" spans="1:4" x14ac:dyDescent="0.2">
      <c r="A1377" s="5">
        <v>1316</v>
      </c>
      <c r="B1377" s="138">
        <f>'Expenditures 15-22'!K182</f>
        <v>2329064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2389464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2389464</v>
      </c>
      <c r="C1388" s="2" t="s">
        <v>593</v>
      </c>
      <c r="D1388" s="2" t="str">
        <f t="shared" si="20"/>
        <v>Error?</v>
      </c>
    </row>
    <row r="1389" spans="1:4" x14ac:dyDescent="0.2">
      <c r="A1389" s="5">
        <v>1328</v>
      </c>
      <c r="B1389" s="138">
        <f>'Expenditures 15-22'!K211</f>
        <v>595676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21768</v>
      </c>
      <c r="D1407" s="2" t="str">
        <f t="shared" ref="D1407:D1470" si="21">IF(ISBLANK(B1407),"OK",IF(A1407-B1407=0,"OK","Error?"))</f>
        <v>Error?</v>
      </c>
    </row>
    <row r="1408" spans="1:4" x14ac:dyDescent="0.2">
      <c r="A1408" s="5">
        <v>1347</v>
      </c>
      <c r="B1408" s="138">
        <f>'Expenditures 15-22'!D223</f>
        <v>46196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254676</v>
      </c>
      <c r="C1410" s="2" t="s">
        <v>593</v>
      </c>
      <c r="D1410" s="2" t="str">
        <f t="shared" si="21"/>
        <v>Error?</v>
      </c>
    </row>
    <row r="1411" spans="1:4" x14ac:dyDescent="0.2">
      <c r="A1411" s="5">
        <v>1350</v>
      </c>
      <c r="B1411" s="138">
        <f>'Expenditures 15-22'!D232</f>
        <v>2424</v>
      </c>
      <c r="D1411" s="2" t="str">
        <f t="shared" si="21"/>
        <v>Error?</v>
      </c>
    </row>
    <row r="1412" spans="1:4" x14ac:dyDescent="0.2">
      <c r="A1412" s="5">
        <v>1351</v>
      </c>
      <c r="B1412" s="138">
        <f>'Expenditures 15-22'!D233</f>
        <v>34530</v>
      </c>
      <c r="D1412" s="2" t="str">
        <f t="shared" si="21"/>
        <v>Error?</v>
      </c>
    </row>
    <row r="1413" spans="1:4" x14ac:dyDescent="0.2">
      <c r="A1413" s="5">
        <v>1352</v>
      </c>
      <c r="B1413" s="138">
        <f>'Expenditures 15-22'!D234</f>
        <v>12313</v>
      </c>
      <c r="D1413" s="2" t="str">
        <f t="shared" si="21"/>
        <v>Error?</v>
      </c>
    </row>
    <row r="1414" spans="1:4" x14ac:dyDescent="0.2">
      <c r="A1414" s="5">
        <v>1353</v>
      </c>
      <c r="B1414" s="138">
        <f>'Expenditures 15-22'!D235</f>
        <v>1010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17927</v>
      </c>
      <c r="D1416" s="2" t="str">
        <f t="shared" si="21"/>
        <v>Error?</v>
      </c>
    </row>
    <row r="1417" spans="1:4" x14ac:dyDescent="0.2">
      <c r="A1417" s="5">
        <v>1356</v>
      </c>
      <c r="B1417" s="138">
        <f>'Expenditures 15-22'!D238</f>
        <v>68204</v>
      </c>
      <c r="C1417" s="2" t="s">
        <v>593</v>
      </c>
      <c r="D1417" s="2" t="str">
        <f t="shared" si="21"/>
        <v>Error?</v>
      </c>
    </row>
    <row r="1418" spans="1:4" x14ac:dyDescent="0.2">
      <c r="A1418" s="5">
        <v>1357</v>
      </c>
      <c r="B1418" s="138">
        <f>'Expenditures 15-22'!D240</f>
        <v>11472</v>
      </c>
      <c r="D1418" s="2" t="str">
        <f t="shared" si="21"/>
        <v>Error?</v>
      </c>
    </row>
    <row r="1419" spans="1:4" x14ac:dyDescent="0.2">
      <c r="A1419" s="5">
        <v>1358</v>
      </c>
      <c r="B1419" s="138">
        <f>'Expenditures 15-22'!D241</f>
        <v>52548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64020</v>
      </c>
      <c r="C1421" s="2" t="s">
        <v>593</v>
      </c>
      <c r="D1421" s="2" t="str">
        <f t="shared" si="21"/>
        <v>Error?</v>
      </c>
    </row>
    <row r="1422" spans="1:4" x14ac:dyDescent="0.2">
      <c r="A1422" s="5">
        <v>1361</v>
      </c>
      <c r="B1422" s="138">
        <f>'Expenditures 15-22'!D245</f>
        <v>627</v>
      </c>
      <c r="D1422" s="2" t="str">
        <f t="shared" si="21"/>
        <v>Error?</v>
      </c>
    </row>
    <row r="1423" spans="1:4" x14ac:dyDescent="0.2">
      <c r="A1423" s="5">
        <v>1362</v>
      </c>
      <c r="B1423" s="138">
        <f>'Expenditures 15-22'!D246</f>
        <v>14540</v>
      </c>
      <c r="D1423" s="2" t="str">
        <f t="shared" si="21"/>
        <v>Error?</v>
      </c>
    </row>
    <row r="1424" spans="1:4" x14ac:dyDescent="0.2">
      <c r="A1424" s="5">
        <v>1363</v>
      </c>
      <c r="B1424" s="138">
        <f>'Expenditures 15-22'!D257</f>
        <v>52527</v>
      </c>
      <c r="C1424" s="2" t="s">
        <v>593</v>
      </c>
      <c r="D1424" s="2" t="str">
        <f t="shared" si="21"/>
        <v>Error?</v>
      </c>
    </row>
    <row r="1425" spans="1:4" x14ac:dyDescent="0.2">
      <c r="A1425" s="5">
        <v>1364</v>
      </c>
      <c r="B1425" s="138">
        <f>'Expenditures 15-22'!D259</f>
        <v>23916</v>
      </c>
      <c r="D1425" s="2" t="str">
        <f t="shared" si="21"/>
        <v>Error?</v>
      </c>
    </row>
    <row r="1426" spans="1:4" x14ac:dyDescent="0.2">
      <c r="A1426" s="5">
        <v>1365</v>
      </c>
      <c r="B1426" s="138">
        <f>'Expenditures 15-22'!D260</f>
        <v>10859</v>
      </c>
      <c r="D1426" s="2" t="str">
        <f t="shared" si="21"/>
        <v>Error?</v>
      </c>
    </row>
    <row r="1427" spans="1:4" x14ac:dyDescent="0.2">
      <c r="A1427" s="5">
        <v>1366</v>
      </c>
      <c r="B1427" s="138">
        <f>'Expenditures 15-22'!D261</f>
        <v>34775</v>
      </c>
      <c r="C1427" s="2" t="s">
        <v>593</v>
      </c>
      <c r="D1427" s="2" t="str">
        <f t="shared" si="21"/>
        <v>Error?</v>
      </c>
    </row>
    <row r="1428" spans="1:4" x14ac:dyDescent="0.2">
      <c r="A1428" s="5">
        <v>1367</v>
      </c>
      <c r="B1428" s="138">
        <f>'Expenditures 15-22'!D263</f>
        <v>14780</v>
      </c>
      <c r="D1428" s="2" t="str">
        <f t="shared" si="21"/>
        <v>Error?</v>
      </c>
    </row>
    <row r="1429" spans="1:4" x14ac:dyDescent="0.2">
      <c r="A1429" s="5">
        <v>1368</v>
      </c>
      <c r="B1429" s="138">
        <f>'Expenditures 15-22'!D264</f>
        <v>22964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123012</v>
      </c>
      <c r="D1431" s="2" t="str">
        <f t="shared" si="21"/>
        <v>Error?</v>
      </c>
    </row>
    <row r="1432" spans="1:4" x14ac:dyDescent="0.2">
      <c r="A1432" s="5">
        <v>1371</v>
      </c>
      <c r="B1432" s="138">
        <f>'Expenditures 15-22'!D267</f>
        <v>231436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392192</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17224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17224</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628942</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883618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21768</v>
      </c>
      <c r="C1471" s="2" t="s">
        <v>593</v>
      </c>
      <c r="D1471" s="2" t="str">
        <f t="shared" ref="D1471:D1534" si="22">IF(ISBLANK(B1471),"OK",IF(A1471-B1471=0,"OK","Error?"))</f>
        <v>Error?</v>
      </c>
    </row>
    <row r="1472" spans="1:4" x14ac:dyDescent="0.2">
      <c r="A1472" s="5">
        <v>1411</v>
      </c>
      <c r="B1472" s="138">
        <f>'Expenditures 15-22'!K223</f>
        <v>46196</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254676</v>
      </c>
      <c r="C1474" s="2" t="s">
        <v>593</v>
      </c>
      <c r="D1474" s="2" t="str">
        <f t="shared" si="22"/>
        <v>Error?</v>
      </c>
    </row>
    <row r="1475" spans="1:4" x14ac:dyDescent="0.2">
      <c r="A1475" s="5">
        <v>1414</v>
      </c>
      <c r="B1475" s="138">
        <f>'Expenditures 15-22'!K232</f>
        <v>2424</v>
      </c>
      <c r="C1475" s="2" t="s">
        <v>593</v>
      </c>
      <c r="D1475" s="2" t="str">
        <f t="shared" si="22"/>
        <v>Error?</v>
      </c>
    </row>
    <row r="1476" spans="1:4" x14ac:dyDescent="0.2">
      <c r="A1476" s="5">
        <v>1415</v>
      </c>
      <c r="B1476" s="138">
        <f>'Expenditures 15-22'!K233</f>
        <v>34530</v>
      </c>
      <c r="C1476" s="2" t="s">
        <v>593</v>
      </c>
      <c r="D1476" s="2" t="str">
        <f t="shared" si="22"/>
        <v>Error?</v>
      </c>
    </row>
    <row r="1477" spans="1:4" x14ac:dyDescent="0.2">
      <c r="A1477" s="5">
        <v>1416</v>
      </c>
      <c r="B1477" s="138">
        <f>'Expenditures 15-22'!K234</f>
        <v>12313</v>
      </c>
      <c r="C1477" s="2" t="s">
        <v>593</v>
      </c>
      <c r="D1477" s="2" t="str">
        <f t="shared" si="22"/>
        <v>Error?</v>
      </c>
    </row>
    <row r="1478" spans="1:4" x14ac:dyDescent="0.2">
      <c r="A1478" s="5">
        <v>1417</v>
      </c>
      <c r="B1478" s="138">
        <f>'Expenditures 15-22'!K235</f>
        <v>1010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17927</v>
      </c>
      <c r="C1480" s="2" t="s">
        <v>593</v>
      </c>
      <c r="D1480" s="2" t="str">
        <f t="shared" si="22"/>
        <v>Error?</v>
      </c>
    </row>
    <row r="1481" spans="1:4" x14ac:dyDescent="0.2">
      <c r="A1481" s="5">
        <v>1420</v>
      </c>
      <c r="B1481" s="138">
        <f>'Expenditures 15-22'!K238</f>
        <v>68204</v>
      </c>
      <c r="C1481" s="2" t="s">
        <v>593</v>
      </c>
      <c r="D1481" s="2" t="str">
        <f t="shared" si="22"/>
        <v>Error?</v>
      </c>
    </row>
    <row r="1482" spans="1:4" x14ac:dyDescent="0.2">
      <c r="A1482" s="5">
        <v>1421</v>
      </c>
      <c r="B1482" s="138">
        <f>'Expenditures 15-22'!K240</f>
        <v>11472</v>
      </c>
      <c r="C1482" s="2" t="s">
        <v>593</v>
      </c>
      <c r="D1482" s="2" t="str">
        <f t="shared" si="22"/>
        <v>Error?</v>
      </c>
    </row>
    <row r="1483" spans="1:4" x14ac:dyDescent="0.2">
      <c r="A1483" s="5">
        <v>1422</v>
      </c>
      <c r="B1483" s="138">
        <f>'Expenditures 15-22'!K241</f>
        <v>52548</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64020</v>
      </c>
      <c r="C1485" s="2" t="s">
        <v>593</v>
      </c>
      <c r="D1485" s="2" t="str">
        <f t="shared" si="22"/>
        <v>Error?</v>
      </c>
    </row>
    <row r="1486" spans="1:4" x14ac:dyDescent="0.2">
      <c r="A1486" s="5">
        <v>1425</v>
      </c>
      <c r="B1486" s="138">
        <f>'Expenditures 15-22'!K245</f>
        <v>627</v>
      </c>
      <c r="C1486" s="2" t="s">
        <v>593</v>
      </c>
      <c r="D1486" s="2" t="str">
        <f t="shared" si="22"/>
        <v>Error?</v>
      </c>
    </row>
    <row r="1487" spans="1:4" x14ac:dyDescent="0.2">
      <c r="A1487" s="5">
        <v>1426</v>
      </c>
      <c r="B1487" s="138">
        <f>'Expenditures 15-22'!K246</f>
        <v>14540</v>
      </c>
      <c r="C1487" s="2" t="s">
        <v>593</v>
      </c>
      <c r="D1487" s="2" t="str">
        <f t="shared" si="22"/>
        <v>Error?</v>
      </c>
    </row>
    <row r="1488" spans="1:4" x14ac:dyDescent="0.2">
      <c r="A1488" s="5">
        <v>1427</v>
      </c>
      <c r="B1488" s="138">
        <f>'Expenditures 15-22'!K257</f>
        <v>52527</v>
      </c>
      <c r="C1488" s="2" t="s">
        <v>593</v>
      </c>
      <c r="D1488" s="2" t="str">
        <f t="shared" si="22"/>
        <v>Error?</v>
      </c>
    </row>
    <row r="1489" spans="1:4" x14ac:dyDescent="0.2">
      <c r="A1489" s="5">
        <v>1428</v>
      </c>
      <c r="B1489" s="138">
        <f>'Expenditures 15-22'!K259</f>
        <v>23916</v>
      </c>
      <c r="C1489" s="2" t="s">
        <v>593</v>
      </c>
      <c r="D1489" s="2" t="str">
        <f t="shared" si="22"/>
        <v>Error?</v>
      </c>
    </row>
    <row r="1490" spans="1:4" x14ac:dyDescent="0.2">
      <c r="A1490" s="5">
        <v>1429</v>
      </c>
      <c r="B1490" s="138">
        <f>'Expenditures 15-22'!K260</f>
        <v>10859</v>
      </c>
      <c r="C1490" s="2" t="s">
        <v>593</v>
      </c>
      <c r="D1490" s="2" t="str">
        <f t="shared" si="22"/>
        <v>Error?</v>
      </c>
    </row>
    <row r="1491" spans="1:4" x14ac:dyDescent="0.2">
      <c r="A1491" s="5">
        <v>1430</v>
      </c>
      <c r="B1491" s="138">
        <f>'Expenditures 15-22'!K261</f>
        <v>34775</v>
      </c>
      <c r="C1491" s="2" t="s">
        <v>593</v>
      </c>
      <c r="D1491" s="2" t="str">
        <f t="shared" si="22"/>
        <v>Error?</v>
      </c>
    </row>
    <row r="1492" spans="1:4" x14ac:dyDescent="0.2">
      <c r="A1492" s="5">
        <v>1431</v>
      </c>
      <c r="B1492" s="138">
        <f>'Expenditures 15-22'!K263</f>
        <v>14780</v>
      </c>
      <c r="C1492" s="2" t="s">
        <v>593</v>
      </c>
      <c r="D1492" s="2" t="str">
        <f t="shared" si="22"/>
        <v>Error?</v>
      </c>
    </row>
    <row r="1493" spans="1:4" x14ac:dyDescent="0.2">
      <c r="A1493" s="5">
        <v>1432</v>
      </c>
      <c r="B1493" s="138">
        <f>'Expenditures 15-22'!K264</f>
        <v>22964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123012</v>
      </c>
      <c r="C1495" s="2" t="s">
        <v>593</v>
      </c>
      <c r="D1495" s="2" t="str">
        <f t="shared" si="22"/>
        <v>Error?</v>
      </c>
    </row>
    <row r="1496" spans="1:4" x14ac:dyDescent="0.2">
      <c r="A1496" s="5">
        <v>1435</v>
      </c>
      <c r="B1496" s="138">
        <f>'Expenditures 15-22'!K267</f>
        <v>231436</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392192</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17224</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17224</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628942</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883618</v>
      </c>
      <c r="C1517" s="2" t="s">
        <v>593</v>
      </c>
      <c r="D1517" s="2" t="str">
        <f t="shared" si="22"/>
        <v>Error?</v>
      </c>
    </row>
    <row r="1518" spans="1:4" x14ac:dyDescent="0.2">
      <c r="A1518" s="5">
        <v>1457</v>
      </c>
      <c r="B1518" s="138">
        <f>'Expenditures 15-22'!K296</f>
        <v>120286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329258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329258</v>
      </c>
      <c r="C1535" s="2" t="s">
        <v>593</v>
      </c>
      <c r="D1535" s="2" t="str">
        <f t="shared" ref="D1535:D1598" si="23">IF(ISBLANK(B1535),"OK",IF(A1535-B1535=0,"OK","Error?"))</f>
        <v>Error?</v>
      </c>
    </row>
    <row r="1536" spans="1:4" x14ac:dyDescent="0.2">
      <c r="A1536" s="5">
        <v>1475</v>
      </c>
      <c r="B1536" s="138">
        <f>'Expenditures 15-22'!E312</f>
        <v>329258</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329258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329258</v>
      </c>
      <c r="C1559" s="2" t="s">
        <v>593</v>
      </c>
      <c r="D1559" s="2" t="str">
        <f t="shared" si="23"/>
        <v>Error?</v>
      </c>
    </row>
    <row r="1560" spans="1:4" x14ac:dyDescent="0.2">
      <c r="A1560" s="5">
        <v>1499</v>
      </c>
      <c r="B1560" s="138">
        <f>'Expenditures 15-22'!K312</f>
        <v>329258</v>
      </c>
      <c r="C1560" s="2" t="s">
        <v>593</v>
      </c>
      <c r="D1560" s="2" t="str">
        <f t="shared" si="23"/>
        <v>Error?</v>
      </c>
    </row>
    <row r="1561" spans="1:4" x14ac:dyDescent="0.2">
      <c r="A1561" s="5">
        <v>1500</v>
      </c>
      <c r="B1561" s="138">
        <f>'Expenditures 15-22'!K313</f>
        <v>-106032</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8159525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8736621</v>
      </c>
      <c r="C1630" s="2" t="s">
        <v>593</v>
      </c>
      <c r="D1630" s="2" t="str">
        <f t="shared" si="24"/>
        <v>Error?</v>
      </c>
    </row>
    <row r="1631" spans="1:4" x14ac:dyDescent="0.2">
      <c r="A1631" s="5">
        <v>1570</v>
      </c>
      <c r="B1631" s="138">
        <f>'Acct Summary 7-8'!D79</f>
        <v>3088488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3313373</v>
      </c>
      <c r="C1644" s="2" t="s">
        <v>593</v>
      </c>
      <c r="D1644" s="2" t="str">
        <f t="shared" si="24"/>
        <v>Error?</v>
      </c>
    </row>
    <row r="1645" spans="1:4" x14ac:dyDescent="0.2">
      <c r="A1645" s="5">
        <v>1584</v>
      </c>
      <c r="B1645" s="138">
        <f>'Acct Summary 7-8'!E79</f>
        <v>4139235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4896212</v>
      </c>
      <c r="C1658" s="2" t="s">
        <v>593</v>
      </c>
      <c r="D1658" s="2" t="str">
        <f t="shared" si="24"/>
        <v>Error?</v>
      </c>
    </row>
    <row r="1659" spans="1:4" x14ac:dyDescent="0.2">
      <c r="A1659" s="5">
        <v>1598</v>
      </c>
      <c r="B1659" s="138">
        <f>'Acct Summary 7-8'!F79</f>
        <v>1877690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2473366</v>
      </c>
      <c r="C1672" s="2" t="s">
        <v>593</v>
      </c>
      <c r="D1672" s="2" t="str">
        <f t="shared" si="25"/>
        <v>Error?</v>
      </c>
    </row>
    <row r="1673" spans="1:4" x14ac:dyDescent="0.2">
      <c r="A1673" s="5">
        <v>1612</v>
      </c>
      <c r="B1673" s="138">
        <f>'Acct Summary 7-8'!G79</f>
        <v>241031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361317</v>
      </c>
      <c r="C1686" s="2" t="s">
        <v>593</v>
      </c>
      <c r="D1686" s="2" t="str">
        <f t="shared" si="25"/>
        <v>Error?</v>
      </c>
    </row>
    <row r="1687" spans="1:4" x14ac:dyDescent="0.2">
      <c r="A1687" s="5">
        <v>1626</v>
      </c>
      <c r="B1687" s="138">
        <f>'Acct Summary 7-8'!H79</f>
        <v>1504224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1398192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15782302</v>
      </c>
      <c r="C1744" s="2" t="s">
        <v>593</v>
      </c>
      <c r="D1744" s="2" t="str">
        <f t="shared" si="26"/>
        <v>Error?</v>
      </c>
    </row>
    <row r="1745" spans="1:5" x14ac:dyDescent="0.2">
      <c r="A1745" s="5">
        <v>1684</v>
      </c>
      <c r="B1745" s="138">
        <f>'Tax Sched 23'!B5</f>
        <v>3234232</v>
      </c>
      <c r="C1745" s="2" t="s">
        <v>593</v>
      </c>
      <c r="D1745" s="2" t="str">
        <f t="shared" si="26"/>
        <v>Error?</v>
      </c>
    </row>
    <row r="1746" spans="1:5" x14ac:dyDescent="0.2">
      <c r="A1746" s="5">
        <v>1685</v>
      </c>
      <c r="B1746" s="138">
        <f>'Tax Sched 23'!B6</f>
        <v>9179947</v>
      </c>
      <c r="C1746" s="2" t="s">
        <v>593</v>
      </c>
      <c r="D1746" s="2" t="str">
        <f t="shared" si="26"/>
        <v>Error?</v>
      </c>
    </row>
    <row r="1747" spans="1:5" x14ac:dyDescent="0.2">
      <c r="A1747" s="5">
        <v>1686</v>
      </c>
      <c r="B1747" s="138">
        <f>'Tax Sched 23'!B7</f>
        <v>1552751</v>
      </c>
      <c r="C1747" s="2" t="s">
        <v>593</v>
      </c>
      <c r="D1747" s="2" t="str">
        <f t="shared" si="26"/>
        <v>Error?</v>
      </c>
    </row>
    <row r="1748" spans="1:5" x14ac:dyDescent="0.2">
      <c r="A1748" s="5">
        <v>1687</v>
      </c>
      <c r="B1748" s="138">
        <f>'Tax Sched 23'!B8</f>
        <v>386722</v>
      </c>
      <c r="C1748" s="2" t="s">
        <v>593</v>
      </c>
      <c r="D1748" s="2" t="str">
        <f t="shared" si="26"/>
        <v>Error?</v>
      </c>
    </row>
    <row r="1749" spans="1:5" x14ac:dyDescent="0.2">
      <c r="A1749" s="5">
        <v>1688</v>
      </c>
      <c r="B1749" s="138">
        <f>'Tax Sched 23'!B10</f>
        <v>647202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1235839</v>
      </c>
      <c r="C1752" s="2" t="s">
        <v>593</v>
      </c>
      <c r="D1752" s="2" t="str">
        <f t="shared" si="26"/>
        <v>Error?</v>
      </c>
    </row>
    <row r="1753" spans="1:5" x14ac:dyDescent="0.2">
      <c r="A1753" s="5">
        <v>1692</v>
      </c>
      <c r="B1753" s="138">
        <f>'Tax Sched 23'!B12</f>
        <v>647202</v>
      </c>
      <c r="C1753" s="2" t="s">
        <v>593</v>
      </c>
      <c r="D1753" s="2" t="str">
        <f t="shared" si="26"/>
        <v>Error?</v>
      </c>
    </row>
    <row r="1754" spans="1:5" x14ac:dyDescent="0.2">
      <c r="A1754" s="5">
        <v>1693</v>
      </c>
      <c r="B1754" s="138">
        <f>'Tax Sched 23'!B14</f>
        <v>258790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34061340</v>
      </c>
      <c r="C1759" s="2" t="s">
        <v>593</v>
      </c>
      <c r="D1759" s="2" t="str">
        <f t="shared" si="26"/>
        <v>Error?</v>
      </c>
    </row>
    <row r="1760" spans="1:5" x14ac:dyDescent="0.2">
      <c r="A1760" s="5">
        <v>1699</v>
      </c>
      <c r="B1760" s="138">
        <f>'Tax Sched 23'!D4</f>
        <v>10392950</v>
      </c>
      <c r="C1760" s="2" t="s">
        <v>593</v>
      </c>
      <c r="D1760" s="2" t="str">
        <f t="shared" si="26"/>
        <v>Error?</v>
      </c>
    </row>
    <row r="1761" spans="1:5" x14ac:dyDescent="0.2">
      <c r="A1761" s="5">
        <v>1700</v>
      </c>
      <c r="B1761" s="138">
        <f>'Tax Sched 23'!D5</f>
        <v>2129704</v>
      </c>
      <c r="C1761" s="2" t="s">
        <v>593</v>
      </c>
      <c r="D1761" s="2" t="str">
        <f t="shared" si="26"/>
        <v>Error?</v>
      </c>
    </row>
    <row r="1762" spans="1:5" s="8" customFormat="1" x14ac:dyDescent="0.2">
      <c r="A1762" s="5">
        <v>1701</v>
      </c>
      <c r="B1762" s="138">
        <f>'Tax Sched 23'!D6</f>
        <v>6171151</v>
      </c>
      <c r="C1762" s="2" t="s">
        <v>593</v>
      </c>
      <c r="D1762" s="2" t="str">
        <f t="shared" si="26"/>
        <v>Error?</v>
      </c>
      <c r="E1762" s="9"/>
    </row>
    <row r="1763" spans="1:5" x14ac:dyDescent="0.2">
      <c r="A1763" s="5">
        <v>1702</v>
      </c>
      <c r="B1763" s="138">
        <f>'Tax Sched 23'!D7</f>
        <v>1022257</v>
      </c>
      <c r="C1763" s="2" t="s">
        <v>593</v>
      </c>
      <c r="D1763" s="2" t="str">
        <f t="shared" si="26"/>
        <v>Error?</v>
      </c>
    </row>
    <row r="1764" spans="1:5" x14ac:dyDescent="0.2">
      <c r="A1764" s="5">
        <v>1703</v>
      </c>
      <c r="B1764" s="138">
        <f>'Tax Sched 23'!D8</f>
        <v>259208</v>
      </c>
      <c r="C1764" s="2" t="s">
        <v>593</v>
      </c>
      <c r="D1764" s="2" t="str">
        <f t="shared" si="26"/>
        <v>Error?</v>
      </c>
    </row>
    <row r="1765" spans="1:5" x14ac:dyDescent="0.2">
      <c r="A1765" s="5">
        <v>1704</v>
      </c>
      <c r="B1765" s="138">
        <f>'Tax Sched 23'!D10</f>
        <v>425941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829305</v>
      </c>
      <c r="C1768" s="2" t="s">
        <v>593</v>
      </c>
      <c r="D1768" s="2" t="str">
        <f t="shared" si="26"/>
        <v>Error?</v>
      </c>
    </row>
    <row r="1769" spans="1:5" x14ac:dyDescent="0.2">
      <c r="A1769" s="5">
        <v>1708</v>
      </c>
      <c r="B1769" s="138">
        <f>'Tax Sched 23'!D12</f>
        <v>425941</v>
      </c>
      <c r="C1769" s="2" t="s">
        <v>593</v>
      </c>
      <c r="D1769" s="2" t="str">
        <f t="shared" si="26"/>
        <v>Error?</v>
      </c>
    </row>
    <row r="1770" spans="1:5" x14ac:dyDescent="0.2">
      <c r="A1770" s="5">
        <v>1709</v>
      </c>
      <c r="B1770" s="138">
        <f>'Tax Sched 23'!D14</f>
        <v>170374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22581087</v>
      </c>
      <c r="C1775" s="2" t="s">
        <v>593</v>
      </c>
      <c r="D1775" s="2" t="str">
        <f t="shared" si="26"/>
        <v>Error?</v>
      </c>
    </row>
    <row r="1776" spans="1:5" x14ac:dyDescent="0.2">
      <c r="A1776" s="5">
        <v>1715</v>
      </c>
      <c r="B1776" s="138">
        <f>'Tax Sched 23'!C4</f>
        <v>5389352</v>
      </c>
      <c r="D1776" s="2" t="str">
        <f t="shared" si="26"/>
        <v>Error?</v>
      </c>
    </row>
    <row r="1777" spans="1:4" x14ac:dyDescent="0.2">
      <c r="A1777" s="5">
        <v>1716</v>
      </c>
      <c r="B1777" s="138">
        <f>'Tax Sched 23'!C5</f>
        <v>1104528</v>
      </c>
      <c r="D1777" s="2" t="str">
        <f t="shared" si="26"/>
        <v>Error?</v>
      </c>
    </row>
    <row r="1778" spans="1:4" x14ac:dyDescent="0.2">
      <c r="A1778" s="5">
        <v>1717</v>
      </c>
      <c r="B1778" s="138">
        <f>'Tax Sched 23'!C6</f>
        <v>3008796</v>
      </c>
      <c r="D1778" s="2" t="str">
        <f t="shared" si="26"/>
        <v>Error?</v>
      </c>
    </row>
    <row r="1779" spans="1:4" x14ac:dyDescent="0.2">
      <c r="A1779" s="5">
        <v>1718</v>
      </c>
      <c r="B1779" s="138">
        <f>'Tax Sched 23'!C7</f>
        <v>530494</v>
      </c>
      <c r="D1779" s="2" t="str">
        <f t="shared" si="26"/>
        <v>Error?</v>
      </c>
    </row>
    <row r="1780" spans="1:4" x14ac:dyDescent="0.2">
      <c r="A1780" s="5">
        <v>1719</v>
      </c>
      <c r="B1780" s="138">
        <f>'Tax Sched 23'!C8</f>
        <v>127514</v>
      </c>
      <c r="D1780" s="2" t="str">
        <f t="shared" si="26"/>
        <v>Error?</v>
      </c>
    </row>
    <row r="1781" spans="1:4" x14ac:dyDescent="0.2">
      <c r="A1781" s="5">
        <v>1720</v>
      </c>
      <c r="B1781" s="138">
        <f>'Tax Sched 23'!C10</f>
        <v>221261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406534</v>
      </c>
      <c r="D1784" s="2" t="str">
        <f t="shared" si="26"/>
        <v>Error?</v>
      </c>
    </row>
    <row r="1785" spans="1:4" x14ac:dyDescent="0.2">
      <c r="A1785" s="5">
        <v>1724</v>
      </c>
      <c r="B1785" s="138">
        <f>'Tax Sched 23'!C12</f>
        <v>221261</v>
      </c>
      <c r="D1785" s="2" t="str">
        <f t="shared" si="26"/>
        <v>Error?</v>
      </c>
    </row>
    <row r="1786" spans="1:4" x14ac:dyDescent="0.2">
      <c r="A1786" s="5">
        <v>1725</v>
      </c>
      <c r="B1786" s="138">
        <f>'Tax Sched 23'!C14</f>
        <v>88416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11480253</v>
      </c>
      <c r="C1791" s="2" t="s">
        <v>593</v>
      </c>
      <c r="D1791" s="2" t="str">
        <f t="shared" ref="D1791:D1854" si="27">IF(ISBLANK(B1791),"OK",IF(A1791-B1791=0,"OK","Error?"))</f>
        <v>Error?</v>
      </c>
    </row>
    <row r="1792" spans="1:4" x14ac:dyDescent="0.2">
      <c r="A1792" s="5">
        <v>1731</v>
      </c>
      <c r="B1792" s="138">
        <f>'Tax Sched 23'!F4</f>
        <v>10432318</v>
      </c>
      <c r="C1792" s="2" t="s">
        <v>593</v>
      </c>
      <c r="D1792" s="2" t="str">
        <f t="shared" si="27"/>
        <v>Error?</v>
      </c>
    </row>
    <row r="1793" spans="1:4" x14ac:dyDescent="0.2">
      <c r="A1793" s="5">
        <v>1732</v>
      </c>
      <c r="B1793" s="138">
        <f>'Tax Sched 23'!F5</f>
        <v>2137856</v>
      </c>
      <c r="C1793" s="2" t="s">
        <v>593</v>
      </c>
      <c r="D1793" s="2" t="str">
        <f t="shared" si="27"/>
        <v>Error?</v>
      </c>
    </row>
    <row r="1794" spans="1:4" x14ac:dyDescent="0.2">
      <c r="A1794" s="5">
        <v>1733</v>
      </c>
      <c r="B1794" s="138">
        <f>'Tax Sched 23'!F6</f>
        <v>5859592</v>
      </c>
      <c r="C1794" s="2" t="s">
        <v>593</v>
      </c>
      <c r="D1794" s="2" t="str">
        <f t="shared" si="27"/>
        <v>Error?</v>
      </c>
    </row>
    <row r="1795" spans="1:4" x14ac:dyDescent="0.2">
      <c r="A1795" s="5">
        <v>1734</v>
      </c>
      <c r="B1795" s="138">
        <f>'Tax Sched 23'!F7</f>
        <v>1026351</v>
      </c>
      <c r="C1795" s="2" t="s">
        <v>593</v>
      </c>
      <c r="D1795" s="2" t="str">
        <f t="shared" si="27"/>
        <v>Error?</v>
      </c>
    </row>
    <row r="1796" spans="1:4" x14ac:dyDescent="0.2">
      <c r="A1796" s="5">
        <v>1735</v>
      </c>
      <c r="B1796" s="138">
        <f>'Tax Sched 23'!F8</f>
        <v>247454</v>
      </c>
      <c r="C1796" s="2" t="s">
        <v>593</v>
      </c>
      <c r="D1796" s="2" t="str">
        <f t="shared" si="27"/>
        <v>Error?</v>
      </c>
    </row>
    <row r="1797" spans="1:4" x14ac:dyDescent="0.2">
      <c r="A1797" s="5">
        <v>1736</v>
      </c>
      <c r="B1797" s="138">
        <f>'Tax Sched 23'!F10</f>
        <v>427772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790954</v>
      </c>
      <c r="C1800" s="2" t="s">
        <v>593</v>
      </c>
      <c r="D1800" s="2" t="str">
        <f t="shared" si="27"/>
        <v>Error?</v>
      </c>
    </row>
    <row r="1801" spans="1:4" x14ac:dyDescent="0.2">
      <c r="A1801" s="5">
        <v>1740</v>
      </c>
      <c r="B1801" s="138">
        <f>'Tax Sched 23'!F12</f>
        <v>427772</v>
      </c>
      <c r="C1801" s="2" t="s">
        <v>593</v>
      </c>
      <c r="D1801" s="2" t="str">
        <f t="shared" si="27"/>
        <v>Error?</v>
      </c>
    </row>
    <row r="1802" spans="1:4" x14ac:dyDescent="0.2">
      <c r="A1802" s="5">
        <v>1741</v>
      </c>
      <c r="B1802" s="138">
        <f>'Tax Sched 23'!F14</f>
        <v>171059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22261981</v>
      </c>
      <c r="C1807" s="2" t="s">
        <v>593</v>
      </c>
      <c r="D1807" s="2" t="str">
        <f t="shared" si="27"/>
        <v>Error?</v>
      </c>
    </row>
    <row r="1808" spans="1:4" x14ac:dyDescent="0.2">
      <c r="A1808" s="5">
        <v>1747</v>
      </c>
      <c r="B1808" s="138">
        <f>'Tax Sched 23'!E4</f>
        <v>15821670</v>
      </c>
      <c r="D1808" s="2" t="str">
        <f t="shared" si="27"/>
        <v>Error?</v>
      </c>
    </row>
    <row r="1809" spans="1:4" x14ac:dyDescent="0.2">
      <c r="A1809" s="5">
        <v>1748</v>
      </c>
      <c r="B1809" s="138">
        <f>'Tax Sched 23'!E5</f>
        <v>3242384</v>
      </c>
      <c r="D1809" s="2" t="str">
        <f t="shared" si="27"/>
        <v>Error?</v>
      </c>
    </row>
    <row r="1810" spans="1:4" x14ac:dyDescent="0.2">
      <c r="A1810" s="5">
        <v>1749</v>
      </c>
      <c r="B1810" s="138">
        <f>'Tax Sched 23'!E6</f>
        <v>8868388</v>
      </c>
      <c r="D1810" s="2" t="str">
        <f t="shared" si="27"/>
        <v>Error?</v>
      </c>
    </row>
    <row r="1811" spans="1:4" x14ac:dyDescent="0.2">
      <c r="A1811" s="5">
        <v>1750</v>
      </c>
      <c r="B1811" s="138">
        <f>'Tax Sched 23'!E7</f>
        <v>1556845</v>
      </c>
      <c r="D1811" s="2" t="str">
        <f t="shared" si="27"/>
        <v>Error?</v>
      </c>
    </row>
    <row r="1812" spans="1:4" x14ac:dyDescent="0.2">
      <c r="A1812" s="5">
        <v>1751</v>
      </c>
      <c r="B1812" s="138">
        <f>'Tax Sched 23'!E8</f>
        <v>374968</v>
      </c>
      <c r="D1812" s="2" t="str">
        <f t="shared" si="27"/>
        <v>Error?</v>
      </c>
    </row>
    <row r="1813" spans="1:4" x14ac:dyDescent="0.2">
      <c r="A1813" s="5">
        <v>1752</v>
      </c>
      <c r="B1813" s="138">
        <f>'Tax Sched 23'!E10</f>
        <v>649033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1197488</v>
      </c>
      <c r="D1816" s="2" t="str">
        <f t="shared" si="27"/>
        <v>Error?</v>
      </c>
    </row>
    <row r="1817" spans="1:4" x14ac:dyDescent="0.2">
      <c r="A1817" s="5">
        <v>1756</v>
      </c>
      <c r="B1817" s="138">
        <f>'Tax Sched 23'!E12</f>
        <v>649033</v>
      </c>
      <c r="D1817" s="2" t="str">
        <f t="shared" si="27"/>
        <v>Error?</v>
      </c>
    </row>
    <row r="1818" spans="1:4" x14ac:dyDescent="0.2">
      <c r="A1818" s="5">
        <v>1757</v>
      </c>
      <c r="B1818" s="138">
        <f>'Tax Sched 23'!E14</f>
        <v>259475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33742234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58720000</v>
      </c>
      <c r="C1939" s="2" t="s">
        <v>593</v>
      </c>
      <c r="D1939" s="2" t="str">
        <f t="shared" si="29"/>
        <v>Error?</v>
      </c>
    </row>
    <row r="1940" spans="1:5" x14ac:dyDescent="0.2">
      <c r="A1940" s="5">
        <v>1879</v>
      </c>
      <c r="B1940" s="138">
        <f>'Short-Term Long-Term Debt 24'!F49</f>
        <v>7050000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258790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258790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258790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92486597</v>
      </c>
      <c r="D2009" s="2" t="str">
        <f t="shared" si="30"/>
        <v>Error?</v>
      </c>
    </row>
    <row r="2010" spans="1:4" x14ac:dyDescent="0.2">
      <c r="A2010" s="5">
        <v>1949</v>
      </c>
      <c r="B2010" s="138">
        <f>'Cap Outlay Deprec 26'!C10</f>
        <v>3879114</v>
      </c>
      <c r="D2010" s="2" t="str">
        <f t="shared" si="30"/>
        <v>Error?</v>
      </c>
    </row>
    <row r="2011" spans="1:4" x14ac:dyDescent="0.2">
      <c r="A2011" s="5">
        <v>1950</v>
      </c>
      <c r="B2011" s="138">
        <f>'Cap Outlay Deprec 26'!C12</f>
        <v>3035720</v>
      </c>
      <c r="D2011" s="2" t="str">
        <f t="shared" si="30"/>
        <v>Error?</v>
      </c>
    </row>
    <row r="2012" spans="1:4" x14ac:dyDescent="0.2">
      <c r="A2012" s="5">
        <v>1951</v>
      </c>
      <c r="B2012" s="138">
        <f>'Cap Outlay Deprec 26'!C13</f>
        <v>10210062</v>
      </c>
      <c r="D2012" s="2" t="str">
        <f t="shared" si="30"/>
        <v>Error?</v>
      </c>
    </row>
    <row r="2013" spans="1:4" x14ac:dyDescent="0.2">
      <c r="A2013" s="5">
        <v>1952</v>
      </c>
      <c r="B2013" s="138">
        <f>'Cap Outlay Deprec 26'!C16</f>
        <v>115467285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69942</v>
      </c>
      <c r="D2018" s="2" t="str">
        <f t="shared" si="30"/>
        <v>Error?</v>
      </c>
    </row>
    <row r="2019" spans="1:4" x14ac:dyDescent="0.2">
      <c r="A2019" s="5">
        <v>1958</v>
      </c>
      <c r="B2019" s="138">
        <f>'Cap Outlay Deprec 26'!D16</f>
        <v>69942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0</v>
      </c>
      <c r="C2026" s="2" t="s">
        <v>593</v>
      </c>
      <c r="D2026" s="2" t="str">
        <f t="shared" si="30"/>
        <v>Error?</v>
      </c>
    </row>
    <row r="2027" spans="1:4" x14ac:dyDescent="0.2">
      <c r="A2027" s="5">
        <v>1966</v>
      </c>
      <c r="B2027" s="138">
        <f>'Cap Outlay Deprec 26'!F8</f>
        <v>92486597</v>
      </c>
      <c r="C2027" s="2" t="s">
        <v>593</v>
      </c>
      <c r="D2027" s="2" t="str">
        <f t="shared" si="30"/>
        <v>Error?</v>
      </c>
    </row>
    <row r="2028" spans="1:4" x14ac:dyDescent="0.2">
      <c r="A2028" s="5">
        <v>1967</v>
      </c>
      <c r="B2028" s="138">
        <f>'Cap Outlay Deprec 26'!F10</f>
        <v>3879114</v>
      </c>
      <c r="C2028" s="2" t="s">
        <v>593</v>
      </c>
      <c r="D2028" s="2" t="str">
        <f t="shared" si="30"/>
        <v>Error?</v>
      </c>
    </row>
    <row r="2029" spans="1:4" x14ac:dyDescent="0.2">
      <c r="A2029" s="5">
        <v>1968</v>
      </c>
      <c r="B2029" s="138">
        <f>'Cap Outlay Deprec 26'!F12</f>
        <v>3035720</v>
      </c>
      <c r="C2029" s="2" t="s">
        <v>593</v>
      </c>
      <c r="D2029" s="2" t="str">
        <f t="shared" si="30"/>
        <v>Error?</v>
      </c>
    </row>
    <row r="2030" spans="1:4" x14ac:dyDescent="0.2">
      <c r="A2030" s="5">
        <v>1969</v>
      </c>
      <c r="B2030" s="138">
        <f>'Cap Outlay Deprec 26'!F13</f>
        <v>10280004</v>
      </c>
      <c r="C2030" s="2" t="s">
        <v>593</v>
      </c>
      <c r="D2030" s="2" t="str">
        <f t="shared" si="30"/>
        <v>Error?</v>
      </c>
    </row>
    <row r="2031" spans="1:4" x14ac:dyDescent="0.2">
      <c r="A2031" s="5">
        <v>1970</v>
      </c>
      <c r="B2031" s="138">
        <f>'Cap Outlay Deprec 26'!F16</f>
        <v>115537227</v>
      </c>
      <c r="C2031" s="2" t="s">
        <v>593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0</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0</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0</v>
      </c>
      <c r="C2055" s="2" t="s">
        <v>593</v>
      </c>
      <c r="D2055" s="2" t="str">
        <f t="shared" si="31"/>
        <v>Error?</v>
      </c>
    </row>
    <row r="2056" spans="1:4" x14ac:dyDescent="0.2">
      <c r="A2056" s="5">
        <v>1995</v>
      </c>
      <c r="B2056" s="138">
        <f>'Cap Outlay Deprec 26'!L5</f>
        <v>0</v>
      </c>
      <c r="C2056" s="2" t="s">
        <v>593</v>
      </c>
      <c r="D2056" s="2" t="str">
        <f t="shared" si="31"/>
        <v>Error?</v>
      </c>
    </row>
    <row r="2057" spans="1:4" x14ac:dyDescent="0.2">
      <c r="A2057" s="5">
        <v>1996</v>
      </c>
      <c r="B2057" s="138">
        <f>'Cap Outlay Deprec 26'!L8</f>
        <v>92486597</v>
      </c>
      <c r="C2057" s="2" t="s">
        <v>593</v>
      </c>
      <c r="D2057" s="2" t="str">
        <f t="shared" si="31"/>
        <v>Error?</v>
      </c>
    </row>
    <row r="2058" spans="1:4" x14ac:dyDescent="0.2">
      <c r="A2058" s="5">
        <v>1997</v>
      </c>
      <c r="B2058" s="138">
        <f>'Cap Outlay Deprec 26'!L10</f>
        <v>3879114</v>
      </c>
      <c r="C2058" s="2" t="s">
        <v>593</v>
      </c>
      <c r="D2058" s="2" t="str">
        <f t="shared" si="31"/>
        <v>Error?</v>
      </c>
    </row>
    <row r="2059" spans="1:4" x14ac:dyDescent="0.2">
      <c r="A2059" s="5">
        <v>1998</v>
      </c>
      <c r="B2059" s="138">
        <f>'Cap Outlay Deprec 26'!L12</f>
        <v>3035720</v>
      </c>
      <c r="C2059" s="2" t="s">
        <v>593</v>
      </c>
      <c r="D2059" s="2" t="str">
        <f t="shared" si="31"/>
        <v>Error?</v>
      </c>
    </row>
    <row r="2060" spans="1:4" x14ac:dyDescent="0.2">
      <c r="A2060" s="5">
        <v>1999</v>
      </c>
      <c r="B2060" s="138">
        <f>'Cap Outlay Deprec 26'!L13</f>
        <v>10280004</v>
      </c>
      <c r="C2060" s="2" t="s">
        <v>593</v>
      </c>
      <c r="D2060" s="2" t="str">
        <f t="shared" si="31"/>
        <v>Error?</v>
      </c>
    </row>
    <row r="2061" spans="1:4" x14ac:dyDescent="0.2">
      <c r="A2061" s="5">
        <v>2000</v>
      </c>
      <c r="B2061" s="138">
        <f>'Cap Outlay Deprec 26'!L16</f>
        <v>115537227</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802328</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802328</v>
      </c>
      <c r="C2088" s="2" t="s">
        <v>593</v>
      </c>
      <c r="D2088" s="2" t="str">
        <f t="shared" si="31"/>
        <v>Error?</v>
      </c>
    </row>
    <row r="2089" spans="1:4" x14ac:dyDescent="0.2">
      <c r="A2089" s="5">
        <v>2028</v>
      </c>
      <c r="B2089" s="138">
        <f>'Expenditures 15-22'!K92</f>
        <v>1313253</v>
      </c>
      <c r="C2089" s="2" t="s">
        <v>593</v>
      </c>
      <c r="D2089" s="2" t="str">
        <f t="shared" si="31"/>
        <v>Error?</v>
      </c>
    </row>
    <row r="2090" spans="1:4" x14ac:dyDescent="0.2">
      <c r="A2090" s="10">
        <v>2029</v>
      </c>
      <c r="D2090" s="2" t="str">
        <f t="shared" si="31"/>
        <v>OK</v>
      </c>
    </row>
    <row r="2091" spans="1:4" x14ac:dyDescent="0.2">
      <c r="A2091" s="5">
        <v>2030</v>
      </c>
      <c r="B2091" s="138">
        <f>'Expenditures 15-22'!H137</f>
        <v>355275</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355275</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3691848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20036400</v>
      </c>
      <c r="C2551" s="2" t="s">
        <v>593</v>
      </c>
      <c r="D2551" s="2" t="str">
        <f t="shared" si="38"/>
        <v>Error?</v>
      </c>
    </row>
    <row r="2552" spans="1:4" x14ac:dyDescent="0.2">
      <c r="A2552" s="10">
        <v>2491</v>
      </c>
      <c r="D2552" s="2" t="str">
        <f t="shared" si="38"/>
        <v>OK</v>
      </c>
    </row>
    <row r="2553" spans="1:4" x14ac:dyDescent="0.2">
      <c r="A2553" s="5">
        <v>2492</v>
      </c>
      <c r="B2553" s="138">
        <f>'Acct Summary 7-8'!C6</f>
        <v>5984745</v>
      </c>
      <c r="C2553" s="2" t="s">
        <v>593</v>
      </c>
      <c r="D2553" s="2" t="str">
        <f t="shared" si="38"/>
        <v>Error?</v>
      </c>
    </row>
    <row r="2554" spans="1:4" x14ac:dyDescent="0.2">
      <c r="A2554" s="5">
        <v>2493</v>
      </c>
      <c r="B2554" s="138">
        <f>'Acct Summary 7-8'!C7</f>
        <v>157247</v>
      </c>
      <c r="C2554" s="2" t="s">
        <v>593</v>
      </c>
      <c r="D2554" s="2" t="str">
        <f t="shared" si="38"/>
        <v>Error?</v>
      </c>
    </row>
    <row r="2555" spans="1:4" x14ac:dyDescent="0.2">
      <c r="A2555" s="5">
        <v>2494</v>
      </c>
      <c r="B2555" s="138">
        <f>'Acct Summary 7-8'!C8</f>
        <v>26178392</v>
      </c>
      <c r="C2555" s="2" t="s">
        <v>593</v>
      </c>
      <c r="D2555" s="2" t="str">
        <f t="shared" si="38"/>
        <v>Error?</v>
      </c>
    </row>
    <row r="2556" spans="1:4" x14ac:dyDescent="0.2">
      <c r="A2556" s="5">
        <v>2495</v>
      </c>
      <c r="B2556" s="138">
        <f>'Acct Summary 7-8'!C12</f>
        <v>18392007</v>
      </c>
      <c r="C2556" s="2" t="s">
        <v>593</v>
      </c>
      <c r="D2556" s="2" t="str">
        <f t="shared" si="38"/>
        <v>Error?</v>
      </c>
    </row>
    <row r="2557" spans="1:4" x14ac:dyDescent="0.2">
      <c r="A2557" s="5">
        <v>2496</v>
      </c>
      <c r="B2557" s="138">
        <f>'Acct Summary 7-8'!C13</f>
        <v>5734225</v>
      </c>
      <c r="C2557" s="2" t="s">
        <v>593</v>
      </c>
      <c r="D2557" s="2" t="str">
        <f t="shared" si="38"/>
        <v>Error?</v>
      </c>
    </row>
    <row r="2558" spans="1:4" x14ac:dyDescent="0.2">
      <c r="A2558" s="5">
        <v>2497</v>
      </c>
      <c r="B2558" s="138">
        <f>'Acct Summary 7-8'!C14</f>
        <v>9483</v>
      </c>
      <c r="C2558" s="2" t="s">
        <v>593</v>
      </c>
      <c r="D2558" s="2" t="str">
        <f t="shared" si="38"/>
        <v>Error?</v>
      </c>
    </row>
    <row r="2559" spans="1:4" x14ac:dyDescent="0.2">
      <c r="A2559" s="5">
        <v>2498</v>
      </c>
      <c r="B2559" s="138">
        <f>'Acct Summary 7-8'!C15</f>
        <v>2115581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26251296</v>
      </c>
      <c r="C2561" s="2" t="s">
        <v>593</v>
      </c>
      <c r="D2561" s="2" t="str">
        <f t="shared" si="39"/>
        <v>Error?</v>
      </c>
    </row>
    <row r="2562" spans="1:4" x14ac:dyDescent="0.2">
      <c r="A2562" s="5">
        <v>2501</v>
      </c>
      <c r="B2562" s="138">
        <f>'Acct Summary 7-8'!C20</f>
        <v>-72904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3631541</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3631541</v>
      </c>
      <c r="C2568" s="2" t="s">
        <v>593</v>
      </c>
      <c r="D2568" s="2" t="str">
        <f t="shared" si="39"/>
        <v>Error?</v>
      </c>
    </row>
    <row r="2569" spans="1:4" x14ac:dyDescent="0.2">
      <c r="A2569" s="5">
        <v>2508</v>
      </c>
      <c r="B2569" s="138">
        <f>'Acct Summary 7-8'!D13</f>
        <v>3401381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355275</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3756656</v>
      </c>
      <c r="C2573" s="2" t="s">
        <v>593</v>
      </c>
      <c r="D2573" s="2" t="str">
        <f t="shared" si="39"/>
        <v>Error?</v>
      </c>
    </row>
    <row r="2574" spans="1:4" x14ac:dyDescent="0.2">
      <c r="A2574" s="5">
        <v>2513</v>
      </c>
      <c r="B2574" s="138">
        <f>'Acct Summary 7-8'!D20</f>
        <v>-125115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1662513</v>
      </c>
      <c r="C2591" s="2" t="s">
        <v>593</v>
      </c>
      <c r="D2591" s="2" t="str">
        <f t="shared" si="39"/>
        <v>Error?</v>
      </c>
    </row>
    <row r="2592" spans="1:4" x14ac:dyDescent="0.2">
      <c r="A2592" s="10">
        <v>2531</v>
      </c>
      <c r="D2592" s="2" t="str">
        <f t="shared" si="39"/>
        <v>OK</v>
      </c>
    </row>
    <row r="2593" spans="1:4" x14ac:dyDescent="0.2">
      <c r="A2593" s="5">
        <v>2532</v>
      </c>
      <c r="B2593" s="138">
        <f>'Acct Summary 7-8'!F6</f>
        <v>1322627</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2985140</v>
      </c>
      <c r="C2595" s="2" t="s">
        <v>593</v>
      </c>
      <c r="D2595" s="2" t="str">
        <f t="shared" si="39"/>
        <v>Error?</v>
      </c>
    </row>
    <row r="2596" spans="1:4" x14ac:dyDescent="0.2">
      <c r="A2596" s="5">
        <v>2535</v>
      </c>
      <c r="B2596" s="138">
        <f>'Acct Summary 7-8'!F13</f>
        <v>2389464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2389464</v>
      </c>
      <c r="C2600" s="2" t="s">
        <v>593</v>
      </c>
      <c r="D2600" s="2" t="str">
        <f t="shared" si="39"/>
        <v>Error?</v>
      </c>
    </row>
    <row r="2601" spans="1:4" x14ac:dyDescent="0.2">
      <c r="A2601" s="5">
        <v>2540</v>
      </c>
      <c r="B2601" s="138">
        <f>'Acct Summary 7-8'!F20</f>
        <v>595676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1003904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1003904</v>
      </c>
      <c r="C2606" s="2" t="s">
        <v>593</v>
      </c>
      <c r="D2606" s="2" t="str">
        <f t="shared" si="39"/>
        <v>Error?</v>
      </c>
    </row>
    <row r="2607" spans="1:4" x14ac:dyDescent="0.2">
      <c r="A2607" s="5">
        <v>2546</v>
      </c>
      <c r="B2607" s="138">
        <f>'Acct Summary 7-8'!G12</f>
        <v>254676</v>
      </c>
      <c r="C2607" s="2" t="s">
        <v>593</v>
      </c>
      <c r="D2607" s="2" t="str">
        <f t="shared" si="39"/>
        <v>Error?</v>
      </c>
    </row>
    <row r="2608" spans="1:4" x14ac:dyDescent="0.2">
      <c r="A2608" s="5">
        <v>2547</v>
      </c>
      <c r="B2608" s="138">
        <f>'Acct Summary 7-8'!G13</f>
        <v>628942</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883618</v>
      </c>
      <c r="C2612" s="2" t="s">
        <v>593</v>
      </c>
      <c r="D2612" s="2" t="str">
        <f t="shared" si="39"/>
        <v>Error?</v>
      </c>
    </row>
    <row r="2613" spans="1:4" x14ac:dyDescent="0.2">
      <c r="A2613" s="5">
        <v>2552</v>
      </c>
      <c r="B2613" s="138">
        <f>'Acct Summary 7-8'!G20</f>
        <v>120286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9669122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9669122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9016367</v>
      </c>
      <c r="C2634" s="2" t="s">
        <v>593</v>
      </c>
      <c r="D2634" s="2" t="str">
        <f t="shared" si="40"/>
        <v>Error?</v>
      </c>
    </row>
    <row r="2635" spans="1:4" x14ac:dyDescent="0.2">
      <c r="A2635" s="5">
        <v>2574</v>
      </c>
      <c r="B2635" s="138">
        <f>'Acct Summary 7-8'!E17</f>
        <v>9016367</v>
      </c>
      <c r="C2635" s="2" t="s">
        <v>593</v>
      </c>
      <c r="D2635" s="2" t="str">
        <f t="shared" si="40"/>
        <v>Error?</v>
      </c>
    </row>
    <row r="2636" spans="1:4" x14ac:dyDescent="0.2">
      <c r="A2636" s="5">
        <v>2575</v>
      </c>
      <c r="B2636" s="138">
        <f>'Acct Summary 7-8'!E20</f>
        <v>652755</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223226</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223226</v>
      </c>
      <c r="C2658" s="2" t="s">
        <v>593</v>
      </c>
      <c r="D2658" s="2" t="str">
        <f t="shared" si="40"/>
        <v>Error?</v>
      </c>
    </row>
    <row r="2659" spans="1:4" x14ac:dyDescent="0.2">
      <c r="A2659" s="5">
        <v>2598</v>
      </c>
      <c r="B2659" s="138">
        <f>'Acct Summary 7-8'!H13</f>
        <v>329258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329258</v>
      </c>
      <c r="C2661" s="2" t="s">
        <v>593</v>
      </c>
      <c r="D2661" s="2" t="str">
        <f t="shared" si="40"/>
        <v>Error?</v>
      </c>
    </row>
    <row r="2662" spans="1:4" x14ac:dyDescent="0.2">
      <c r="A2662" s="5">
        <v>2601</v>
      </c>
      <c r="B2662" s="138">
        <f>'Acct Summary 7-8'!H20</f>
        <v>-106032</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446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446</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12895607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13088764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470798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2255228</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13088764</v>
      </c>
      <c r="D2912" s="2" t="str">
        <f t="shared" si="44"/>
        <v>Error?</v>
      </c>
    </row>
    <row r="2913" spans="1:4" x14ac:dyDescent="0.2">
      <c r="A2913" s="5">
        <v>2852</v>
      </c>
      <c r="B2913" s="138">
        <f>'Assets-Liab 5-6'!I41</f>
        <v>13088764</v>
      </c>
      <c r="C2913" s="2" t="s">
        <v>593</v>
      </c>
      <c r="D2913" s="2" t="str">
        <f t="shared" si="44"/>
        <v>Error?</v>
      </c>
    </row>
    <row r="2914" spans="1:4" x14ac:dyDescent="0.2">
      <c r="A2914" s="5">
        <v>2853</v>
      </c>
      <c r="B2914" s="138">
        <f>'Assets-Liab 5-6'!L33</f>
        <v>546506</v>
      </c>
      <c r="D2914" s="2" t="str">
        <f t="shared" si="44"/>
        <v>Error?</v>
      </c>
    </row>
    <row r="2915" spans="1:4" x14ac:dyDescent="0.2">
      <c r="A2915" s="10">
        <v>2854</v>
      </c>
      <c r="D2915" s="2" t="str">
        <f t="shared" si="44"/>
        <v>OK</v>
      </c>
    </row>
    <row r="2916" spans="1:4" x14ac:dyDescent="0.2">
      <c r="A2916" s="5">
        <v>2855</v>
      </c>
      <c r="B2916" s="138">
        <f>'Assets-Liab 5-6'!L34</f>
        <v>546506</v>
      </c>
      <c r="C2916" s="2" t="s">
        <v>593</v>
      </c>
      <c r="D2916" s="2" t="str">
        <f t="shared" si="44"/>
        <v>Error?</v>
      </c>
    </row>
    <row r="2917" spans="1:4" x14ac:dyDescent="0.2">
      <c r="A2917" s="5">
        <v>2856</v>
      </c>
      <c r="B2917" s="138">
        <f>'Assets-Liab 5-6'!L41</f>
        <v>2255228</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192151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610177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192151</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610177</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355275</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355275</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1708722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7050000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856021</v>
      </c>
      <c r="C3225" s="2" t="s">
        <v>593</v>
      </c>
      <c r="D3225" s="2" t="str">
        <f t="shared" si="49"/>
        <v>Error?</v>
      </c>
    </row>
    <row r="3226" spans="1:4" x14ac:dyDescent="0.2">
      <c r="A3226" s="5">
        <v>3165</v>
      </c>
      <c r="B3226" s="138">
        <f>'Acct Summary 7-8'!I8</f>
        <v>856021</v>
      </c>
      <c r="C3226" s="2" t="s">
        <v>593</v>
      </c>
      <c r="D3226" s="2" t="str">
        <f t="shared" si="49"/>
        <v>Error?</v>
      </c>
    </row>
    <row r="3227" spans="1:4" x14ac:dyDescent="0.2">
      <c r="A3227" s="5">
        <v>3166</v>
      </c>
      <c r="B3227" s="138">
        <f>'Acct Summary 7-8'!I20</f>
        <v>856021</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650000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650000</v>
      </c>
      <c r="C3232" s="2" t="s">
        <v>593</v>
      </c>
      <c r="D3232" s="2" t="str">
        <f t="shared" si="49"/>
        <v>Error?</v>
      </c>
    </row>
    <row r="3233" spans="1:4" x14ac:dyDescent="0.2">
      <c r="A3233" s="5">
        <v>3172</v>
      </c>
      <c r="B3233" s="138">
        <f>'Acct Summary 7-8'!C78</f>
        <v>577096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350000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350000</v>
      </c>
      <c r="C3238" s="2" t="s">
        <v>593</v>
      </c>
      <c r="D3238" s="2" t="str">
        <f t="shared" si="49"/>
        <v>Error?</v>
      </c>
    </row>
    <row r="3239" spans="1:4" x14ac:dyDescent="0.2">
      <c r="A3239" s="5">
        <v>3178</v>
      </c>
      <c r="B3239" s="138">
        <f>'Acct Summary 7-8'!D78</f>
        <v>224885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595676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120286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7296418</v>
      </c>
      <c r="C3274" s="2" t="s">
        <v>593</v>
      </c>
      <c r="D3274" s="2" t="str">
        <f t="shared" si="50"/>
        <v>Error?</v>
      </c>
    </row>
    <row r="3275" spans="1:4" x14ac:dyDescent="0.2">
      <c r="A3275" s="5">
        <v>3214</v>
      </c>
      <c r="B3275" s="138">
        <f>'Acct Summary 7-8'!E75</f>
        <v>7192196</v>
      </c>
      <c r="D3275" s="2" t="str">
        <f t="shared" si="50"/>
        <v>Error?</v>
      </c>
    </row>
    <row r="3276" spans="1:4" x14ac:dyDescent="0.2">
      <c r="A3276" s="5">
        <v>3215</v>
      </c>
      <c r="B3276" s="138">
        <f>'Acct Summary 7-8'!E76</f>
        <v>7192196</v>
      </c>
      <c r="C3276" s="2" t="s">
        <v>593</v>
      </c>
      <c r="D3276" s="2" t="str">
        <f t="shared" si="50"/>
        <v>Error?</v>
      </c>
    </row>
    <row r="3277" spans="1:4" x14ac:dyDescent="0.2">
      <c r="A3277" s="5">
        <v>3216</v>
      </c>
      <c r="B3277" s="138">
        <f>'Acct Summary 7-8'!E77</f>
        <v>104222</v>
      </c>
      <c r="C3277" s="2" t="s">
        <v>593</v>
      </c>
      <c r="D3277" s="2" t="str">
        <f t="shared" si="50"/>
        <v>Error?</v>
      </c>
    </row>
    <row r="3278" spans="1:4" x14ac:dyDescent="0.2">
      <c r="A3278" s="5">
        <v>3217</v>
      </c>
      <c r="B3278" s="138">
        <f>'Acct Summary 7-8'!E78</f>
        <v>756977</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-106032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1000000</v>
      </c>
      <c r="C3318" s="2" t="s">
        <v>593</v>
      </c>
      <c r="D3318" s="2" t="str">
        <f t="shared" si="50"/>
        <v>Error?</v>
      </c>
    </row>
    <row r="3319" spans="1:4" x14ac:dyDescent="0.2">
      <c r="A3319" s="5">
        <v>3258</v>
      </c>
      <c r="B3319" s="138">
        <f>'Acct Summary 7-8'!I77</f>
        <v>-1000000</v>
      </c>
      <c r="C3319" s="2" t="s">
        <v>593</v>
      </c>
      <c r="D3319" s="2" t="str">
        <f t="shared" si="50"/>
        <v>Error?</v>
      </c>
    </row>
    <row r="3320" spans="1:4" x14ac:dyDescent="0.2">
      <c r="A3320" s="5">
        <v>3259</v>
      </c>
      <c r="B3320" s="138">
        <f>'Acct Summary 7-8'!I78</f>
        <v>-143979</v>
      </c>
      <c r="C3320" s="2" t="s">
        <v>593</v>
      </c>
      <c r="D3320" s="2" t="str">
        <f t="shared" si="50"/>
        <v>Error?</v>
      </c>
    </row>
    <row r="3321" spans="1:4" x14ac:dyDescent="0.2">
      <c r="A3321" s="5">
        <v>3260</v>
      </c>
      <c r="B3321" s="138">
        <f>'Acct Summary 7-8'!I79</f>
        <v>13232743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13088764</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1097134</v>
      </c>
      <c r="D3366" s="2" t="str">
        <f t="shared" si="51"/>
        <v>Error?</v>
      </c>
    </row>
    <row r="3367" spans="1:4" x14ac:dyDescent="0.2">
      <c r="A3367" s="5">
        <v>3306</v>
      </c>
      <c r="B3367" s="138">
        <f>'Expenditures 15-22'!C19</f>
        <v>111337</v>
      </c>
      <c r="D3367" s="2" t="str">
        <f t="shared" si="51"/>
        <v>Error?</v>
      </c>
    </row>
    <row r="3368" spans="1:4" x14ac:dyDescent="0.2">
      <c r="A3368" s="5">
        <v>3307</v>
      </c>
      <c r="B3368" s="138">
        <f>'Expenditures 15-22'!D8</f>
        <v>328653</v>
      </c>
      <c r="D3368" s="2" t="str">
        <f t="shared" si="51"/>
        <v>Error?</v>
      </c>
    </row>
    <row r="3369" spans="1:4" x14ac:dyDescent="0.2">
      <c r="A3369" s="5">
        <v>3308</v>
      </c>
      <c r="B3369" s="138">
        <f>'Expenditures 15-22'!D19</f>
        <v>25711</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4795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5854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1436436</v>
      </c>
      <c r="C3380" s="2" t="s">
        <v>593</v>
      </c>
      <c r="D3380" s="2" t="str">
        <f t="shared" si="51"/>
        <v>Error?</v>
      </c>
    </row>
    <row r="3381" spans="1:4" x14ac:dyDescent="0.2">
      <c r="A3381" s="5">
        <v>3320</v>
      </c>
      <c r="B3381" s="138">
        <f>'Expenditures 15-22'!K19</f>
        <v>137048</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39709</v>
      </c>
      <c r="D3388" s="2" t="str">
        <f t="shared" si="51"/>
        <v>Error?</v>
      </c>
    </row>
    <row r="3389" spans="1:4" x14ac:dyDescent="0.2">
      <c r="A3389" s="5">
        <v>3328</v>
      </c>
      <c r="B3389" s="138">
        <f>'Expenditures 15-22'!D228</f>
        <v>6451</v>
      </c>
      <c r="D3389" s="2" t="str">
        <f t="shared" si="51"/>
        <v>Error?</v>
      </c>
    </row>
    <row r="3390" spans="1:4" x14ac:dyDescent="0.2">
      <c r="A3390" s="5">
        <v>3329</v>
      </c>
      <c r="B3390" s="138">
        <f>'Expenditures 15-22'!K215</f>
        <v>0</v>
      </c>
      <c r="C3390" s="2" t="s">
        <v>593</v>
      </c>
      <c r="D3390" s="2" t="str">
        <f t="shared" si="51"/>
        <v>Error?</v>
      </c>
    </row>
    <row r="3391" spans="1:4" x14ac:dyDescent="0.2">
      <c r="A3391" s="5">
        <v>3330</v>
      </c>
      <c r="B3391" s="138">
        <f>'Expenditures 15-22'!K217</f>
        <v>39709</v>
      </c>
      <c r="C3391" s="2" t="s">
        <v>593</v>
      </c>
      <c r="D3391" s="2" t="str">
        <f t="shared" ref="D3391:D3454" si="52">IF(ISBLANK(B3391),"OK",IF(A3391-B3391=0,"OK","Error?"))</f>
        <v>Error?</v>
      </c>
    </row>
    <row r="3392" spans="1:4" x14ac:dyDescent="0.2">
      <c r="A3392" s="5">
        <v>3331</v>
      </c>
      <c r="B3392" s="138">
        <f>'Expenditures 15-22'!K228</f>
        <v>6451</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2682448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494407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1832573</v>
      </c>
      <c r="D3417" s="2" t="str">
        <f t="shared" si="52"/>
        <v>Error?</v>
      </c>
    </row>
    <row r="3418" spans="1:4" x14ac:dyDescent="0.2">
      <c r="A3418" s="10">
        <v>3357</v>
      </c>
      <c r="D3418" s="2" t="str">
        <f t="shared" si="52"/>
        <v>OK</v>
      </c>
    </row>
    <row r="3419" spans="1:4" x14ac:dyDescent="0.2">
      <c r="A3419" s="5">
        <v>3358</v>
      </c>
      <c r="B3419" s="138">
        <f>'Assets-Liab 5-6'!F4</f>
        <v>240802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218281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9201</v>
      </c>
      <c r="D3425" s="2" t="str">
        <f t="shared" si="52"/>
        <v>Error?</v>
      </c>
    </row>
    <row r="3426" spans="1:4" x14ac:dyDescent="0.2">
      <c r="A3426" s="10">
        <v>3365</v>
      </c>
      <c r="D3426" s="2" t="str">
        <f t="shared" si="52"/>
        <v>OK</v>
      </c>
    </row>
    <row r="3427" spans="1:4" x14ac:dyDescent="0.2">
      <c r="A3427" s="5">
        <v>3366</v>
      </c>
      <c r="B3427" s="138">
        <f>'Assets-Liab 5-6'!I4</f>
        <v>193157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1784430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489151</v>
      </c>
      <c r="C3446" s="2" t="s">
        <v>593</v>
      </c>
      <c r="D3446" s="2" t="str">
        <f t="shared" si="52"/>
        <v>Error?</v>
      </c>
    </row>
    <row r="3447" spans="1:4" x14ac:dyDescent="0.2">
      <c r="A3447" s="5">
        <v>3386</v>
      </c>
      <c r="B3447" s="138">
        <f>'Tax Sched 23'!D16</f>
        <v>328315</v>
      </c>
      <c r="C3447" s="2" t="s">
        <v>593</v>
      </c>
      <c r="D3447" s="2" t="str">
        <f t="shared" si="52"/>
        <v>Error?</v>
      </c>
    </row>
    <row r="3448" spans="1:4" x14ac:dyDescent="0.2">
      <c r="A3448" s="5">
        <v>3387</v>
      </c>
      <c r="B3448" s="138">
        <f>'Tax Sched 23'!C16</f>
        <v>160836</v>
      </c>
      <c r="D3448" s="2" t="str">
        <f t="shared" si="52"/>
        <v>Error?</v>
      </c>
    </row>
    <row r="3449" spans="1:4" x14ac:dyDescent="0.2">
      <c r="A3449" s="5">
        <v>3388</v>
      </c>
      <c r="B3449" s="138">
        <f>'Tax Sched 23'!F16</f>
        <v>313081</v>
      </c>
      <c r="C3449" s="2" t="s">
        <v>593</v>
      </c>
      <c r="D3449" s="2" t="str">
        <f t="shared" si="52"/>
        <v>Error?</v>
      </c>
    </row>
    <row r="3450" spans="1:4" x14ac:dyDescent="0.2">
      <c r="A3450" s="5">
        <v>3389</v>
      </c>
      <c r="B3450" s="138">
        <f>'Tax Sched 23'!E16</f>
        <v>473917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146698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794661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941359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941359</v>
      </c>
      <c r="D3567" s="2" t="str">
        <f t="shared" si="54"/>
        <v>Error?</v>
      </c>
    </row>
    <row r="3568" spans="1:4" x14ac:dyDescent="0.2">
      <c r="A3568" s="5">
        <v>3507</v>
      </c>
      <c r="B3568" s="138">
        <f>'Assets-Liab 5-6'!K41</f>
        <v>941359</v>
      </c>
      <c r="C3568" s="2" t="s">
        <v>593</v>
      </c>
      <c r="D3568" s="2" t="str">
        <f t="shared" si="54"/>
        <v>Error?</v>
      </c>
    </row>
    <row r="3569" spans="1:4" x14ac:dyDescent="0.2">
      <c r="A3569" s="5">
        <v>3508</v>
      </c>
      <c r="B3569" s="138">
        <f>'Acct Summary 7-8'!K4</f>
        <v>679684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679684</v>
      </c>
      <c r="C3571" s="2" t="s">
        <v>593</v>
      </c>
      <c r="D3571" s="2" t="str">
        <f t="shared" si="54"/>
        <v>Error?</v>
      </c>
    </row>
    <row r="3572" spans="1:4" x14ac:dyDescent="0.2">
      <c r="A3572" s="5">
        <v>3511</v>
      </c>
      <c r="B3572" s="138">
        <f>'Acct Summary 7-8'!K13</f>
        <v>3865</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3865</v>
      </c>
      <c r="C3575" s="2" t="s">
        <v>593</v>
      </c>
      <c r="D3575" s="2" t="str">
        <f t="shared" si="54"/>
        <v>Error?</v>
      </c>
    </row>
    <row r="3576" spans="1:4" x14ac:dyDescent="0.2">
      <c r="A3576" s="5">
        <v>3515</v>
      </c>
      <c r="B3576" s="138">
        <f>'Acct Summary 7-8'!K20</f>
        <v>675819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675819</v>
      </c>
      <c r="C3588" s="2" t="s">
        <v>593</v>
      </c>
      <c r="D3588" s="2" t="str">
        <f t="shared" si="55"/>
        <v>Error?</v>
      </c>
    </row>
    <row r="3589" spans="1:4" x14ac:dyDescent="0.2">
      <c r="A3589" s="5">
        <v>3528</v>
      </c>
      <c r="B3589" s="138">
        <f>'Acct Summary 7-8'!K79</f>
        <v>265540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941359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3865</v>
      </c>
      <c r="D3646" s="2" t="str">
        <f t="shared" si="55"/>
        <v>Error?</v>
      </c>
    </row>
    <row r="3647" spans="1:4" x14ac:dyDescent="0.2">
      <c r="A3647" s="5">
        <v>3586</v>
      </c>
      <c r="B3647" s="138">
        <f>'Expenditures 15-22'!G350</f>
        <v>3865</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3865</v>
      </c>
      <c r="C3649" s="2" t="s">
        <v>593</v>
      </c>
      <c r="D3649" s="2" t="str">
        <f t="shared" si="56"/>
        <v>Error?</v>
      </c>
    </row>
    <row r="3650" spans="1:4" x14ac:dyDescent="0.2">
      <c r="A3650" s="5">
        <v>3589</v>
      </c>
      <c r="B3650" s="138">
        <f>'Expenditures 15-22'!G367</f>
        <v>3865</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3865</v>
      </c>
      <c r="C3669" s="2" t="s">
        <v>593</v>
      </c>
      <c r="D3669" s="2" t="str">
        <f t="shared" si="56"/>
        <v>Error?</v>
      </c>
    </row>
    <row r="3670" spans="1:4" x14ac:dyDescent="0.2">
      <c r="A3670" s="5">
        <v>3609</v>
      </c>
      <c r="B3670" s="138">
        <f>'Expenditures 15-22'!K350</f>
        <v>3865</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3865</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3865</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675819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647202</v>
      </c>
      <c r="C3725" s="2" t="s">
        <v>593</v>
      </c>
      <c r="D3725" s="2" t="str">
        <f t="shared" si="57"/>
        <v>Error?</v>
      </c>
    </row>
    <row r="3726" spans="1:4" x14ac:dyDescent="0.2">
      <c r="A3726" s="5">
        <v>3665</v>
      </c>
      <c r="B3726" s="138">
        <f>'Tax Sched 23'!D13</f>
        <v>425941</v>
      </c>
      <c r="C3726" s="2" t="s">
        <v>593</v>
      </c>
      <c r="D3726" s="2" t="str">
        <f t="shared" si="57"/>
        <v>Error?</v>
      </c>
    </row>
    <row r="3727" spans="1:4" x14ac:dyDescent="0.2">
      <c r="A3727" s="5">
        <v>3666</v>
      </c>
      <c r="B3727" s="138">
        <f>'Tax Sched 23'!C13</f>
        <v>221261</v>
      </c>
      <c r="D3727" s="2" t="str">
        <f t="shared" si="57"/>
        <v>Error?</v>
      </c>
    </row>
    <row r="3728" spans="1:4" x14ac:dyDescent="0.2">
      <c r="A3728" s="5">
        <v>3667</v>
      </c>
      <c r="B3728" s="138">
        <f>'Tax Sched 23'!F13</f>
        <v>427772</v>
      </c>
      <c r="C3728" s="2" t="s">
        <v>593</v>
      </c>
      <c r="D3728" s="2" t="str">
        <f t="shared" si="57"/>
        <v>Error?</v>
      </c>
    </row>
    <row r="3729" spans="1:4" x14ac:dyDescent="0.2">
      <c r="A3729" s="5">
        <v>3668</v>
      </c>
      <c r="B3729" s="138">
        <f>'Tax Sched 23'!E13</f>
        <v>649033</v>
      </c>
      <c r="D3729" s="2" t="str">
        <f t="shared" si="57"/>
        <v>Error?</v>
      </c>
    </row>
    <row r="3730" spans="1:4" x14ac:dyDescent="0.2">
      <c r="A3730" s="5">
        <v>3669</v>
      </c>
      <c r="B3730" s="138">
        <f>'ICR Computation 30'!E10</f>
        <v>3969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51245</v>
      </c>
      <c r="D4081" s="2" t="str">
        <f t="shared" si="62"/>
        <v>Error?</v>
      </c>
    </row>
    <row r="4082" spans="1:4" x14ac:dyDescent="0.2">
      <c r="A4082" s="5">
        <v>4021</v>
      </c>
      <c r="B4082" s="138">
        <f>'Expenditures 15-22'!D180</f>
        <v>9155</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60400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1707542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27885934</v>
      </c>
      <c r="C4122" s="2" t="s">
        <v>593</v>
      </c>
      <c r="D4122" s="2" t="str">
        <f t="shared" si="63"/>
        <v>Error?</v>
      </c>
    </row>
    <row r="4123" spans="1:4" x14ac:dyDescent="0.2">
      <c r="A4123" s="5">
        <v>4062</v>
      </c>
      <c r="B4123" s="138">
        <f>'Acct Summary 7-8'!D10</f>
        <v>3631541</v>
      </c>
      <c r="C4123" s="2" t="s">
        <v>593</v>
      </c>
      <c r="D4123" s="2" t="str">
        <f t="shared" si="63"/>
        <v>Error?</v>
      </c>
    </row>
    <row r="4124" spans="1:4" x14ac:dyDescent="0.2">
      <c r="A4124" s="5">
        <v>4063</v>
      </c>
      <c r="B4124" s="138">
        <f>'Acct Summary 7-8'!E10</f>
        <v>9669122</v>
      </c>
      <c r="C4124" s="2" t="s">
        <v>593</v>
      </c>
      <c r="D4124" s="2" t="str">
        <f t="shared" si="63"/>
        <v>Error?</v>
      </c>
    </row>
    <row r="4125" spans="1:4" x14ac:dyDescent="0.2">
      <c r="A4125" s="5">
        <v>4064</v>
      </c>
      <c r="B4125" s="138">
        <f>'Acct Summary 7-8'!F10</f>
        <v>2985140</v>
      </c>
      <c r="C4125" s="2" t="s">
        <v>593</v>
      </c>
      <c r="D4125" s="2" t="str">
        <f t="shared" si="63"/>
        <v>Error?</v>
      </c>
    </row>
    <row r="4126" spans="1:4" x14ac:dyDescent="0.2">
      <c r="A4126" s="5">
        <v>4065</v>
      </c>
      <c r="B4126" s="138">
        <f>'Acct Summary 7-8'!G10</f>
        <v>1003904</v>
      </c>
      <c r="C4126" s="2" t="s">
        <v>593</v>
      </c>
      <c r="D4126" s="2" t="str">
        <f t="shared" si="63"/>
        <v>Error?</v>
      </c>
    </row>
    <row r="4127" spans="1:4" x14ac:dyDescent="0.2">
      <c r="A4127" s="5">
        <v>4066</v>
      </c>
      <c r="B4127" s="138">
        <f>'Acct Summary 7-8'!H10</f>
        <v>223226</v>
      </c>
      <c r="C4127" s="2" t="s">
        <v>593</v>
      </c>
      <c r="D4127" s="2" t="str">
        <f t="shared" si="63"/>
        <v>Error?</v>
      </c>
    </row>
    <row r="4128" spans="1:4" x14ac:dyDescent="0.2">
      <c r="A4128" s="5">
        <v>4067</v>
      </c>
      <c r="B4128" s="138">
        <f>'Acct Summary 7-8'!I10</f>
        <v>856021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679684</v>
      </c>
      <c r="C4130" s="2" t="s">
        <v>593</v>
      </c>
      <c r="D4130" s="2" t="str">
        <f t="shared" si="63"/>
        <v>Error?</v>
      </c>
    </row>
    <row r="4131" spans="1:4" x14ac:dyDescent="0.2">
      <c r="A4131" s="5">
        <v>4070</v>
      </c>
      <c r="B4131" s="138">
        <f>'Acct Summary 7-8'!C18</f>
        <v>1707542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27958838</v>
      </c>
      <c r="C4136" s="2" t="s">
        <v>593</v>
      </c>
      <c r="D4136" s="2" t="str">
        <f t="shared" si="63"/>
        <v>Error?</v>
      </c>
    </row>
    <row r="4137" spans="1:4" x14ac:dyDescent="0.2">
      <c r="A4137" s="5">
        <v>4076</v>
      </c>
      <c r="B4137" s="138">
        <f>'Acct Summary 7-8'!D19</f>
        <v>3756656</v>
      </c>
      <c r="C4137" s="2" t="s">
        <v>593</v>
      </c>
      <c r="D4137" s="2" t="str">
        <f t="shared" si="63"/>
        <v>Error?</v>
      </c>
    </row>
    <row r="4138" spans="1:4" x14ac:dyDescent="0.2">
      <c r="A4138" s="5">
        <v>4077</v>
      </c>
      <c r="B4138" s="138">
        <f>'Acct Summary 7-8'!E19</f>
        <v>9016367</v>
      </c>
      <c r="C4138" s="2" t="s">
        <v>593</v>
      </c>
      <c r="D4138" s="2" t="str">
        <f t="shared" si="63"/>
        <v>Error?</v>
      </c>
    </row>
    <row r="4139" spans="1:4" x14ac:dyDescent="0.2">
      <c r="A4139" s="5">
        <v>4078</v>
      </c>
      <c r="B4139" s="138">
        <f>'Acct Summary 7-8'!F19</f>
        <v>2389464</v>
      </c>
      <c r="C4139" s="2" t="s">
        <v>593</v>
      </c>
      <c r="D4139" s="2" t="str">
        <f t="shared" si="63"/>
        <v>Error?</v>
      </c>
    </row>
    <row r="4140" spans="1:4" x14ac:dyDescent="0.2">
      <c r="A4140" s="5">
        <v>4079</v>
      </c>
      <c r="B4140" s="138">
        <f>'Acct Summary 7-8'!G19</f>
        <v>883618</v>
      </c>
      <c r="C4140" s="2" t="s">
        <v>593</v>
      </c>
      <c r="D4140" s="2" t="str">
        <f t="shared" si="63"/>
        <v>Error?</v>
      </c>
    </row>
    <row r="4141" spans="1:4" x14ac:dyDescent="0.2">
      <c r="A4141" s="5">
        <v>4080</v>
      </c>
      <c r="B4141" s="138">
        <f>'Acct Summary 7-8'!H19</f>
        <v>329258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3865</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51890000</v>
      </c>
      <c r="C4171" s="2" t="s">
        <v>593</v>
      </c>
      <c r="D4171" s="2" t="str">
        <f t="shared" si="64"/>
        <v>Error?</v>
      </c>
    </row>
    <row r="4172" spans="1:4" x14ac:dyDescent="0.2">
      <c r="A4172" s="5">
        <v>4111</v>
      </c>
      <c r="B4172" s="138">
        <f>'Short-Term Long-Term Debt 24'!J49</f>
        <v>46993788</v>
      </c>
      <c r="C4172" s="2" t="s">
        <v>593</v>
      </c>
      <c r="D4172" s="2" t="str">
        <f t="shared" si="64"/>
        <v>Error?</v>
      </c>
    </row>
    <row r="4173" spans="1:4" x14ac:dyDescent="0.2">
      <c r="A4173" s="5">
        <v>4112</v>
      </c>
      <c r="B4173" s="138">
        <f>'Short-Term Long-Term Debt 24'!H49</f>
        <v>6730000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-7150000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1220</v>
      </c>
      <c r="C4265" s="2" t="s">
        <v>593</v>
      </c>
      <c r="D4265" s="2" t="str">
        <f t="shared" si="65"/>
        <v>Error?</v>
      </c>
      <c r="E4265" s="128"/>
    </row>
    <row r="4266" spans="1:5" x14ac:dyDescent="0.2">
      <c r="A4266" s="12">
        <v>4205</v>
      </c>
      <c r="B4266" s="138">
        <f>('FP Info 3'!F10)*100000</f>
        <v>250</v>
      </c>
      <c r="C4266" s="2" t="s">
        <v>593</v>
      </c>
      <c r="D4266" s="2" t="str">
        <f t="shared" si="65"/>
        <v>Error?</v>
      </c>
      <c r="E4266" s="128"/>
    </row>
    <row r="4267" spans="1:5" x14ac:dyDescent="0.2">
      <c r="A4267" s="12">
        <v>4206</v>
      </c>
      <c r="B4267" s="138">
        <f>('FP Info 3'!H10)*100000</f>
        <v>119.99999999999999</v>
      </c>
      <c r="C4267" s="2" t="s">
        <v>593</v>
      </c>
      <c r="D4267" s="2" t="str">
        <f t="shared" si="65"/>
        <v>Error?</v>
      </c>
      <c r="E4267" s="128"/>
    </row>
    <row r="4268" spans="1:5" x14ac:dyDescent="0.2">
      <c r="A4268" s="12">
        <v>4207</v>
      </c>
      <c r="B4268" s="138">
        <f>('FP Info 3'!J10)*100000</f>
        <v>1590</v>
      </c>
      <c r="C4268" s="2" t="s">
        <v>593</v>
      </c>
      <c r="D4268" s="2" t="str">
        <f t="shared" si="65"/>
        <v>Error?</v>
      </c>
    </row>
    <row r="4269" spans="1:5" x14ac:dyDescent="0.2">
      <c r="A4269" s="12">
        <v>4208</v>
      </c>
      <c r="B4269" s="138">
        <f>'FP Info 3'!J16</f>
        <v>27612124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2499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3671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1306209287</v>
      </c>
      <c r="D4995" s="2" t="str">
        <f t="shared" si="77"/>
        <v>Error?</v>
      </c>
    </row>
    <row r="4996" spans="1:4" x14ac:dyDescent="0.2">
      <c r="A4996" s="12">
        <v>4935</v>
      </c>
      <c r="B4996" s="138">
        <f>'FP Info 3'!H31</f>
        <v>90128440.803000003</v>
      </c>
      <c r="D4996" s="2" t="str">
        <f t="shared" si="77"/>
        <v>Error?</v>
      </c>
    </row>
    <row r="4997" spans="1:4" x14ac:dyDescent="0.2">
      <c r="A4997" s="12">
        <v>4936</v>
      </c>
      <c r="B4997" s="138">
        <f>'FP Info 3'!H37</f>
        <v>51890000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647202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15782302</v>
      </c>
      <c r="D5061" s="2" t="str">
        <f t="shared" si="78"/>
        <v>Error?</v>
      </c>
    </row>
    <row r="5062" spans="1:4" x14ac:dyDescent="0.2">
      <c r="A5062" s="10">
        <v>5001</v>
      </c>
      <c r="D5062" s="2" t="str">
        <f t="shared" si="78"/>
        <v>OK</v>
      </c>
    </row>
    <row r="5063" spans="1:4" x14ac:dyDescent="0.2">
      <c r="A5063" s="5">
        <v>5002</v>
      </c>
      <c r="B5063" s="138">
        <f>'Revenues 9-14'!C7</f>
        <v>258790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16688294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302991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302991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12510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12510</v>
      </c>
      <c r="C5087" s="2" t="s">
        <v>593</v>
      </c>
      <c r="D5087" s="2" t="str">
        <f t="shared" si="78"/>
        <v>Error?</v>
      </c>
    </row>
    <row r="5088" spans="1:4" x14ac:dyDescent="0.2">
      <c r="A5088" s="5">
        <v>5027</v>
      </c>
      <c r="B5088" s="138">
        <f>'Revenues 9-14'!C65</f>
        <v>176601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176601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508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966676</v>
      </c>
      <c r="C5096" s="2" t="s">
        <v>593</v>
      </c>
      <c r="D5096" s="2" t="str">
        <f t="shared" si="78"/>
        <v>Error?</v>
      </c>
    </row>
    <row r="5097" spans="1:4" x14ac:dyDescent="0.2">
      <c r="A5097" s="5">
        <v>5036</v>
      </c>
      <c r="B5097" s="138">
        <f>'Revenues 9-14'!C77</f>
        <v>65358</v>
      </c>
      <c r="D5097" s="2" t="str">
        <f t="shared" si="78"/>
        <v>Error?</v>
      </c>
    </row>
    <row r="5098" spans="1:4" x14ac:dyDescent="0.2">
      <c r="A5098" s="5">
        <v>5037</v>
      </c>
      <c r="B5098" s="138">
        <f>'Revenues 9-14'!C78</f>
        <v>22128</v>
      </c>
      <c r="D5098" s="2" t="str">
        <f t="shared" si="78"/>
        <v>Error?</v>
      </c>
    </row>
    <row r="5099" spans="1:4" x14ac:dyDescent="0.2">
      <c r="A5099" s="5">
        <v>5038</v>
      </c>
      <c r="B5099" s="138">
        <f>'Revenues 9-14'!C79</f>
        <v>206444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771</v>
      </c>
      <c r="D5101" s="2" t="str">
        <f t="shared" si="78"/>
        <v>Error?</v>
      </c>
    </row>
    <row r="5102" spans="1:4" x14ac:dyDescent="0.2">
      <c r="A5102" s="5">
        <v>5041</v>
      </c>
      <c r="B5102" s="138">
        <f>'Revenues 9-14'!C82</f>
        <v>294701</v>
      </c>
      <c r="C5102" s="2" t="s">
        <v>593</v>
      </c>
      <c r="D5102" s="2" t="str">
        <f t="shared" si="78"/>
        <v>Error?</v>
      </c>
    </row>
    <row r="5103" spans="1:4" x14ac:dyDescent="0.2">
      <c r="A5103" s="5">
        <v>5042</v>
      </c>
      <c r="B5103" s="138">
        <f>'Revenues 9-14'!C84</f>
        <v>525693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42828</v>
      </c>
      <c r="D5111" s="2" t="str">
        <f t="shared" si="78"/>
        <v>Error?</v>
      </c>
    </row>
    <row r="5112" spans="1:4" x14ac:dyDescent="0.2">
      <c r="A5112" s="5">
        <v>5051</v>
      </c>
      <c r="B5112" s="138">
        <f>'Revenues 9-14'!C93</f>
        <v>568521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51856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232148</v>
      </c>
      <c r="D5119" s="2" t="str">
        <f t="shared" ref="D5119:D5182" si="79">IF(ISBLANK(B5119),"OK",IF(A5119-B5119=0,"OK","Error?"))</f>
        <v>Error?</v>
      </c>
    </row>
    <row r="5120" spans="1:4" x14ac:dyDescent="0.2">
      <c r="A5120" s="5">
        <v>5059</v>
      </c>
      <c r="B5120" s="138">
        <f>'Revenues 9-14'!C108</f>
        <v>1026106</v>
      </c>
      <c r="C5120" s="2" t="s">
        <v>593</v>
      </c>
      <c r="D5120" s="2" t="str">
        <f t="shared" si="79"/>
        <v>Error?</v>
      </c>
    </row>
    <row r="5121" spans="1:4" x14ac:dyDescent="0.2">
      <c r="A5121" s="5">
        <v>5060</v>
      </c>
      <c r="B5121" s="138">
        <f>'Revenues 9-14'!C109</f>
        <v>20036400</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5034395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5034395</v>
      </c>
      <c r="C5132" s="2" t="s">
        <v>593</v>
      </c>
      <c r="D5132" s="2" t="str">
        <f t="shared" si="79"/>
        <v>Error?</v>
      </c>
    </row>
    <row r="5133" spans="1:4" x14ac:dyDescent="0.2">
      <c r="A5133" s="5">
        <v>5072</v>
      </c>
      <c r="B5133" s="138">
        <f>'Revenues 9-14'!C124</f>
        <v>509511</v>
      </c>
      <c r="D5133" s="2" t="str">
        <f t="shared" si="79"/>
        <v>Error?</v>
      </c>
    </row>
    <row r="5134" spans="1:4" x14ac:dyDescent="0.2">
      <c r="A5134" s="5">
        <v>5073</v>
      </c>
      <c r="B5134" s="138">
        <f>'Revenues 9-14'!C125</f>
        <v>169718</v>
      </c>
      <c r="D5134" s="2" t="str">
        <f t="shared" si="79"/>
        <v>Error?</v>
      </c>
    </row>
    <row r="5135" spans="1:4" x14ac:dyDescent="0.2">
      <c r="A5135" s="5">
        <v>5074</v>
      </c>
      <c r="B5135" s="138">
        <f>'Revenues 9-14'!C126</f>
        <v>97795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777024</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65106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66759</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1298</v>
      </c>
      <c r="D5167" s="2" t="str">
        <f t="shared" si="79"/>
        <v>Error?</v>
      </c>
    </row>
    <row r="5168" spans="1:4" x14ac:dyDescent="0.2">
      <c r="A5168" s="5">
        <v>5107</v>
      </c>
      <c r="B5168" s="138">
        <f>'Revenues 9-14'!C147</f>
        <v>101598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950350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5984745</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3969</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3969</v>
      </c>
      <c r="C5246" s="2" t="s">
        <v>593</v>
      </c>
      <c r="D5246" s="2" t="str">
        <f t="shared" si="80"/>
        <v>Error?</v>
      </c>
    </row>
    <row r="5247" spans="1:4" x14ac:dyDescent="0.2">
      <c r="A5247" s="5">
        <v>5186</v>
      </c>
      <c r="B5247" s="138">
        <f>'Revenues 9-14'!C203</f>
        <v>27695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27695</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122179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122179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157247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157247</v>
      </c>
      <c r="C5326" s="2" t="s">
        <v>593</v>
      </c>
      <c r="D5326" s="2" t="str">
        <f t="shared" si="82"/>
        <v>Error?</v>
      </c>
    </row>
    <row r="5327" spans="1:4" x14ac:dyDescent="0.2">
      <c r="A5327" s="5">
        <v>5266</v>
      </c>
      <c r="B5327" s="138">
        <f>'Revenues 9-14'!C275</f>
        <v>26178392</v>
      </c>
      <c r="C5327" s="2" t="s">
        <v>593</v>
      </c>
      <c r="D5327" s="2" t="str">
        <f t="shared" si="82"/>
        <v>Error?</v>
      </c>
    </row>
    <row r="5328" spans="1:4" x14ac:dyDescent="0.2">
      <c r="A5328" s="5">
        <v>5267</v>
      </c>
      <c r="B5328" s="138">
        <f>'Revenues 9-14'!D5</f>
        <v>3234232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3234232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165268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165268</v>
      </c>
      <c r="C5339" s="2" t="s">
        <v>593</v>
      </c>
      <c r="D5339" s="2" t="str">
        <f t="shared" si="82"/>
        <v>Error?</v>
      </c>
    </row>
    <row r="5340" spans="1:4" x14ac:dyDescent="0.2">
      <c r="A5340" s="5">
        <v>5279</v>
      </c>
      <c r="B5340" s="138">
        <f>'Revenues 9-14'!D65</f>
        <v>26150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26150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28518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46953</v>
      </c>
      <c r="D5354" s="2" t="str">
        <f t="shared" si="82"/>
        <v>Error?</v>
      </c>
    </row>
    <row r="5355" spans="1:4" x14ac:dyDescent="0.2">
      <c r="A5355" s="5">
        <v>5294</v>
      </c>
      <c r="B5355" s="138">
        <f>'Revenues 9-14'!D108</f>
        <v>205891</v>
      </c>
      <c r="C5355" s="2" t="s">
        <v>593</v>
      </c>
      <c r="D5355" s="2" t="str">
        <f t="shared" si="82"/>
        <v>Error?</v>
      </c>
    </row>
    <row r="5356" spans="1:4" x14ac:dyDescent="0.2">
      <c r="A5356" s="5">
        <v>5295</v>
      </c>
      <c r="B5356" s="138">
        <f>'Revenues 9-14'!D109</f>
        <v>3631541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3631541</v>
      </c>
      <c r="C5508" s="2" t="s">
        <v>593</v>
      </c>
      <c r="D5508" s="2" t="str">
        <f t="shared" si="85"/>
        <v>Error?</v>
      </c>
    </row>
    <row r="5509" spans="1:4" x14ac:dyDescent="0.2">
      <c r="A5509" s="5">
        <v>5448</v>
      </c>
      <c r="B5509" s="138">
        <f>'Revenues 9-14'!E5</f>
        <v>9179947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9179947</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89790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89790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22424</v>
      </c>
      <c r="D5525" s="2" t="str">
        <f t="shared" si="85"/>
        <v>Error?</v>
      </c>
    </row>
    <row r="5526" spans="1:4" x14ac:dyDescent="0.2">
      <c r="A5526" s="5">
        <v>5465</v>
      </c>
      <c r="B5526" s="138">
        <f>'Revenues 9-14'!E108</f>
        <v>399385</v>
      </c>
      <c r="C5526" s="2" t="s">
        <v>593</v>
      </c>
      <c r="D5526" s="2" t="str">
        <f t="shared" si="85"/>
        <v>Error?</v>
      </c>
    </row>
    <row r="5527" spans="1:4" x14ac:dyDescent="0.2">
      <c r="A5527" s="5">
        <v>5466</v>
      </c>
      <c r="B5527" s="138">
        <f>'Revenues 9-14'!E109</f>
        <v>9669122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9669122</v>
      </c>
      <c r="C5552" s="2" t="s">
        <v>593</v>
      </c>
      <c r="D5552" s="2" t="str">
        <f t="shared" si="85"/>
        <v>Error?</v>
      </c>
    </row>
    <row r="5553" spans="1:4" x14ac:dyDescent="0.2">
      <c r="A5553" s="5">
        <v>5492</v>
      </c>
      <c r="B5553" s="138">
        <f>'Revenues 9-14'!F5</f>
        <v>1552751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1552751</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12111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12111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12045</v>
      </c>
      <c r="D5585" s="2" t="str">
        <f t="shared" si="86"/>
        <v>Error?</v>
      </c>
    </row>
    <row r="5586" spans="1:4" x14ac:dyDescent="0.2">
      <c r="A5586" s="5">
        <v>5525</v>
      </c>
      <c r="B5586" s="138">
        <f>'Revenues 9-14'!F107</f>
        <v>23004</v>
      </c>
      <c r="D5586" s="2" t="str">
        <f t="shared" si="86"/>
        <v>Error?</v>
      </c>
    </row>
    <row r="5587" spans="1:4" x14ac:dyDescent="0.2">
      <c r="A5587" s="5">
        <v>5526</v>
      </c>
      <c r="B5587" s="138">
        <f>'Revenues 9-14'!F108</f>
        <v>97651</v>
      </c>
      <c r="C5587" s="2" t="s">
        <v>593</v>
      </c>
      <c r="D5587" s="2" t="str">
        <f t="shared" si="86"/>
        <v>Error?</v>
      </c>
    </row>
    <row r="5588" spans="1:4" x14ac:dyDescent="0.2">
      <c r="A5588" s="5">
        <v>5527</v>
      </c>
      <c r="B5588" s="138">
        <f>'Revenues 9-14'!F109</f>
        <v>1662513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398017</v>
      </c>
      <c r="D5615" s="2" t="str">
        <f t="shared" si="86"/>
        <v>Error?</v>
      </c>
    </row>
    <row r="5616" spans="1:4" x14ac:dyDescent="0.2">
      <c r="A5616" s="10">
        <v>5555</v>
      </c>
      <c r="D5616" s="2" t="str">
        <f t="shared" si="86"/>
        <v>OK</v>
      </c>
    </row>
    <row r="5617" spans="1:4" x14ac:dyDescent="0.2">
      <c r="A5617" s="5">
        <v>5556</v>
      </c>
      <c r="B5617" s="138">
        <f>'Revenues 9-14'!F152</f>
        <v>924610</v>
      </c>
      <c r="D5617" s="2" t="str">
        <f t="shared" si="86"/>
        <v>Error?</v>
      </c>
    </row>
    <row r="5618" spans="1:4" x14ac:dyDescent="0.2">
      <c r="A5618" s="5">
        <v>5557</v>
      </c>
      <c r="B5618" s="138">
        <f>'Revenues 9-14'!F154</f>
        <v>1322627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1322627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1322627</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2985140</v>
      </c>
      <c r="C5720" s="2" t="s">
        <v>593</v>
      </c>
      <c r="D5720" s="2" t="str">
        <f t="shared" si="88"/>
        <v>Error?</v>
      </c>
    </row>
    <row r="5721" spans="1:4" x14ac:dyDescent="0.2">
      <c r="A5721" s="5">
        <v>5660</v>
      </c>
      <c r="B5721" s="138">
        <f>'Revenues 9-14'!G5</f>
        <v>386722</v>
      </c>
      <c r="D5721" s="2" t="str">
        <f t="shared" si="88"/>
        <v>Error?</v>
      </c>
    </row>
    <row r="5722" spans="1:4" x14ac:dyDescent="0.2">
      <c r="A5722" s="5">
        <v>5661</v>
      </c>
      <c r="B5722" s="138">
        <f>'Revenues 9-14'!G7</f>
        <v>0</v>
      </c>
      <c r="D5722" s="2" t="str">
        <f t="shared" si="88"/>
        <v>Error?</v>
      </c>
    </row>
    <row r="5723" spans="1:4" x14ac:dyDescent="0.2">
      <c r="A5723" s="5">
        <v>5662</v>
      </c>
      <c r="B5723" s="138">
        <f>'Revenues 9-14'!G8</f>
        <v>489151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875873</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82634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82634</v>
      </c>
      <c r="C5730" s="2" t="s">
        <v>593</v>
      </c>
      <c r="D5730" s="2" t="str">
        <f t="shared" si="88"/>
        <v>Error?</v>
      </c>
    </row>
    <row r="5731" spans="1:4" x14ac:dyDescent="0.2">
      <c r="A5731" s="5">
        <v>5670</v>
      </c>
      <c r="B5731" s="138">
        <f>'Revenues 9-14'!G65</f>
        <v>9416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9416</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35981</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1003904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22721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22721</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200505</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223226</v>
      </c>
      <c r="C5915" s="2" t="s">
        <v>593</v>
      </c>
      <c r="D5915" s="2" t="str">
        <f t="shared" si="91"/>
        <v>Error?</v>
      </c>
    </row>
    <row r="5916" spans="1:4" x14ac:dyDescent="0.2">
      <c r="A5916" s="5">
        <v>5855</v>
      </c>
      <c r="B5916" s="138">
        <f>'Revenues 9-14'!I5</f>
        <v>647202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647202</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182735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182735</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26084</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856021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647202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647202</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6398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6398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26084</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679684</v>
      </c>
      <c r="C6023" s="2" t="s">
        <v>593</v>
      </c>
      <c r="D6023" s="2" t="str">
        <f t="shared" si="93"/>
        <v>Error?</v>
      </c>
    </row>
    <row r="6024" spans="1:5" x14ac:dyDescent="0.2">
      <c r="A6024" s="5">
        <v>5963</v>
      </c>
      <c r="B6024" s="138">
        <f>'Revenues 9-14'!G109</f>
        <v>1003904</v>
      </c>
      <c r="C6024" s="2" t="s">
        <v>593</v>
      </c>
      <c r="D6024" s="2" t="str">
        <f t="shared" si="93"/>
        <v>Error?</v>
      </c>
    </row>
    <row r="6025" spans="1:5" x14ac:dyDescent="0.2">
      <c r="A6025" s="5">
        <v>5964</v>
      </c>
      <c r="B6025" s="138">
        <f>'Revenues 9-14'!H109</f>
        <v>223226</v>
      </c>
      <c r="C6025" s="2" t="s">
        <v>593</v>
      </c>
      <c r="D6025" s="2" t="str">
        <f t="shared" si="93"/>
        <v>Error?</v>
      </c>
    </row>
    <row r="6026" spans="1:5" x14ac:dyDescent="0.2">
      <c r="A6026" s="5">
        <v>5965</v>
      </c>
      <c r="B6026" s="138">
        <f>'Revenues 9-14'!I109</f>
        <v>856021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679684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966168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2618.94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2052088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2052088</v>
      </c>
      <c r="D6215" s="2" t="str">
        <f t="shared" si="96"/>
        <v>Error?</v>
      </c>
      <c r="E6215" s="2" t="s">
        <v>199</v>
      </c>
    </row>
    <row r="6216" spans="1:5" x14ac:dyDescent="0.2">
      <c r="A6216">
        <v>6155</v>
      </c>
      <c r="B6216" s="138">
        <f>'Assets-Liab 5-6'!J41</f>
        <v>2052088</v>
      </c>
      <c r="D6216" s="2" t="str">
        <f t="shared" si="96"/>
        <v>Error?</v>
      </c>
      <c r="E6216" s="2" t="s">
        <v>199</v>
      </c>
    </row>
    <row r="6217" spans="1:5" x14ac:dyDescent="0.2">
      <c r="A6217">
        <v>6156</v>
      </c>
      <c r="B6217" s="138">
        <f>'Assets-Liab 5-6'!J4</f>
        <v>158207</v>
      </c>
      <c r="D6217" s="2" t="str">
        <f t="shared" si="96"/>
        <v>Error?</v>
      </c>
      <c r="E6217" s="2" t="s">
        <v>199</v>
      </c>
    </row>
    <row r="6218" spans="1:5" x14ac:dyDescent="0.2">
      <c r="A6218">
        <v>6157</v>
      </c>
      <c r="B6218" s="138">
        <f>'Assets-Liab 5-6'!J5</f>
        <v>1893881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1296778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1296778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1296778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850482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850482</v>
      </c>
      <c r="D6229" s="2" t="str">
        <f t="shared" si="96"/>
        <v>Error?</v>
      </c>
      <c r="E6229" s="2" t="s">
        <v>199</v>
      </c>
    </row>
    <row r="6230" spans="1:5" x14ac:dyDescent="0.2">
      <c r="A6230">
        <v>6169</v>
      </c>
      <c r="B6230" s="138">
        <f>'Acct Summary 7-8'!J20</f>
        <v>446296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446296</v>
      </c>
      <c r="D6263" s="2" t="str">
        <f t="shared" si="96"/>
        <v>Error?</v>
      </c>
      <c r="E6263" s="2" t="s">
        <v>199</v>
      </c>
    </row>
    <row r="6264" spans="1:5" x14ac:dyDescent="0.2">
      <c r="A6264">
        <v>6203</v>
      </c>
      <c r="B6264" s="138">
        <f>'Acct Summary 7-8'!J79</f>
        <v>1605792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2052088</v>
      </c>
      <c r="D6266" s="2" t="str">
        <f t="shared" si="96"/>
        <v>Error?</v>
      </c>
      <c r="E6266" s="2" t="s">
        <v>199</v>
      </c>
    </row>
    <row r="6267" spans="1:5" x14ac:dyDescent="0.2">
      <c r="A6267">
        <v>6206</v>
      </c>
      <c r="B6267" s="138">
        <f>'Acct Summary 7-8'!C82</f>
        <v>577096</v>
      </c>
      <c r="D6267" s="2" t="str">
        <f t="shared" si="96"/>
        <v>Error?</v>
      </c>
      <c r="E6267" s="2" t="s">
        <v>199</v>
      </c>
    </row>
    <row r="6268" spans="1:5" x14ac:dyDescent="0.2">
      <c r="A6268">
        <v>6207</v>
      </c>
      <c r="B6268" s="138">
        <f>'Acct Summary 7-8'!D82</f>
        <v>224885</v>
      </c>
      <c r="D6268" s="2" t="str">
        <f t="shared" si="96"/>
        <v>Error?</v>
      </c>
      <c r="E6268" s="2" t="s">
        <v>199</v>
      </c>
    </row>
    <row r="6269" spans="1:5" x14ac:dyDescent="0.2">
      <c r="A6269">
        <v>6208</v>
      </c>
      <c r="B6269" s="138">
        <f>'Acct Summary 7-8'!E82</f>
        <v>756977</v>
      </c>
      <c r="D6269" s="2" t="str">
        <f t="shared" si="96"/>
        <v>Error?</v>
      </c>
      <c r="E6269" s="2" t="s">
        <v>199</v>
      </c>
    </row>
    <row r="6270" spans="1:5" x14ac:dyDescent="0.2">
      <c r="A6270">
        <v>6209</v>
      </c>
      <c r="B6270" s="138">
        <f>'Acct Summary 7-8'!F82</f>
        <v>595676</v>
      </c>
      <c r="D6270" s="2" t="str">
        <f t="shared" si="96"/>
        <v>Error?</v>
      </c>
      <c r="E6270" s="2" t="s">
        <v>199</v>
      </c>
    </row>
    <row r="6271" spans="1:5" x14ac:dyDescent="0.2">
      <c r="A6271">
        <v>6210</v>
      </c>
      <c r="B6271" s="138">
        <f>'Acct Summary 7-8'!G82</f>
        <v>120286</v>
      </c>
      <c r="D6271" s="2" t="str">
        <f t="shared" ref="D6271:D6334" si="97">IF(ISBLANK(B6271),"OK",IF(A6271-B6271=0,"OK","Error?"))</f>
        <v>Error?</v>
      </c>
      <c r="E6271" s="2" t="s">
        <v>199</v>
      </c>
    </row>
    <row r="6272" spans="1:5" x14ac:dyDescent="0.2">
      <c r="A6272">
        <v>6211</v>
      </c>
      <c r="B6272" s="138">
        <f>'Acct Summary 7-8'!H82</f>
        <v>-106032</v>
      </c>
      <c r="D6272" s="2" t="str">
        <f t="shared" si="97"/>
        <v>Error?</v>
      </c>
      <c r="E6272" s="2" t="s">
        <v>199</v>
      </c>
    </row>
    <row r="6273" spans="1:5" x14ac:dyDescent="0.2">
      <c r="A6273">
        <v>6212</v>
      </c>
      <c r="B6273" s="138">
        <f>'Acct Summary 7-8'!I82</f>
        <v>-143979</v>
      </c>
      <c r="D6273" s="2" t="str">
        <f t="shared" si="97"/>
        <v>Error?</v>
      </c>
      <c r="E6273" s="2" t="s">
        <v>199</v>
      </c>
    </row>
    <row r="6274" spans="1:5" x14ac:dyDescent="0.2">
      <c r="A6274">
        <v>6213</v>
      </c>
      <c r="B6274" s="138">
        <f>'Acct Summary 7-8'!J82</f>
        <v>446296</v>
      </c>
      <c r="D6274" s="2" t="str">
        <f t="shared" si="97"/>
        <v>Error?</v>
      </c>
      <c r="E6274" s="2" t="s">
        <v>199</v>
      </c>
    </row>
    <row r="6275" spans="1:5" x14ac:dyDescent="0.2">
      <c r="A6275">
        <v>6214</v>
      </c>
      <c r="B6275" s="138">
        <f>'Acct Summary 7-8'!K82</f>
        <v>675819</v>
      </c>
      <c r="D6275" s="2" t="str">
        <f t="shared" si="97"/>
        <v>Error?</v>
      </c>
      <c r="E6275" s="2" t="s">
        <v>199</v>
      </c>
    </row>
    <row r="6276" spans="1:5" x14ac:dyDescent="0.2">
      <c r="A6276">
        <v>6215</v>
      </c>
      <c r="B6276" s="138">
        <f>'Acct Summary 7-8'!C83</f>
        <v>6.6054828291166573E-2</v>
      </c>
      <c r="D6276" s="2" t="str">
        <f t="shared" si="97"/>
        <v>Error?</v>
      </c>
      <c r="E6276" s="2" t="s">
        <v>199</v>
      </c>
    </row>
    <row r="6277" spans="1:5" x14ac:dyDescent="0.2">
      <c r="A6277">
        <v>6216</v>
      </c>
      <c r="B6277" s="138">
        <f>'Acct Summary 7-8'!D83</f>
        <v>6.7871923867309836E-2</v>
      </c>
      <c r="D6277" s="2" t="str">
        <f t="shared" si="97"/>
        <v>Error?</v>
      </c>
      <c r="E6277" s="2" t="s">
        <v>199</v>
      </c>
    </row>
    <row r="6278" spans="1:5" x14ac:dyDescent="0.2">
      <c r="A6278">
        <v>6217</v>
      </c>
      <c r="B6278" s="138">
        <f>'Acct Summary 7-8'!E83</f>
        <v>0.15460462087834431</v>
      </c>
      <c r="D6278" s="2" t="str">
        <f t="shared" si="97"/>
        <v>Error?</v>
      </c>
      <c r="E6278" s="2" t="s">
        <v>199</v>
      </c>
    </row>
    <row r="6279" spans="1:5" x14ac:dyDescent="0.2">
      <c r="A6279">
        <v>6218</v>
      </c>
      <c r="B6279" s="138">
        <f>'Acct Summary 7-8'!F83</f>
        <v>0.24083617224462534</v>
      </c>
      <c r="D6279" s="2" t="str">
        <f t="shared" si="97"/>
        <v>Error?</v>
      </c>
      <c r="E6279" s="2" t="s">
        <v>199</v>
      </c>
    </row>
    <row r="6280" spans="1:5" x14ac:dyDescent="0.2">
      <c r="A6280">
        <v>6219</v>
      </c>
      <c r="B6280" s="138">
        <f>'Acct Summary 7-8'!G83</f>
        <v>0.33290988245778635</v>
      </c>
      <c r="D6280" s="2" t="str">
        <f t="shared" si="97"/>
        <v>Error?</v>
      </c>
      <c r="E6280" s="2" t="s">
        <v>199</v>
      </c>
    </row>
    <row r="6281" spans="1:5" x14ac:dyDescent="0.2">
      <c r="A6281">
        <v>6220</v>
      </c>
      <c r="B6281" s="138">
        <f>'Acct Summary 7-8'!H83</f>
        <v>-7.5835078444162179E-2</v>
      </c>
      <c r="D6281" s="2" t="str">
        <f t="shared" si="97"/>
        <v>Error?</v>
      </c>
      <c r="E6281" s="2" t="s">
        <v>199</v>
      </c>
    </row>
    <row r="6282" spans="1:5" x14ac:dyDescent="0.2">
      <c r="A6282">
        <v>6221</v>
      </c>
      <c r="B6282" s="138">
        <f>'Acct Summary 7-8'!I83</f>
        <v>-1.1000198338055449E-2</v>
      </c>
      <c r="D6282" s="2" t="str">
        <f t="shared" si="97"/>
        <v>Error?</v>
      </c>
      <c r="E6282" s="2" t="s">
        <v>199</v>
      </c>
    </row>
    <row r="6283" spans="1:5" x14ac:dyDescent="0.2">
      <c r="A6283">
        <v>6222</v>
      </c>
      <c r="B6283" s="138">
        <f>'Acct Summary 7-8'!J83</f>
        <v>0.2174838505951012</v>
      </c>
      <c r="D6283" s="2" t="str">
        <f t="shared" si="97"/>
        <v>Error?</v>
      </c>
      <c r="E6283" s="2" t="s">
        <v>199</v>
      </c>
    </row>
    <row r="6284" spans="1:5" x14ac:dyDescent="0.2">
      <c r="A6284">
        <v>6223</v>
      </c>
      <c r="B6284" s="138">
        <f>'Acct Summary 7-8'!K83</f>
        <v>0.71791845618940275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1235839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1235839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10153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10153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200505</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672968</v>
      </c>
      <c r="D6330" s="2" t="str">
        <f t="shared" si="97"/>
        <v>Error?</v>
      </c>
      <c r="E6330" s="2" t="s">
        <v>199</v>
      </c>
    </row>
    <row r="6331" spans="1:5" x14ac:dyDescent="0.2">
      <c r="A6331">
        <v>6270</v>
      </c>
      <c r="B6331" s="138">
        <f>'Revenues 9-14'!D100</f>
        <v>130420</v>
      </c>
      <c r="D6331" s="2" t="str">
        <f t="shared" si="97"/>
        <v>Error?</v>
      </c>
      <c r="E6331" s="2" t="s">
        <v>199</v>
      </c>
    </row>
    <row r="6332" spans="1:5" x14ac:dyDescent="0.2">
      <c r="A6332">
        <v>6271</v>
      </c>
      <c r="B6332" s="138">
        <f>'Revenues 9-14'!E100</f>
        <v>376961</v>
      </c>
      <c r="D6332" s="2" t="str">
        <f t="shared" si="97"/>
        <v>Error?</v>
      </c>
      <c r="E6332" s="2" t="s">
        <v>199</v>
      </c>
    </row>
    <row r="6333" spans="1:5" x14ac:dyDescent="0.2">
      <c r="A6333">
        <v>6272</v>
      </c>
      <c r="B6333" s="138">
        <f>'Revenues 9-14'!F100</f>
        <v>62602</v>
      </c>
      <c r="D6333" s="2" t="str">
        <f t="shared" si="97"/>
        <v>Error?</v>
      </c>
      <c r="E6333" s="2" t="s">
        <v>199</v>
      </c>
    </row>
    <row r="6334" spans="1:5" x14ac:dyDescent="0.2">
      <c r="A6334">
        <v>6273</v>
      </c>
      <c r="B6334" s="138">
        <f>'Revenues 9-14'!G100</f>
        <v>35981</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26084</v>
      </c>
      <c r="D6336" s="2" t="str">
        <f t="shared" si="98"/>
        <v>Error?</v>
      </c>
      <c r="E6336" s="2" t="s">
        <v>199</v>
      </c>
    </row>
    <row r="6337" spans="1:5" x14ac:dyDescent="0.2">
      <c r="A6337">
        <v>6276</v>
      </c>
      <c r="B6337" s="138">
        <f>'Revenues 9-14'!J100</f>
        <v>50786</v>
      </c>
      <c r="D6337" s="2" t="str">
        <f t="shared" si="98"/>
        <v>Error?</v>
      </c>
      <c r="E6337" s="2" t="s">
        <v>199</v>
      </c>
    </row>
    <row r="6338" spans="1:5" x14ac:dyDescent="0.2">
      <c r="A6338">
        <v>6277</v>
      </c>
      <c r="B6338" s="138">
        <f>'Revenues 9-14'!K100</f>
        <v>26084</v>
      </c>
      <c r="D6338" s="2" t="str">
        <f t="shared" si="98"/>
        <v>Error?</v>
      </c>
      <c r="E6338" s="2" t="s">
        <v>199</v>
      </c>
    </row>
    <row r="6339" spans="1:5" x14ac:dyDescent="0.2">
      <c r="A6339">
        <v>6278</v>
      </c>
      <c r="B6339" s="138">
        <f>'Revenues 9-14'!C101</f>
        <v>64134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50786</v>
      </c>
      <c r="D6351" s="2" t="str">
        <f t="shared" si="98"/>
        <v>Error?</v>
      </c>
      <c r="E6351" s="2" t="s">
        <v>199</v>
      </c>
    </row>
    <row r="6352" spans="1:5" x14ac:dyDescent="0.2">
      <c r="A6352">
        <v>6291</v>
      </c>
      <c r="B6352" s="138">
        <f>'Revenues 9-14'!J109</f>
        <v>1296778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1653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772798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921012</v>
      </c>
      <c r="D6880" s="2" t="str">
        <f t="shared" si="106"/>
        <v>Error?</v>
      </c>
    </row>
    <row r="6881" spans="1:4" x14ac:dyDescent="0.2">
      <c r="A6881">
        <v>6820</v>
      </c>
      <c r="B6881" s="138">
        <f>'Expenditures 15-22'!K22</f>
        <v>921012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16114</v>
      </c>
      <c r="D6981" s="2" t="str">
        <f t="shared" si="108"/>
        <v>Error?</v>
      </c>
    </row>
    <row r="6982" spans="1:4" x14ac:dyDescent="0.2">
      <c r="A6982">
        <v>6921</v>
      </c>
      <c r="B6982" s="138">
        <f>'Expenditures 15-22'!K85</f>
        <v>16114</v>
      </c>
      <c r="D6982" s="2" t="str">
        <f t="shared" si="108"/>
        <v>Error?</v>
      </c>
    </row>
    <row r="6983" spans="1:4" x14ac:dyDescent="0.2">
      <c r="A6983">
        <v>6922</v>
      </c>
      <c r="B6983" s="138">
        <f>'Expenditures 15-22'!H86</f>
        <v>1297139</v>
      </c>
      <c r="D6983" s="2" t="str">
        <f t="shared" si="108"/>
        <v>Error?</v>
      </c>
    </row>
    <row r="6984" spans="1:4" x14ac:dyDescent="0.2">
      <c r="A6984">
        <v>6923</v>
      </c>
      <c r="B6984" s="138">
        <f>'Expenditures 15-22'!K86</f>
        <v>1297139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1313253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850482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1296778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132204</v>
      </c>
      <c r="D7073" s="2" t="str">
        <f t="shared" si="109"/>
        <v>Error?</v>
      </c>
    </row>
    <row r="7074" spans="1:4" x14ac:dyDescent="0.2">
      <c r="A7074">
        <v>7013</v>
      </c>
      <c r="B7074" s="138">
        <f>'Expenditures 15-22'!K216</f>
        <v>132204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8348</v>
      </c>
      <c r="D7079" s="2" t="str">
        <f t="shared" si="109"/>
        <v>Error?</v>
      </c>
    </row>
    <row r="7080" spans="1:4" x14ac:dyDescent="0.2">
      <c r="A7080">
        <v>7019</v>
      </c>
      <c r="B7080" s="138">
        <f>'Expenditures 15-22'!K226</f>
        <v>8348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37360</v>
      </c>
      <c r="D7093" s="2" t="str">
        <f t="shared" si="109"/>
        <v>Error?</v>
      </c>
    </row>
    <row r="7094" spans="1:4" x14ac:dyDescent="0.2">
      <c r="A7094">
        <v>7033</v>
      </c>
      <c r="B7094" s="138">
        <f>'Expenditures 15-22'!K254</f>
        <v>37360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145614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145614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161264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161264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182757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182757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252093</v>
      </c>
      <c r="D7172" s="2" t="str">
        <f t="shared" si="111"/>
        <v>Error?</v>
      </c>
    </row>
    <row r="7173" spans="1:4" x14ac:dyDescent="0.2">
      <c r="A7173">
        <v>7112</v>
      </c>
      <c r="B7173" s="138">
        <f>'Expenditures 15-22'!D325</f>
        <v>42169</v>
      </c>
      <c r="D7173" s="2" t="str">
        <f t="shared" si="111"/>
        <v>Error?</v>
      </c>
    </row>
    <row r="7174" spans="1:4" x14ac:dyDescent="0.2">
      <c r="A7174">
        <v>7113</v>
      </c>
      <c r="B7174" s="138">
        <f>'Expenditures 15-22'!E325</f>
        <v>6890</v>
      </c>
      <c r="D7174" s="2" t="str">
        <f t="shared" si="111"/>
        <v>Error?</v>
      </c>
    </row>
    <row r="7175" spans="1:4" x14ac:dyDescent="0.2">
      <c r="A7175">
        <v>7114</v>
      </c>
      <c r="B7175" s="138">
        <f>'Expenditures 15-22'!F325</f>
        <v>2952</v>
      </c>
      <c r="D7175" s="2" t="str">
        <f t="shared" si="111"/>
        <v>Error?</v>
      </c>
    </row>
    <row r="7176" spans="1:4" x14ac:dyDescent="0.2">
      <c r="A7176">
        <v>7115</v>
      </c>
      <c r="B7176" s="138">
        <f>'Expenditures 15-22'!G325</f>
        <v>1167</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305271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55576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55576</v>
      </c>
      <c r="D7198" s="2" t="str">
        <f t="shared" si="111"/>
        <v>Error?</v>
      </c>
    </row>
    <row r="7199" spans="1:4" x14ac:dyDescent="0.2">
      <c r="A7199">
        <v>7138</v>
      </c>
      <c r="B7199" s="138">
        <f>'Expenditures 15-22'!C330</f>
        <v>252093</v>
      </c>
      <c r="D7199" s="2" t="str">
        <f t="shared" si="111"/>
        <v>Error?</v>
      </c>
    </row>
    <row r="7200" spans="1:4" x14ac:dyDescent="0.2">
      <c r="A7200">
        <v>7139</v>
      </c>
      <c r="B7200" s="138">
        <f>'Expenditures 15-22'!D330</f>
        <v>42169</v>
      </c>
      <c r="D7200" s="2" t="str">
        <f t="shared" si="111"/>
        <v>Error?</v>
      </c>
    </row>
    <row r="7201" spans="1:4" x14ac:dyDescent="0.2">
      <c r="A7201">
        <v>7140</v>
      </c>
      <c r="B7201" s="138">
        <f>'Expenditures 15-22'!E330</f>
        <v>552101</v>
      </c>
      <c r="D7201" s="2" t="str">
        <f t="shared" si="111"/>
        <v>Error?</v>
      </c>
    </row>
    <row r="7202" spans="1:4" x14ac:dyDescent="0.2">
      <c r="A7202">
        <v>7141</v>
      </c>
      <c r="B7202" s="138">
        <f>'Expenditures 15-22'!F330</f>
        <v>2952</v>
      </c>
      <c r="D7202" s="2" t="str">
        <f t="shared" si="111"/>
        <v>Error?</v>
      </c>
    </row>
    <row r="7203" spans="1:4" x14ac:dyDescent="0.2">
      <c r="A7203">
        <v>7142</v>
      </c>
      <c r="B7203" s="138">
        <f>'Expenditures 15-22'!G330</f>
        <v>1167</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850482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252093</v>
      </c>
      <c r="D7216" s="2" t="str">
        <f t="shared" si="111"/>
        <v>Error?</v>
      </c>
    </row>
    <row r="7217" spans="1:4" x14ac:dyDescent="0.2">
      <c r="A7217">
        <v>7156</v>
      </c>
      <c r="B7217" s="138">
        <f>'Expenditures 15-22'!D342</f>
        <v>42169</v>
      </c>
      <c r="D7217" s="2" t="str">
        <f t="shared" si="111"/>
        <v>Error?</v>
      </c>
    </row>
    <row r="7218" spans="1:4" x14ac:dyDescent="0.2">
      <c r="A7218">
        <v>7157</v>
      </c>
      <c r="B7218" s="138">
        <f>'Expenditures 15-22'!E342</f>
        <v>552101</v>
      </c>
      <c r="D7218" s="2" t="str">
        <f t="shared" si="111"/>
        <v>Error?</v>
      </c>
    </row>
    <row r="7219" spans="1:4" x14ac:dyDescent="0.2">
      <c r="A7219">
        <v>7158</v>
      </c>
      <c r="B7219" s="138">
        <f>'Expenditures 15-22'!F342</f>
        <v>2952</v>
      </c>
      <c r="D7219" s="2" t="str">
        <f t="shared" si="111"/>
        <v>Error?</v>
      </c>
    </row>
    <row r="7220" spans="1:4" x14ac:dyDescent="0.2">
      <c r="A7220">
        <v>7159</v>
      </c>
      <c r="B7220" s="138">
        <f>'Expenditures 15-22'!G342</f>
        <v>1167</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850482</v>
      </c>
      <c r="D7224" s="2" t="str">
        <f t="shared" si="111"/>
        <v>Error?</v>
      </c>
    </row>
    <row r="7225" spans="1:4" x14ac:dyDescent="0.2">
      <c r="A7225">
        <v>7164</v>
      </c>
      <c r="B7225" s="138">
        <f>'Expenditures 15-22'!K343</f>
        <v>446296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596817</v>
      </c>
      <c r="D7263" s="2" t="str">
        <f t="shared" si="112"/>
        <v>Error?</v>
      </c>
    </row>
    <row r="7264" spans="1:4" x14ac:dyDescent="0.2">
      <c r="A7264">
        <f t="shared" si="113"/>
        <v>7203</v>
      </c>
      <c r="B7264" s="138">
        <f>'Expenditures 15-22'!D17</f>
        <v>164555</v>
      </c>
      <c r="D7264" s="2" t="str">
        <f t="shared" si="112"/>
        <v>Error?</v>
      </c>
    </row>
    <row r="7265" spans="1:5" x14ac:dyDescent="0.2">
      <c r="A7265">
        <f t="shared" si="113"/>
        <v>7204</v>
      </c>
      <c r="B7265" s="138">
        <f>'Expenditures 15-22'!E17</f>
        <v>390</v>
      </c>
      <c r="D7265" s="2" t="str">
        <f t="shared" si="112"/>
        <v>Error?</v>
      </c>
    </row>
    <row r="7266" spans="1:5" x14ac:dyDescent="0.2">
      <c r="A7266">
        <f t="shared" si="113"/>
        <v>7205</v>
      </c>
      <c r="B7266" s="138">
        <f>'Expenditures 15-22'!F17</f>
        <v>11036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5855792</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5855792</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5855792</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64134</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101598</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165732</v>
      </c>
      <c r="D7719" s="2" t="str">
        <f t="shared" si="126"/>
        <v>Error?</v>
      </c>
      <c r="E7719" s="2" t="s">
        <v>880</v>
      </c>
    </row>
    <row r="7720" spans="1:6" x14ac:dyDescent="0.2">
      <c r="A7720">
        <v>7659</v>
      </c>
      <c r="B7720" s="138">
        <f>'Rest Tax Levies-Tort Im 25'!H14</f>
        <v>258790</v>
      </c>
      <c r="D7720" s="2" t="str">
        <f t="shared" si="126"/>
        <v>Error?</v>
      </c>
      <c r="E7720" s="2" t="s">
        <v>880</v>
      </c>
    </row>
    <row r="7721" spans="1:6" x14ac:dyDescent="0.2">
      <c r="A7721">
        <v>7660</v>
      </c>
      <c r="B7721" s="138">
        <f>'Rest Tax Levies-Tort Im 25'!K14</f>
        <v>165732</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650000</v>
      </c>
      <c r="D7748" s="2" t="str">
        <f t="shared" si="127"/>
        <v>Error?</v>
      </c>
      <c r="E7748" s="4" t="s">
        <v>1399</v>
      </c>
    </row>
    <row r="7749" spans="1:6" x14ac:dyDescent="0.2">
      <c r="A7749">
        <v>7688</v>
      </c>
      <c r="B7749" s="138">
        <f>'Acct Summary 7-8'!D25</f>
        <v>350000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1764183</v>
      </c>
      <c r="D7797" s="2" t="str">
        <f t="shared" si="127"/>
        <v>Error?</v>
      </c>
      <c r="E7797" s="4" t="s">
        <v>2018</v>
      </c>
    </row>
    <row r="7798" spans="1:5" x14ac:dyDescent="0.2">
      <c r="A7798">
        <v>7737</v>
      </c>
      <c r="B7798" s="138">
        <f>'Contracts Paid in CY 29'!F141</f>
        <v>189632</v>
      </c>
      <c r="D7798" s="2" t="str">
        <f t="shared" si="127"/>
        <v>Error?</v>
      </c>
      <c r="E7798" s="4" t="s">
        <v>2018</v>
      </c>
    </row>
    <row r="7799" spans="1:5" x14ac:dyDescent="0.2">
      <c r="A7799">
        <v>7738</v>
      </c>
      <c r="B7799" s="138">
        <f>'Contracts Paid in CY 29'!G141</f>
        <v>1574551</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1252</v>
      </c>
      <c r="B2" s="2421"/>
      <c r="C2" s="2421"/>
      <c r="D2" s="2421"/>
      <c r="E2" s="2421"/>
      <c r="F2" s="2421"/>
      <c r="G2" s="2421"/>
      <c r="H2" s="2421"/>
      <c r="I2" s="2421"/>
      <c r="J2" s="2421"/>
      <c r="K2" s="2421"/>
      <c r="L2" s="2421"/>
    </row>
    <row r="3" spans="1:29" ht="13.5" customHeight="1" x14ac:dyDescent="0.2">
      <c r="A3" s="2407" t="s">
        <v>1251</v>
      </c>
      <c r="B3" s="2407"/>
      <c r="C3" s="2407"/>
      <c r="D3" s="2407"/>
      <c r="E3" s="2407"/>
      <c r="F3" s="2407"/>
      <c r="G3" s="2407"/>
      <c r="H3" s="2407"/>
      <c r="I3" s="2407"/>
      <c r="J3" s="2407"/>
      <c r="K3" s="2407"/>
      <c r="L3" s="2407"/>
    </row>
    <row r="4" spans="1:29" ht="13.5" customHeight="1" x14ac:dyDescent="0.2">
      <c r="A4" s="2421" t="s">
        <v>1798</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1" t="str">
        <f>COVER!A17</f>
        <v>Minooka CHSD 111</v>
      </c>
      <c r="B7" s="2402"/>
      <c r="C7" s="2402"/>
      <c r="D7" s="2439"/>
      <c r="E7" s="2440">
        <f>COVER!A13</f>
        <v>24032111016</v>
      </c>
      <c r="F7" s="2441"/>
      <c r="G7" s="2408" t="str">
        <f>COVER!T23</f>
        <v>066-005100</v>
      </c>
      <c r="H7" s="2409"/>
      <c r="I7" s="2409"/>
      <c r="J7" s="2409"/>
      <c r="K7" s="2409"/>
      <c r="L7" s="2410"/>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1"/>
      <c r="B9" s="2412"/>
      <c r="C9" s="2412"/>
      <c r="D9" s="2412"/>
      <c r="E9" s="2412"/>
      <c r="F9" s="2413"/>
      <c r="G9" s="2414" t="str">
        <f>COVER!T13</f>
        <v>Mack &amp; Associates, P.C.</v>
      </c>
      <c r="H9" s="2415"/>
      <c r="I9" s="2415"/>
      <c r="J9" s="2415"/>
      <c r="K9" s="2415"/>
      <c r="L9" s="2416"/>
    </row>
    <row r="10" spans="1:29" ht="13.5" customHeight="1" x14ac:dyDescent="0.2">
      <c r="A10" s="2398" t="str">
        <f>COVER!A38</f>
        <v>Kenneth Lee</v>
      </c>
      <c r="B10" s="2399"/>
      <c r="C10" s="2399"/>
      <c r="D10" s="2399"/>
      <c r="E10" s="2399"/>
      <c r="F10" s="2400"/>
      <c r="G10" s="2414" t="str">
        <f>COVER!T17</f>
        <v>116 E. Washington Street, Suite One</v>
      </c>
      <c r="H10" s="2427"/>
      <c r="I10" s="2427"/>
      <c r="J10" s="2427"/>
      <c r="K10" s="2427"/>
      <c r="L10" s="2428"/>
    </row>
    <row r="11" spans="1:29" ht="13.5" customHeight="1" x14ac:dyDescent="0.2">
      <c r="A11" s="1185" t="s">
        <v>1598</v>
      </c>
      <c r="B11" s="1186"/>
      <c r="C11" s="1187"/>
      <c r="D11" s="1192"/>
      <c r="E11" s="1187"/>
      <c r="F11" s="1191"/>
      <c r="G11" s="2414" t="str">
        <f>COVER!T19</f>
        <v>Morris</v>
      </c>
      <c r="H11" s="2427"/>
      <c r="I11" s="2427"/>
      <c r="J11" s="2427"/>
      <c r="K11" s="2427"/>
      <c r="L11" s="2428"/>
    </row>
    <row r="12" spans="1:29" ht="13.5" customHeight="1" x14ac:dyDescent="0.2">
      <c r="A12" s="2432" t="s">
        <v>1597</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1599</v>
      </c>
      <c r="H13" s="2423"/>
      <c r="I13" s="2435" t="str">
        <f>COVER!T25</f>
        <v>tmack@mackcpas.com</v>
      </c>
      <c r="J13" s="2436"/>
      <c r="K13" s="2436"/>
      <c r="L13" s="2437"/>
    </row>
    <row r="14" spans="1:29" ht="13.5" customHeight="1" x14ac:dyDescent="0.2">
      <c r="A14" s="2414" t="str">
        <f>COVER!A19</f>
        <v>2655 W. Eames Street</v>
      </c>
      <c r="B14" s="2427"/>
      <c r="C14" s="2427"/>
      <c r="D14" s="2427"/>
      <c r="E14" s="2427"/>
      <c r="F14" s="2428"/>
      <c r="G14" s="1196" t="s">
        <v>1246</v>
      </c>
      <c r="H14" s="1194"/>
      <c r="I14" s="1194"/>
      <c r="J14" s="1194"/>
      <c r="K14" s="1194"/>
      <c r="L14" s="1195"/>
    </row>
    <row r="15" spans="1:29" ht="13.5" customHeight="1" x14ac:dyDescent="0.2">
      <c r="A15" s="2414" t="str">
        <f>COVER!A21</f>
        <v>Channahon</v>
      </c>
      <c r="B15" s="2427"/>
      <c r="C15" s="2427"/>
      <c r="D15" s="2427"/>
      <c r="E15" s="2427"/>
      <c r="F15" s="2428"/>
      <c r="G15" s="2424" t="str">
        <f>COVER!T15</f>
        <v>Tawnya Mack, CPA</v>
      </c>
      <c r="H15" s="2425"/>
      <c r="I15" s="2425"/>
      <c r="J15" s="2425"/>
      <c r="K15" s="2425"/>
      <c r="L15" s="2426"/>
    </row>
    <row r="16" spans="1:29" ht="12.2" customHeight="1" x14ac:dyDescent="0.2">
      <c r="A16" s="2404">
        <f>COVER!A25</f>
        <v>60410</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1245</v>
      </c>
      <c r="H17" s="1194"/>
      <c r="I17" s="1194"/>
      <c r="J17" s="1194"/>
      <c r="K17" s="1198" t="s">
        <v>1244</v>
      </c>
      <c r="L17" s="1191"/>
      <c r="M17" s="1184"/>
    </row>
    <row r="18" spans="1:13" ht="12.2" customHeight="1" x14ac:dyDescent="0.2">
      <c r="A18" s="2398"/>
      <c r="B18" s="2399"/>
      <c r="C18" s="2399"/>
      <c r="D18" s="2399"/>
      <c r="E18" s="2399"/>
      <c r="F18" s="2400"/>
      <c r="G18" s="2401" t="str">
        <f>COVER!T21</f>
        <v>(815) 942-3306</v>
      </c>
      <c r="H18" s="2402"/>
      <c r="I18" s="2402"/>
      <c r="J18" s="2402"/>
      <c r="K18" s="2401" t="str">
        <f>COVER!X21</f>
        <v>(815) 942-9430</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Minooka CHSD 111</v>
      </c>
      <c r="B1" s="2438"/>
      <c r="C1" s="2438"/>
      <c r="D1" s="2438"/>
    </row>
    <row r="2" spans="1:11" s="1215" customFormat="1" ht="12.75" x14ac:dyDescent="0.2">
      <c r="A2" s="2443">
        <f>'Single Audit Cover'!E7</f>
        <v>24032111016</v>
      </c>
      <c r="B2" s="2444"/>
      <c r="C2" s="2444"/>
      <c r="D2" s="2444"/>
    </row>
    <row r="3" spans="1:11" s="1215" customFormat="1" ht="12.75" x14ac:dyDescent="0.2">
      <c r="A3" s="2442" t="s">
        <v>1592</v>
      </c>
      <c r="B3" s="2438"/>
      <c r="C3" s="2438"/>
      <c r="D3" s="2438"/>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Minooka CHSD 111</v>
      </c>
      <c r="B1" s="2446"/>
      <c r="C1" s="2446"/>
      <c r="D1" s="2446"/>
      <c r="E1" s="2446"/>
    </row>
    <row r="2" spans="1:5" x14ac:dyDescent="0.2">
      <c r="A2" s="2447">
        <f>'Single Audit Cover'!E7</f>
        <v>24032111016</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60" t="s">
        <v>1304</v>
      </c>
    </row>
    <row r="10" spans="1:5" x14ac:dyDescent="0.2">
      <c r="A10" s="1261" t="s">
        <v>1303</v>
      </c>
      <c r="B10" s="1262" t="s">
        <v>1302</v>
      </c>
      <c r="C10" s="1262"/>
      <c r="D10" s="1263">
        <f>SUM('Acct Summary 7-8'!C7:K7)</f>
        <v>157247</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1954</v>
      </c>
      <c r="B16" s="1262"/>
      <c r="C16" s="1262"/>
    </row>
    <row r="17" spans="1:4" x14ac:dyDescent="0.2">
      <c r="A17" s="1261" t="s">
        <v>1600</v>
      </c>
      <c r="B17" s="1262" t="s">
        <v>1297</v>
      </c>
      <c r="C17" s="1262"/>
      <c r="D17" s="1264">
        <f>-SUM('Revenues 9-14'!C271:D271,'Revenues 9-14'!F271:G271)</f>
        <v>0</v>
      </c>
    </row>
    <row r="19" spans="1:4" ht="13.5" thickBot="1" x14ac:dyDescent="0.25">
      <c r="A19" s="1265" t="s">
        <v>1296</v>
      </c>
      <c r="D19" s="1266">
        <f>SUM(D10:D17)</f>
        <v>157247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1294</v>
      </c>
      <c r="D32" s="1263">
        <f>SUM(D19:D30)</f>
        <v>157247</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1288</v>
      </c>
      <c r="C47" s="1272"/>
      <c r="D47" s="1273">
        <f>SUM(D35:D45)</f>
        <v>0</v>
      </c>
    </row>
    <row r="49" spans="2:4" x14ac:dyDescent="0.2">
      <c r="B49" s="1272" t="s">
        <v>1287</v>
      </c>
      <c r="C49" s="1272"/>
      <c r="D49" s="1273">
        <f>D32-D47</f>
        <v>157247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Minooka CHSD 111</v>
      </c>
      <c r="B1" s="2451"/>
      <c r="C1" s="2451"/>
      <c r="D1" s="2451"/>
      <c r="E1" s="2451"/>
      <c r="F1" s="2451"/>
    </row>
    <row r="2" spans="1:7" ht="13.5" customHeight="1" x14ac:dyDescent="0.2">
      <c r="A2" s="2452">
        <f>'Single Audit Cover'!E7</f>
        <v>24032111016</v>
      </c>
      <c r="B2" s="2452"/>
      <c r="C2" s="2452"/>
      <c r="D2" s="2452"/>
      <c r="E2" s="2452"/>
      <c r="F2" s="2452"/>
      <c r="G2" s="1275"/>
    </row>
    <row r="3" spans="1:7" ht="15.75" customHeight="1" x14ac:dyDescent="0.2">
      <c r="A3" s="2453" t="s">
        <v>1332</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1830</v>
      </c>
      <c r="C6" s="317"/>
      <c r="D6" s="317"/>
    </row>
    <row r="7" spans="1:7" ht="60.95" customHeight="1" x14ac:dyDescent="0.2">
      <c r="A7" s="2450" t="s">
        <v>1831</v>
      </c>
      <c r="B7" s="2450"/>
      <c r="C7" s="2450"/>
      <c r="D7" s="2450"/>
      <c r="E7" s="2450"/>
      <c r="F7" s="245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5" customHeight="1" x14ac:dyDescent="0.2">
      <c r="A13" s="2450" t="s">
        <v>1833</v>
      </c>
      <c r="B13" s="2450"/>
      <c r="C13" s="2450"/>
      <c r="D13" s="2450"/>
      <c r="E13" s="2450"/>
      <c r="F13" s="2450"/>
    </row>
    <row r="14" spans="1:7" ht="9.75" customHeight="1" x14ac:dyDescent="0.2">
      <c r="C14" s="1260"/>
      <c r="D14" s="1260"/>
    </row>
    <row r="15" spans="1:7" ht="13.5" customHeight="1" x14ac:dyDescent="0.2">
      <c r="C15" s="1870" t="s">
        <v>1331</v>
      </c>
      <c r="D15" s="2456" t="s">
        <v>1330</v>
      </c>
      <c r="E15" s="2456"/>
      <c r="F15" s="2456"/>
    </row>
    <row r="16" spans="1:7" ht="13.5" customHeight="1" x14ac:dyDescent="0.2">
      <c r="A16" s="1282"/>
      <c r="B16" s="1276" t="s">
        <v>1329</v>
      </c>
      <c r="C16" s="1870" t="s">
        <v>1328</v>
      </c>
      <c r="D16" s="2457" t="s">
        <v>1669</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59" t="s">
        <v>1834</v>
      </c>
      <c r="B32" s="2459"/>
      <c r="C32" s="2459"/>
      <c r="D32" s="2459"/>
      <c r="E32" s="2459"/>
      <c r="F32" s="2459"/>
    </row>
    <row r="33" spans="1:6" ht="13.5" customHeight="1" x14ac:dyDescent="0.2">
      <c r="A33" s="328" t="s">
        <v>1508</v>
      </c>
      <c r="B33" s="328"/>
      <c r="C33" s="1288">
        <v>0</v>
      </c>
      <c r="D33" s="1927"/>
      <c r="E33" s="1286"/>
    </row>
    <row r="34" spans="1:6" ht="13.5" customHeight="1" x14ac:dyDescent="0.2">
      <c r="A34" s="328" t="s">
        <v>1947</v>
      </c>
      <c r="B34" s="328"/>
      <c r="C34" s="1289">
        <v>0</v>
      </c>
      <c r="D34" s="1927" t="s">
        <v>1670</v>
      </c>
      <c r="E34" s="2460">
        <f>+C33+C34</f>
        <v>0</v>
      </c>
      <c r="F34" s="2461"/>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c r="D38" s="1927"/>
      <c r="E38" s="1286"/>
    </row>
    <row r="39" spans="1:6" ht="14.25" customHeight="1" x14ac:dyDescent="0.2">
      <c r="A39" s="328"/>
      <c r="B39" s="328" t="s">
        <v>1510</v>
      </c>
      <c r="C39" s="1292"/>
      <c r="D39" s="1927"/>
      <c r="E39" s="1286"/>
    </row>
    <row r="40" spans="1:6" ht="14.25" customHeight="1" x14ac:dyDescent="0.2">
      <c r="A40" s="328"/>
      <c r="B40" s="328" t="s">
        <v>1511</v>
      </c>
      <c r="C40" s="1292"/>
      <c r="D40" s="1927"/>
      <c r="E40" s="1286"/>
    </row>
    <row r="41" spans="1:6" ht="14.25" customHeight="1" x14ac:dyDescent="0.2">
      <c r="A41" s="328"/>
      <c r="B41" s="328" t="s">
        <v>1512</v>
      </c>
      <c r="C41" s="1292"/>
      <c r="D41" s="1927"/>
      <c r="E41" s="1286"/>
    </row>
    <row r="42" spans="1:6" ht="14.25" customHeight="1" x14ac:dyDescent="0.2">
      <c r="A42" s="328" t="s">
        <v>1513</v>
      </c>
      <c r="B42" s="328"/>
      <c r="C42" s="1925"/>
      <c r="D42" s="1927"/>
      <c r="E42" s="1286"/>
    </row>
    <row r="43" spans="1:6" ht="14.25" customHeight="1" x14ac:dyDescent="0.2">
      <c r="A43" s="328" t="s">
        <v>1514</v>
      </c>
      <c r="B43" s="328"/>
      <c r="C43" s="1293"/>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1671</v>
      </c>
      <c r="C49" s="2462"/>
      <c r="D49" s="2462"/>
      <c r="E49" s="1399"/>
    </row>
    <row r="50" spans="1:5" s="1300" customFormat="1" ht="3.75" customHeight="1" x14ac:dyDescent="0.2">
      <c r="A50" s="1299"/>
      <c r="B50" s="1869"/>
      <c r="C50" s="1869"/>
      <c r="D50" s="1869"/>
      <c r="E50" s="1399"/>
    </row>
    <row r="51" spans="1:5" s="1300" customFormat="1" ht="20.25" customHeight="1" x14ac:dyDescent="0.2">
      <c r="A51" s="1301">
        <v>6</v>
      </c>
      <c r="B51" s="2458" t="s">
        <v>1631</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Minooka CHSD 111</v>
      </c>
      <c r="C1" s="2463"/>
      <c r="D1" s="2463"/>
      <c r="E1" s="2463"/>
      <c r="F1" s="2463"/>
      <c r="G1" s="2463"/>
      <c r="H1" s="2463"/>
      <c r="I1" s="2463"/>
      <c r="J1" s="2463"/>
      <c r="K1" s="2463"/>
      <c r="L1" s="2463"/>
      <c r="M1" s="2463"/>
    </row>
    <row r="2" spans="2:14" ht="15" x14ac:dyDescent="0.2">
      <c r="B2" s="2452">
        <f>'Single Audit Cover'!E7</f>
        <v>24032111016</v>
      </c>
      <c r="C2" s="2452"/>
      <c r="D2" s="2452"/>
      <c r="E2" s="2452"/>
      <c r="F2" s="2452"/>
      <c r="G2" s="2452"/>
      <c r="H2" s="2452"/>
      <c r="I2" s="2452"/>
      <c r="J2" s="2452"/>
      <c r="K2" s="2452"/>
      <c r="L2" s="2452"/>
      <c r="M2" s="2452"/>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1948</v>
      </c>
      <c r="K8" s="1319" t="s">
        <v>1322</v>
      </c>
      <c r="L8" s="1320" t="s">
        <v>1318</v>
      </c>
      <c r="M8" s="1321" t="s">
        <v>30</v>
      </c>
    </row>
    <row r="9" spans="2:14" ht="14.25" x14ac:dyDescent="0.2">
      <c r="B9" s="1325" t="s">
        <v>1320</v>
      </c>
      <c r="C9" s="1313" t="s">
        <v>1837</v>
      </c>
      <c r="D9" s="1314" t="s">
        <v>1838</v>
      </c>
      <c r="E9" s="1322" t="s">
        <v>1662</v>
      </c>
      <c r="F9" s="1323" t="s">
        <v>1948</v>
      </c>
      <c r="G9" s="1324" t="s">
        <v>1662</v>
      </c>
      <c r="H9" s="1317" t="s">
        <v>1663</v>
      </c>
      <c r="I9" s="1319" t="s">
        <v>1948</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7"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33239</v>
      </c>
      <c r="I53" s="237" t="s">
        <v>1561</v>
      </c>
    </row>
    <row r="54" spans="1:10" s="181" customFormat="1" x14ac:dyDescent="0.2">
      <c r="A54" s="219"/>
      <c r="B54" s="220" t="s">
        <v>2076</v>
      </c>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2085</v>
      </c>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t="s">
        <v>2094</v>
      </c>
      <c r="E118" s="322"/>
      <c r="F118" s="324"/>
      <c r="G118" s="1863"/>
      <c r="H118" s="322"/>
      <c r="I118" s="304"/>
    </row>
    <row r="119" spans="1:9" s="181" customFormat="1" ht="11.25" customHeight="1" x14ac:dyDescent="0.2">
      <c r="A119" s="325"/>
      <c r="B119" s="325"/>
      <c r="C119" s="326"/>
      <c r="D119" s="327" t="s">
        <v>378</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Minooka CHSD 111</v>
      </c>
      <c r="C1" s="2471"/>
      <c r="D1" s="2471"/>
      <c r="E1" s="2471"/>
      <c r="F1" s="2471"/>
      <c r="G1" s="2471"/>
      <c r="H1" s="2471"/>
      <c r="I1" s="2471"/>
      <c r="J1" s="1422"/>
    </row>
    <row r="2" spans="2:10" s="317" customFormat="1" ht="12.75" customHeight="1" x14ac:dyDescent="0.2">
      <c r="B2" s="2472">
        <f>'Single Audit Cover'!E7</f>
        <v>24032111016</v>
      </c>
      <c r="C2" s="2473"/>
      <c r="D2" s="2473"/>
      <c r="E2" s="2473"/>
      <c r="F2" s="2473"/>
      <c r="G2" s="2473"/>
      <c r="H2" s="2473"/>
      <c r="I2" s="2473"/>
      <c r="J2" s="1422"/>
    </row>
    <row r="3" spans="2:10" s="317" customFormat="1" ht="12.75" customHeight="1" x14ac:dyDescent="0.2">
      <c r="B3" s="2474" t="s">
        <v>1346</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1345</v>
      </c>
      <c r="C7" s="2475"/>
      <c r="D7" s="2475"/>
      <c r="E7" s="2475"/>
      <c r="F7" s="2475"/>
      <c r="G7" s="2475"/>
      <c r="H7" s="2475"/>
      <c r="I7" s="2475"/>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76"/>
      <c r="D11" s="2476"/>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77"/>
      <c r="E29" s="2477"/>
      <c r="F29" s="2477"/>
      <c r="G29" s="2477"/>
      <c r="H29" s="2477"/>
      <c r="I29" s="2477"/>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8" t="s">
        <v>1853</v>
      </c>
      <c r="D37" s="2479"/>
      <c r="E37" s="2479"/>
      <c r="F37" s="2480"/>
      <c r="G37" s="2478" t="s">
        <v>1673</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1674</v>
      </c>
      <c r="D43" s="2485"/>
      <c r="E43" s="2485"/>
      <c r="F43" s="2486"/>
      <c r="G43" s="2487">
        <f>SUM(G38:I42)</f>
        <v>0</v>
      </c>
      <c r="H43" s="2487"/>
      <c r="I43" s="2487"/>
    </row>
    <row r="44" spans="2:9" ht="12.75" customHeight="1" x14ac:dyDescent="0.2"/>
    <row r="45" spans="2:9" ht="12.75" customHeight="1" x14ac:dyDescent="0.2">
      <c r="B45" s="1435" t="s">
        <v>1950</v>
      </c>
      <c r="D45" s="2488">
        <v>0</v>
      </c>
      <c r="E45" s="2489"/>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90"/>
      <c r="F49" s="2490"/>
      <c r="G49" s="2490"/>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Minooka CHSD 111</v>
      </c>
      <c r="C1" s="2470"/>
      <c r="D1" s="2470"/>
      <c r="E1" s="2470"/>
      <c r="F1" s="2470"/>
      <c r="G1" s="2470"/>
      <c r="H1" s="2470"/>
      <c r="I1" s="2470"/>
      <c r="J1" s="2470"/>
      <c r="K1" s="2470"/>
      <c r="L1" s="1374"/>
      <c r="M1" s="1374"/>
    </row>
    <row r="2" spans="1:13" ht="12" customHeight="1" x14ac:dyDescent="0.2">
      <c r="B2" s="2472">
        <f>'Single Audit Cover'!E7</f>
        <v>24032111016</v>
      </c>
      <c r="C2" s="2472"/>
      <c r="D2" s="2472"/>
      <c r="E2" s="2472"/>
      <c r="F2" s="2472"/>
      <c r="G2" s="2472"/>
      <c r="H2" s="2472"/>
      <c r="I2" s="2472"/>
      <c r="J2" s="2472"/>
      <c r="K2" s="2472"/>
      <c r="L2" s="1375"/>
      <c r="M2" s="1376"/>
    </row>
    <row r="3" spans="1:13" ht="10.35" customHeight="1" x14ac:dyDescent="0.2">
      <c r="B3" s="2493" t="s">
        <v>1346</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1362</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Minooka CHSD 111</v>
      </c>
      <c r="C1" s="2497"/>
      <c r="D1" s="2497"/>
      <c r="E1" s="2497"/>
      <c r="F1" s="2497"/>
      <c r="G1" s="2497"/>
      <c r="H1" s="2497"/>
      <c r="I1" s="2497"/>
      <c r="J1" s="2497"/>
      <c r="K1" s="2497"/>
      <c r="L1" s="1465"/>
    </row>
    <row r="2" spans="1:12" ht="12.75" customHeight="1" x14ac:dyDescent="0.2">
      <c r="B2" s="2498">
        <f>'Single Audit Cover'!E7</f>
        <v>24032111016</v>
      </c>
      <c r="C2" s="2498"/>
      <c r="D2" s="2498"/>
      <c r="E2" s="2498"/>
      <c r="F2" s="2498"/>
      <c r="G2" s="2498"/>
      <c r="H2" s="2498"/>
      <c r="I2" s="2498"/>
      <c r="J2" s="2498"/>
      <c r="K2" s="2498"/>
      <c r="L2" s="1466"/>
    </row>
    <row r="3" spans="1:12" ht="12.75" customHeight="1" x14ac:dyDescent="0.2">
      <c r="B3" s="2493" t="s">
        <v>1346</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1230</v>
      </c>
      <c r="C5" s="1260"/>
      <c r="L5" s="322"/>
    </row>
    <row r="6" spans="1:12" ht="30.75" customHeight="1" x14ac:dyDescent="0.2">
      <c r="A6" s="322"/>
      <c r="B6" s="2499" t="s">
        <v>1374</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0"/>
      <c r="E14" s="2500"/>
      <c r="F14" s="2500"/>
      <c r="H14" s="1475" t="s">
        <v>1369</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1"/>
      <c r="E16" s="2501"/>
      <c r="F16" s="2501"/>
      <c r="G16" s="2501"/>
      <c r="H16" s="2501"/>
      <c r="I16" s="2501"/>
      <c r="J16" s="2501"/>
      <c r="K16" s="2501"/>
      <c r="L16" s="322"/>
    </row>
    <row r="17" spans="2:12" ht="13.5" customHeight="1" x14ac:dyDescent="0.2">
      <c r="B17" s="1387" t="s">
        <v>1367</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Minooka CHSD 111</v>
      </c>
      <c r="C1" s="2470"/>
      <c r="D1" s="2470"/>
      <c r="E1" s="1491"/>
    </row>
    <row r="2" spans="2:5" s="1282" customFormat="1" ht="12.75" customHeight="1" x14ac:dyDescent="0.2">
      <c r="B2" s="2472">
        <f>'Single Audit Cover'!E7</f>
        <v>24032111016</v>
      </c>
      <c r="C2" s="2472"/>
      <c r="D2" s="2472"/>
      <c r="E2" s="1492"/>
    </row>
    <row r="3" spans="2:5" ht="12.75" customHeight="1" x14ac:dyDescent="0.2">
      <c r="B3" s="2493" t="s">
        <v>1868</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1306209287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1.2200000000000001E-2</v>
      </c>
      <c r="E10" s="356" t="s">
        <v>1061</v>
      </c>
      <c r="F10" s="355">
        <v>2.5000000000000001E-3</v>
      </c>
      <c r="G10" s="356" t="s">
        <v>1061</v>
      </c>
      <c r="H10" s="355">
        <v>1.1999999999999999E-3</v>
      </c>
      <c r="I10" s="356" t="s">
        <v>1062</v>
      </c>
      <c r="J10" s="1754">
        <f>ROUND(D10+F10+H10,5)</f>
        <v>1.5900000000000001E-2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33651094</v>
      </c>
      <c r="E16" s="356"/>
      <c r="F16" s="1755">
        <f>SUM('Acct Summary 7-8'!C17,'Acct Summary 7-8'!D17,'Acct Summary 7-8'!F17)</f>
        <v>32397416</v>
      </c>
      <c r="G16" s="356"/>
      <c r="H16" s="1755">
        <f>SUM(D16-F16)</f>
        <v>1253678</v>
      </c>
      <c r="I16" s="222"/>
      <c r="J16" s="1755">
        <f>SUM('Acct Summary 7-8'!C81,'Acct Summary 7-8'!D81,'Acct Summary 7-8'!F81,'Acct Summary 7-8'!I81)</f>
        <v>27612124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7">
        <f>IF(B31="X",(J7*0.069),IF(B32="X",(J7*0.138),"Enter x in a.or b."))</f>
        <v>90128440.803000003</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51890000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Minooka CHSD 111</v>
      </c>
      <c r="E7" s="391"/>
      <c r="G7" s="252"/>
      <c r="H7" s="387"/>
      <c r="I7" s="387"/>
      <c r="J7" s="387"/>
      <c r="K7" s="387"/>
      <c r="L7" s="329"/>
      <c r="M7" s="329"/>
      <c r="N7" s="329"/>
      <c r="O7" s="329"/>
      <c r="P7" s="329"/>
    </row>
    <row r="8" spans="1:18" ht="12.75" x14ac:dyDescent="0.2">
      <c r="A8" s="329"/>
      <c r="B8" s="329"/>
      <c r="C8" s="389" t="s">
        <v>1186</v>
      </c>
      <c r="D8" s="392">
        <f>COVER!A13</f>
        <v>24032111016</v>
      </c>
      <c r="E8" s="393"/>
      <c r="G8" s="329"/>
      <c r="H8" s="329"/>
      <c r="I8" s="329"/>
      <c r="J8" s="329"/>
      <c r="K8" s="329"/>
      <c r="L8" s="329"/>
      <c r="M8" s="329"/>
      <c r="N8" s="329"/>
      <c r="O8" s="329"/>
      <c r="P8" s="329"/>
    </row>
    <row r="9" spans="1:18" ht="12.75" x14ac:dyDescent="0.2">
      <c r="A9" s="329"/>
      <c r="B9" s="329"/>
      <c r="C9" s="389" t="s">
        <v>736</v>
      </c>
      <c r="D9" s="394" t="str">
        <f>COVER!A15</f>
        <v>Grundy, Will, 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27612124</v>
      </c>
      <c r="I12" s="404"/>
      <c r="J12" s="404"/>
      <c r="K12" s="405">
        <f>TRUNC((H12/H13*100000),5)/100000</f>
        <v>0.82054164419999998</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33651094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32397416</v>
      </c>
      <c r="I17" s="404"/>
      <c r="J17" s="416"/>
      <c r="K17" s="405">
        <f>TRUNC((H17/H18*100000),5)/100000</f>
        <v>0.96274480699999998</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33651094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27604336</v>
      </c>
      <c r="I24" s="422"/>
      <c r="J24" s="422"/>
      <c r="K24" s="423">
        <f>TRUNC(((H24/H25*100000)/100000),2)</f>
        <v>306.73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89992.822220000002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17653418.513810001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51890000</v>
      </c>
      <c r="I32" s="420"/>
      <c r="J32" s="420"/>
      <c r="K32" s="423">
        <f>TRUNC(100-((((H32/H33*100))*100)/100),2)</f>
        <v>42.42</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90128440.803000003</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L40" sqref="L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81"/>
      <c r="D3" s="1582"/>
      <c r="E3" s="1582"/>
      <c r="F3" s="1582"/>
      <c r="G3" s="1582"/>
      <c r="H3" s="1582"/>
      <c r="I3" s="1582"/>
      <c r="J3" s="1582"/>
      <c r="K3" s="1582"/>
      <c r="L3" s="1582"/>
      <c r="M3" s="1583"/>
      <c r="N3" s="1584"/>
    </row>
    <row r="4" spans="1:14" ht="13.5" customHeight="1" x14ac:dyDescent="0.2">
      <c r="A4" s="463" t="s">
        <v>1749</v>
      </c>
      <c r="B4" s="464"/>
      <c r="C4" s="465">
        <v>2682448</v>
      </c>
      <c r="D4" s="466">
        <v>494407</v>
      </c>
      <c r="E4" s="466">
        <v>1832573</v>
      </c>
      <c r="F4" s="466">
        <v>240802</v>
      </c>
      <c r="G4" s="466">
        <v>218281</v>
      </c>
      <c r="H4" s="466">
        <v>9201</v>
      </c>
      <c r="I4" s="466">
        <v>193157</v>
      </c>
      <c r="J4" s="467">
        <v>158207</v>
      </c>
      <c r="K4" s="466">
        <v>146698</v>
      </c>
      <c r="L4" s="466">
        <v>1784430</v>
      </c>
      <c r="M4" s="468"/>
      <c r="N4" s="469"/>
    </row>
    <row r="5" spans="1:14" x14ac:dyDescent="0.2">
      <c r="A5" s="463" t="s">
        <v>1048</v>
      </c>
      <c r="B5" s="470">
        <v>120</v>
      </c>
      <c r="C5" s="465">
        <v>6051412</v>
      </c>
      <c r="D5" s="466">
        <v>2816451</v>
      </c>
      <c r="E5" s="466">
        <v>3063639</v>
      </c>
      <c r="F5" s="466">
        <v>2230052</v>
      </c>
      <c r="G5" s="466">
        <v>141836</v>
      </c>
      <c r="H5" s="466">
        <v>1388991</v>
      </c>
      <c r="I5" s="466">
        <v>12895607</v>
      </c>
      <c r="J5" s="467">
        <v>1893881</v>
      </c>
      <c r="K5" s="471">
        <v>794661</v>
      </c>
      <c r="L5" s="472">
        <v>470798</v>
      </c>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v>2761</v>
      </c>
      <c r="D12" s="466">
        <v>2515</v>
      </c>
      <c r="E12" s="466"/>
      <c r="F12" s="466">
        <v>2512</v>
      </c>
      <c r="G12" s="466">
        <v>1200</v>
      </c>
      <c r="H12" s="466"/>
      <c r="I12" s="466"/>
      <c r="J12" s="467"/>
      <c r="K12" s="466"/>
      <c r="L12" s="466"/>
      <c r="M12" s="469"/>
      <c r="N12" s="469"/>
    </row>
    <row r="13" spans="1:14" ht="13.5" customHeight="1" thickBot="1" x14ac:dyDescent="0.25">
      <c r="A13" s="1758" t="s">
        <v>664</v>
      </c>
      <c r="B13" s="1731"/>
      <c r="C13" s="1759">
        <f>SUM(C4:C12)</f>
        <v>8736621</v>
      </c>
      <c r="D13" s="1759">
        <f t="shared" ref="D13:L13" si="0">SUM(D4:D12)</f>
        <v>3313373</v>
      </c>
      <c r="E13" s="1759">
        <f t="shared" si="0"/>
        <v>4896212</v>
      </c>
      <c r="F13" s="1759">
        <f t="shared" si="0"/>
        <v>2473366</v>
      </c>
      <c r="G13" s="1759">
        <f t="shared" si="0"/>
        <v>361317</v>
      </c>
      <c r="H13" s="1759">
        <f t="shared" si="0"/>
        <v>1398192</v>
      </c>
      <c r="I13" s="1759">
        <f t="shared" si="0"/>
        <v>13088764</v>
      </c>
      <c r="J13" s="1759">
        <f t="shared" si="0"/>
        <v>2052088</v>
      </c>
      <c r="K13" s="1759">
        <f t="shared" si="0"/>
        <v>941359</v>
      </c>
      <c r="L13" s="1759">
        <f t="shared" si="0"/>
        <v>2255228</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5855792</v>
      </c>
      <c r="N16" s="484"/>
    </row>
    <row r="17" spans="1:14" s="485" customFormat="1" ht="12.75" customHeight="1" x14ac:dyDescent="0.2">
      <c r="A17" s="482" t="s">
        <v>1469</v>
      </c>
      <c r="B17" s="483">
        <v>230</v>
      </c>
      <c r="C17" s="477"/>
      <c r="D17" s="477"/>
      <c r="E17" s="477"/>
      <c r="F17" s="477"/>
      <c r="G17" s="477"/>
      <c r="H17" s="477"/>
      <c r="I17" s="477"/>
      <c r="J17" s="477"/>
      <c r="K17" s="477"/>
      <c r="L17" s="477"/>
      <c r="M17" s="467">
        <v>92486597</v>
      </c>
      <c r="N17" s="484"/>
    </row>
    <row r="18" spans="1:14" s="485" customFormat="1" ht="12.75" customHeight="1" x14ac:dyDescent="0.2">
      <c r="A18" s="482" t="s">
        <v>1470</v>
      </c>
      <c r="B18" s="483">
        <v>240</v>
      </c>
      <c r="C18" s="477"/>
      <c r="D18" s="477"/>
      <c r="E18" s="477"/>
      <c r="F18" s="477"/>
      <c r="G18" s="477"/>
      <c r="H18" s="477"/>
      <c r="I18" s="477"/>
      <c r="J18" s="477"/>
      <c r="K18" s="477"/>
      <c r="L18" s="477"/>
      <c r="M18" s="467">
        <v>3879114</v>
      </c>
      <c r="N18" s="484"/>
    </row>
    <row r="19" spans="1:14" s="485" customFormat="1" ht="12.75" customHeight="1" x14ac:dyDescent="0.2">
      <c r="A19" s="482" t="s">
        <v>1471</v>
      </c>
      <c r="B19" s="483">
        <v>250</v>
      </c>
      <c r="C19" s="477"/>
      <c r="D19" s="477"/>
      <c r="E19" s="477"/>
      <c r="F19" s="477"/>
      <c r="G19" s="477"/>
      <c r="H19" s="477"/>
      <c r="I19" s="477"/>
      <c r="J19" s="477"/>
      <c r="K19" s="477"/>
      <c r="L19" s="477"/>
      <c r="M19" s="467">
        <v>13315724</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4896212</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46993788</v>
      </c>
    </row>
    <row r="23" spans="1:14" ht="13.5" customHeight="1" thickBot="1" x14ac:dyDescent="0.25">
      <c r="A23" s="1758" t="s">
        <v>663</v>
      </c>
      <c r="B23" s="1763"/>
      <c r="C23" s="468"/>
      <c r="D23" s="468"/>
      <c r="E23" s="468"/>
      <c r="F23" s="468"/>
      <c r="G23" s="468"/>
      <c r="H23" s="468"/>
      <c r="I23" s="468"/>
      <c r="J23" s="468"/>
      <c r="K23" s="468"/>
      <c r="L23" s="468"/>
      <c r="M23" s="1710">
        <f>SUM(M15:M22)</f>
        <v>115537227</v>
      </c>
      <c r="N23" s="1710">
        <f>SUM(N21:N22)</f>
        <v>51890000</v>
      </c>
    </row>
    <row r="24" spans="1:14" ht="18" customHeight="1" thickTop="1" x14ac:dyDescent="0.2">
      <c r="A24" s="2129" t="s">
        <v>618</v>
      </c>
      <c r="B24" s="2130"/>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546506</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546506</v>
      </c>
      <c r="M34" s="468"/>
      <c r="N34" s="480"/>
    </row>
    <row r="35" spans="1:14" ht="18" customHeight="1" thickTop="1" x14ac:dyDescent="0.2">
      <c r="A35" s="2131" t="s">
        <v>549</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51890000</v>
      </c>
    </row>
    <row r="37" spans="1:14" ht="13.5" thickBot="1" x14ac:dyDescent="0.25">
      <c r="A37" s="1758" t="s">
        <v>673</v>
      </c>
      <c r="B37" s="1763"/>
      <c r="C37" s="477"/>
      <c r="D37" s="477"/>
      <c r="E37" s="477"/>
      <c r="F37" s="477"/>
      <c r="G37" s="477"/>
      <c r="H37" s="477"/>
      <c r="I37" s="477"/>
      <c r="J37" s="477"/>
      <c r="K37" s="477"/>
      <c r="L37" s="480"/>
      <c r="M37" s="468"/>
      <c r="N37" s="1710">
        <f>SUM(N36:N36)</f>
        <v>51890000</v>
      </c>
    </row>
    <row r="38" spans="1:14" s="329" customFormat="1" ht="13.5" customHeight="1" thickTop="1" x14ac:dyDescent="0.2">
      <c r="A38" s="496" t="s">
        <v>439</v>
      </c>
      <c r="B38" s="483">
        <v>714</v>
      </c>
      <c r="C38" s="466">
        <v>3691848</v>
      </c>
      <c r="D38" s="466"/>
      <c r="E38" s="466"/>
      <c r="F38" s="466"/>
      <c r="G38" s="466"/>
      <c r="H38" s="466"/>
      <c r="I38" s="466"/>
      <c r="J38" s="467"/>
      <c r="K38" s="466"/>
      <c r="L38" s="481">
        <v>1708722</v>
      </c>
      <c r="M38" s="497"/>
      <c r="N38" s="497"/>
    </row>
    <row r="39" spans="1:14" s="329" customFormat="1" ht="13.5" customHeight="1" x14ac:dyDescent="0.2">
      <c r="A39" s="496" t="s">
        <v>359</v>
      </c>
      <c r="B39" s="483">
        <v>730</v>
      </c>
      <c r="C39" s="466">
        <v>5044773</v>
      </c>
      <c r="D39" s="466">
        <v>3313373</v>
      </c>
      <c r="E39" s="466">
        <v>4896212</v>
      </c>
      <c r="F39" s="466">
        <v>2473366</v>
      </c>
      <c r="G39" s="466">
        <v>361317</v>
      </c>
      <c r="H39" s="466">
        <v>1398192</v>
      </c>
      <c r="I39" s="466">
        <v>13088764</v>
      </c>
      <c r="J39" s="467">
        <v>2052088</v>
      </c>
      <c r="K39" s="466">
        <v>941359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115537227</v>
      </c>
      <c r="N40" s="497"/>
    </row>
    <row r="41" spans="1:14" ht="13.5" customHeight="1" thickBot="1" x14ac:dyDescent="0.25">
      <c r="A41" s="1758" t="s">
        <v>675</v>
      </c>
      <c r="B41" s="1728"/>
      <c r="C41" s="1710">
        <f>(SUM(C34,C37,C38,C39))</f>
        <v>8736621</v>
      </c>
      <c r="D41" s="1710">
        <f t="shared" ref="D41:L41" si="2">SUM(D34,D37,D38:D39)</f>
        <v>3313373</v>
      </c>
      <c r="E41" s="1710">
        <f t="shared" si="2"/>
        <v>4896212</v>
      </c>
      <c r="F41" s="1710">
        <f t="shared" si="2"/>
        <v>2473366</v>
      </c>
      <c r="G41" s="1710">
        <f t="shared" si="2"/>
        <v>361317</v>
      </c>
      <c r="H41" s="1710">
        <f t="shared" si="2"/>
        <v>1398192</v>
      </c>
      <c r="I41" s="1710">
        <f t="shared" si="2"/>
        <v>13088764</v>
      </c>
      <c r="J41" s="1710">
        <f t="shared" si="2"/>
        <v>2052088</v>
      </c>
      <c r="K41" s="1710">
        <f t="shared" si="2"/>
        <v>941359</v>
      </c>
      <c r="L41" s="1710">
        <f t="shared" si="2"/>
        <v>2255228</v>
      </c>
      <c r="M41" s="1710">
        <f>SUM(M40)</f>
        <v>115537227</v>
      </c>
      <c r="N41" s="1710">
        <f>SUM(N37)</f>
        <v>51890000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K81" sqref="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3" t="s">
        <v>1236</v>
      </c>
      <c r="B3" s="2154"/>
      <c r="C3" s="1595"/>
      <c r="D3" s="1596"/>
      <c r="E3" s="1596"/>
      <c r="F3" s="1596"/>
      <c r="G3" s="1596"/>
      <c r="H3" s="1596"/>
      <c r="I3" s="1596"/>
      <c r="J3" s="1596"/>
      <c r="K3" s="1597"/>
      <c r="L3" s="506"/>
    </row>
    <row r="4" spans="1:13" ht="15.75" customHeight="1" x14ac:dyDescent="0.2">
      <c r="A4" s="1953" t="s">
        <v>1578</v>
      </c>
      <c r="B4" s="1954">
        <v>1000</v>
      </c>
      <c r="C4" s="1764">
        <f>'Revenues 9-14'!C109</f>
        <v>20036400</v>
      </c>
      <c r="D4" s="1764">
        <f>'Revenues 9-14'!D109</f>
        <v>3631541</v>
      </c>
      <c r="E4" s="1764">
        <f>'Revenues 9-14'!E109</f>
        <v>9669122</v>
      </c>
      <c r="F4" s="1764">
        <f>'Revenues 9-14'!F109</f>
        <v>1662513</v>
      </c>
      <c r="G4" s="1764">
        <f>'Revenues 9-14'!G109</f>
        <v>1003904</v>
      </c>
      <c r="H4" s="1764">
        <f>'Revenues 9-14'!H109</f>
        <v>223226</v>
      </c>
      <c r="I4" s="1764">
        <f>'Revenues 9-14'!I109</f>
        <v>856021</v>
      </c>
      <c r="J4" s="1764">
        <f>'Revenues 9-14'!J109</f>
        <v>1296778</v>
      </c>
      <c r="K4" s="1764">
        <f>'Revenues 9-14'!K109</f>
        <v>679684</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5984745</v>
      </c>
      <c r="D6" s="1765">
        <f>'Revenues 9-14'!D173</f>
        <v>0</v>
      </c>
      <c r="E6" s="1765">
        <f>'Revenues 9-14'!E173</f>
        <v>0</v>
      </c>
      <c r="F6" s="1765">
        <f>'Revenues 9-14'!F173</f>
        <v>1322627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157247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26178392</v>
      </c>
      <c r="D8" s="1710">
        <f t="shared" ref="D8:K8" si="0">SUM(D4:D7)</f>
        <v>3631541</v>
      </c>
      <c r="E8" s="1710">
        <f t="shared" si="0"/>
        <v>9669122</v>
      </c>
      <c r="F8" s="1710">
        <f t="shared" si="0"/>
        <v>2985140</v>
      </c>
      <c r="G8" s="1710">
        <f t="shared" si="0"/>
        <v>1003904</v>
      </c>
      <c r="H8" s="1710">
        <f t="shared" si="0"/>
        <v>223226</v>
      </c>
      <c r="I8" s="1710">
        <f t="shared" si="0"/>
        <v>856021</v>
      </c>
      <c r="J8" s="1710">
        <f t="shared" si="0"/>
        <v>1296778</v>
      </c>
      <c r="K8" s="1710">
        <f t="shared" si="0"/>
        <v>679684</v>
      </c>
      <c r="L8" s="347"/>
    </row>
    <row r="9" spans="1:13" ht="15.75" thickTop="1" x14ac:dyDescent="0.2">
      <c r="A9" s="514" t="s">
        <v>1751</v>
      </c>
      <c r="B9" s="515">
        <v>3998</v>
      </c>
      <c r="C9" s="481">
        <v>1707542</v>
      </c>
      <c r="D9" s="516"/>
      <c r="E9" s="481"/>
      <c r="F9" s="481"/>
      <c r="G9" s="517"/>
      <c r="H9" s="481"/>
      <c r="I9" s="509" t="s">
        <v>1230</v>
      </c>
      <c r="J9" s="478"/>
      <c r="K9" s="481"/>
      <c r="L9" s="347"/>
    </row>
    <row r="10" spans="1:13" s="519" customFormat="1" ht="13.5" thickBot="1" x14ac:dyDescent="0.25">
      <c r="A10" s="1758" t="s">
        <v>1234</v>
      </c>
      <c r="B10" s="1731"/>
      <c r="C10" s="1710">
        <f>SUM(C8:C9)</f>
        <v>27885934</v>
      </c>
      <c r="D10" s="1710">
        <f t="shared" ref="D10:K10" si="1">SUM(D8:D9)</f>
        <v>3631541</v>
      </c>
      <c r="E10" s="1710">
        <f t="shared" si="1"/>
        <v>9669122</v>
      </c>
      <c r="F10" s="1710">
        <f t="shared" si="1"/>
        <v>2985140</v>
      </c>
      <c r="G10" s="1710">
        <f t="shared" si="1"/>
        <v>1003904</v>
      </c>
      <c r="H10" s="1710">
        <f t="shared" si="1"/>
        <v>223226</v>
      </c>
      <c r="I10" s="1710">
        <f t="shared" si="1"/>
        <v>856021</v>
      </c>
      <c r="J10" s="1710">
        <f t="shared" si="1"/>
        <v>1296778</v>
      </c>
      <c r="K10" s="1710">
        <f t="shared" si="1"/>
        <v>679684</v>
      </c>
      <c r="L10" s="518"/>
    </row>
    <row r="11" spans="1:13" s="519" customFormat="1" ht="16.7" customHeight="1" thickTop="1" x14ac:dyDescent="0.2">
      <c r="A11" s="2127" t="s">
        <v>1237</v>
      </c>
      <c r="B11" s="2128"/>
      <c r="C11" s="1592"/>
      <c r="D11" s="1593"/>
      <c r="E11" s="1593"/>
      <c r="F11" s="1593"/>
      <c r="G11" s="1593"/>
      <c r="H11" s="1593"/>
      <c r="I11" s="1593"/>
      <c r="J11" s="1593"/>
      <c r="K11" s="1594"/>
      <c r="L11" s="518"/>
    </row>
    <row r="12" spans="1:13" ht="15.75" customHeight="1" x14ac:dyDescent="0.2">
      <c r="A12" s="1598" t="s">
        <v>475</v>
      </c>
      <c r="B12" s="1600">
        <v>1000</v>
      </c>
      <c r="C12" s="1764">
        <f>'Expenditures 15-22'!K33</f>
        <v>18392007</v>
      </c>
      <c r="D12" s="520" t="s">
        <v>1230</v>
      </c>
      <c r="E12" s="468" t="s">
        <v>1230</v>
      </c>
      <c r="F12" s="468" t="s">
        <v>1230</v>
      </c>
      <c r="G12" s="1764">
        <f>'Expenditures 15-22'!K229</f>
        <v>254676</v>
      </c>
      <c r="H12" s="521"/>
      <c r="I12" s="468" t="s">
        <v>1230</v>
      </c>
      <c r="J12" s="468" t="s">
        <v>1230</v>
      </c>
      <c r="K12" s="521" t="s">
        <v>1230</v>
      </c>
      <c r="L12" s="347"/>
    </row>
    <row r="13" spans="1:13" ht="15.75" customHeight="1" x14ac:dyDescent="0.2">
      <c r="A13" s="1598" t="s">
        <v>476</v>
      </c>
      <c r="B13" s="1600">
        <v>2000</v>
      </c>
      <c r="C13" s="1765">
        <f>'Expenditures 15-22'!K74</f>
        <v>5734225</v>
      </c>
      <c r="D13" s="1765">
        <f>'Expenditures 15-22'!K129</f>
        <v>3401381</v>
      </c>
      <c r="E13" s="469" t="s">
        <v>1230</v>
      </c>
      <c r="F13" s="1765">
        <f>'Expenditures 15-22'!K184</f>
        <v>2389464</v>
      </c>
      <c r="G13" s="1765">
        <f>'Expenditures 15-22'!K279</f>
        <v>628942</v>
      </c>
      <c r="H13" s="1765">
        <f>'Expenditures 15-22'!K303</f>
        <v>329258</v>
      </c>
      <c r="I13" s="468" t="s">
        <v>1230</v>
      </c>
      <c r="J13" s="1765">
        <f>'Expenditures 15-22'!K330</f>
        <v>850482</v>
      </c>
      <c r="K13" s="1769">
        <f>'Expenditures 15-22'!K352</f>
        <v>3865</v>
      </c>
      <c r="L13" s="347"/>
    </row>
    <row r="14" spans="1:13" ht="15.75" customHeight="1" x14ac:dyDescent="0.2">
      <c r="A14" s="1598" t="s">
        <v>468</v>
      </c>
      <c r="B14" s="1600">
        <v>3000</v>
      </c>
      <c r="C14" s="1765">
        <f>'Expenditures 15-22'!K75</f>
        <v>9483</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2115581</v>
      </c>
      <c r="D15" s="1765">
        <f>'Expenditures 15-22'!K139</f>
        <v>355275</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9016367</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26251296</v>
      </c>
      <c r="D17" s="1710">
        <f t="shared" si="2"/>
        <v>3756656</v>
      </c>
      <c r="E17" s="1710">
        <f t="shared" si="2"/>
        <v>9016367</v>
      </c>
      <c r="F17" s="1710">
        <f t="shared" si="2"/>
        <v>2389464</v>
      </c>
      <c r="G17" s="1710">
        <f t="shared" si="2"/>
        <v>883618</v>
      </c>
      <c r="H17" s="1710">
        <f t="shared" si="2"/>
        <v>329258</v>
      </c>
      <c r="I17" s="468"/>
      <c r="J17" s="1710">
        <f>SUM(J12:J16)</f>
        <v>850482</v>
      </c>
      <c r="K17" s="1710">
        <f>SUM(K12:K16)</f>
        <v>3865</v>
      </c>
      <c r="L17" s="347"/>
    </row>
    <row r="18" spans="1:12" ht="15" customHeight="1" thickTop="1" x14ac:dyDescent="0.2">
      <c r="A18" s="1766" t="s">
        <v>1752</v>
      </c>
      <c r="B18" s="1767">
        <v>4180</v>
      </c>
      <c r="C18" s="1764">
        <f t="shared" ref="C18:H18" si="3">C9</f>
        <v>1707542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27958838</v>
      </c>
      <c r="D19" s="1710">
        <f t="shared" si="4"/>
        <v>3756656</v>
      </c>
      <c r="E19" s="1710">
        <f t="shared" si="4"/>
        <v>9016367</v>
      </c>
      <c r="F19" s="1710">
        <f t="shared" si="4"/>
        <v>2389464</v>
      </c>
      <c r="G19" s="1710">
        <f t="shared" si="4"/>
        <v>883618</v>
      </c>
      <c r="H19" s="1710">
        <f t="shared" si="4"/>
        <v>329258</v>
      </c>
      <c r="I19" s="468"/>
      <c r="J19" s="1710">
        <f>SUM(J17:J18)</f>
        <v>850482</v>
      </c>
      <c r="K19" s="1710">
        <f>SUM(K17:K18)</f>
        <v>3865</v>
      </c>
      <c r="L19" s="347"/>
    </row>
    <row r="20" spans="1:12" ht="16.5" thickTop="1" thickBot="1" x14ac:dyDescent="0.25">
      <c r="A20" s="2143" t="s">
        <v>1753</v>
      </c>
      <c r="B20" s="2144"/>
      <c r="C20" s="1768">
        <f>C8-C17</f>
        <v>-72904</v>
      </c>
      <c r="D20" s="1768">
        <f t="shared" ref="D20:K20" si="5">D8-D17</f>
        <v>-125115</v>
      </c>
      <c r="E20" s="1768">
        <f t="shared" si="5"/>
        <v>652755</v>
      </c>
      <c r="F20" s="1768">
        <f t="shared" si="5"/>
        <v>595676</v>
      </c>
      <c r="G20" s="1768">
        <f t="shared" si="5"/>
        <v>120286</v>
      </c>
      <c r="H20" s="1768">
        <f t="shared" si="5"/>
        <v>-106032</v>
      </c>
      <c r="I20" s="1768">
        <f t="shared" si="5"/>
        <v>856021</v>
      </c>
      <c r="J20" s="1768">
        <f t="shared" si="5"/>
        <v>446296</v>
      </c>
      <c r="K20" s="1768">
        <f t="shared" si="5"/>
        <v>675819</v>
      </c>
      <c r="L20" s="347"/>
    </row>
    <row r="21" spans="1:12" ht="16.7" customHeight="1" thickTop="1" x14ac:dyDescent="0.2">
      <c r="A21" s="2155" t="s">
        <v>615</v>
      </c>
      <c r="B21" s="2156"/>
      <c r="C21" s="1592"/>
      <c r="D21" s="1593"/>
      <c r="E21" s="1593"/>
      <c r="F21" s="1593"/>
      <c r="G21" s="1593"/>
      <c r="H21" s="1593"/>
      <c r="I21" s="1593"/>
      <c r="J21" s="1593"/>
      <c r="K21" s="1594"/>
      <c r="L21" s="524"/>
    </row>
    <row r="22" spans="1:12" ht="15.75" customHeight="1" collapsed="1" x14ac:dyDescent="0.2">
      <c r="A22" s="2151" t="s">
        <v>616</v>
      </c>
      <c r="B22" s="2152"/>
      <c r="C22" s="477"/>
      <c r="D22" s="477"/>
      <c r="E22" s="477"/>
      <c r="F22" s="477"/>
      <c r="G22" s="477"/>
      <c r="H22" s="477"/>
      <c r="I22" s="477"/>
      <c r="J22" s="477"/>
      <c r="K22" s="477"/>
      <c r="L22" s="347"/>
    </row>
    <row r="23" spans="1:12" s="485" customFormat="1" ht="15.75" customHeight="1" x14ac:dyDescent="0.2">
      <c r="A23" s="2147" t="s">
        <v>310</v>
      </c>
      <c r="B23" s="214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650000</v>
      </c>
      <c r="D25" s="467">
        <v>350000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9" t="s">
        <v>1037</v>
      </c>
      <c r="B32" s="2150"/>
      <c r="C32" s="477"/>
      <c r="D32" s="477"/>
      <c r="E32" s="475"/>
      <c r="F32" s="477"/>
      <c r="G32" s="477"/>
      <c r="H32" s="477"/>
      <c r="I32" s="477"/>
      <c r="J32" s="477"/>
      <c r="K32" s="477"/>
      <c r="L32" s="524"/>
    </row>
    <row r="33" spans="1:12" s="485" customFormat="1" x14ac:dyDescent="0.2">
      <c r="A33" s="1511" t="s">
        <v>431</v>
      </c>
      <c r="B33" s="525">
        <v>7210</v>
      </c>
      <c r="C33" s="467"/>
      <c r="D33" s="467"/>
      <c r="E33" s="467">
        <v>7050000</v>
      </c>
      <c r="F33" s="467"/>
      <c r="G33" s="477"/>
      <c r="H33" s="467"/>
      <c r="I33" s="467"/>
      <c r="J33" s="467"/>
      <c r="K33" s="467"/>
      <c r="L33" s="524"/>
    </row>
    <row r="34" spans="1:12" s="485" customFormat="1" x14ac:dyDescent="0.2">
      <c r="A34" s="1511" t="s">
        <v>1057</v>
      </c>
      <c r="B34" s="525">
        <v>7220</v>
      </c>
      <c r="C34" s="467"/>
      <c r="D34" s="467"/>
      <c r="E34" s="467">
        <v>246418</v>
      </c>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7" t="s">
        <v>391</v>
      </c>
      <c r="B44" s="2158"/>
      <c r="C44" s="1725">
        <f>SUM(C24:C43)</f>
        <v>650000</v>
      </c>
      <c r="D44" s="1725">
        <f t="shared" ref="D44:K44" si="6">SUM(D24:D43)</f>
        <v>350000</v>
      </c>
      <c r="E44" s="1725">
        <f t="shared" si="6"/>
        <v>7296418</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1000000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f>7150000+42196</f>
        <v>7192196</v>
      </c>
      <c r="F75" s="532"/>
      <c r="G75" s="532"/>
      <c r="H75" s="532"/>
      <c r="I75" s="530"/>
      <c r="J75" s="530"/>
      <c r="K75" s="532"/>
      <c r="L75" s="524"/>
    </row>
    <row r="76" spans="1:12" s="485" customFormat="1" ht="14.25" thickTop="1" thickBot="1" x14ac:dyDescent="0.25">
      <c r="A76" s="2133" t="s">
        <v>459</v>
      </c>
      <c r="B76" s="2134"/>
      <c r="C76" s="1725">
        <f t="shared" ref="C76:K76" si="7">SUM(C47:C75)</f>
        <v>0</v>
      </c>
      <c r="D76" s="1725">
        <f t="shared" si="7"/>
        <v>0</v>
      </c>
      <c r="E76" s="1725">
        <f t="shared" si="7"/>
        <v>7192196</v>
      </c>
      <c r="F76" s="1725">
        <f t="shared" si="7"/>
        <v>0</v>
      </c>
      <c r="G76" s="1725">
        <f t="shared" si="7"/>
        <v>0</v>
      </c>
      <c r="H76" s="1725">
        <f t="shared" si="7"/>
        <v>0</v>
      </c>
      <c r="I76" s="1725">
        <f t="shared" si="7"/>
        <v>1000000</v>
      </c>
      <c r="J76" s="1725">
        <f t="shared" si="7"/>
        <v>0</v>
      </c>
      <c r="K76" s="1725">
        <f t="shared" si="7"/>
        <v>0</v>
      </c>
      <c r="L76" s="524"/>
    </row>
    <row r="77" spans="1:12" ht="14.25" thickTop="1" thickBot="1" x14ac:dyDescent="0.25">
      <c r="A77" s="2135" t="s">
        <v>1238</v>
      </c>
      <c r="B77" s="2136"/>
      <c r="C77" s="1725">
        <f t="shared" ref="C77:K77" si="8">C44-C76</f>
        <v>650000</v>
      </c>
      <c r="D77" s="1725">
        <f t="shared" si="8"/>
        <v>350000</v>
      </c>
      <c r="E77" s="1725">
        <f t="shared" si="8"/>
        <v>104222</v>
      </c>
      <c r="F77" s="1725">
        <f t="shared" si="8"/>
        <v>0</v>
      </c>
      <c r="G77" s="1725">
        <f t="shared" si="8"/>
        <v>0</v>
      </c>
      <c r="H77" s="1725">
        <f t="shared" si="8"/>
        <v>0</v>
      </c>
      <c r="I77" s="1725">
        <f t="shared" si="8"/>
        <v>-1000000</v>
      </c>
      <c r="J77" s="1725">
        <f t="shared" si="8"/>
        <v>0</v>
      </c>
      <c r="K77" s="1725">
        <f t="shared" si="8"/>
        <v>0</v>
      </c>
      <c r="L77" s="347"/>
    </row>
    <row r="78" spans="1:12" ht="21.75" customHeight="1" thickTop="1" thickBot="1" x14ac:dyDescent="0.25">
      <c r="A78" s="2139" t="s">
        <v>617</v>
      </c>
      <c r="B78" s="2140"/>
      <c r="C78" s="1724">
        <f t="shared" ref="C78:K78" si="9">C20+C77</f>
        <v>577096</v>
      </c>
      <c r="D78" s="1724">
        <f t="shared" si="9"/>
        <v>224885</v>
      </c>
      <c r="E78" s="1724">
        <f t="shared" si="9"/>
        <v>756977</v>
      </c>
      <c r="F78" s="1724">
        <f t="shared" si="9"/>
        <v>595676</v>
      </c>
      <c r="G78" s="1724">
        <f t="shared" si="9"/>
        <v>120286</v>
      </c>
      <c r="H78" s="1724">
        <f t="shared" si="9"/>
        <v>-106032</v>
      </c>
      <c r="I78" s="1724">
        <f t="shared" si="9"/>
        <v>-143979</v>
      </c>
      <c r="J78" s="1724">
        <f t="shared" si="9"/>
        <v>446296</v>
      </c>
      <c r="K78" s="1724">
        <f t="shared" si="9"/>
        <v>675819</v>
      </c>
      <c r="L78" s="533"/>
    </row>
    <row r="79" spans="1:12" ht="13.5" thickTop="1" x14ac:dyDescent="0.2">
      <c r="A79" s="1516" t="s">
        <v>2070</v>
      </c>
      <c r="B79" s="534"/>
      <c r="C79" s="478">
        <v>8159525</v>
      </c>
      <c r="D79" s="535">
        <v>3088488</v>
      </c>
      <c r="E79" s="535">
        <v>4139235</v>
      </c>
      <c r="F79" s="535">
        <v>1877690</v>
      </c>
      <c r="G79" s="535">
        <v>241031</v>
      </c>
      <c r="H79" s="535">
        <v>1504224</v>
      </c>
      <c r="I79" s="535">
        <v>13232743</v>
      </c>
      <c r="J79" s="535">
        <v>1605792</v>
      </c>
      <c r="K79" s="535">
        <v>265540</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2071</v>
      </c>
      <c r="B81" s="2138"/>
      <c r="C81" s="1710">
        <f>(SUM(C78:C80))</f>
        <v>8736621</v>
      </c>
      <c r="D81" s="1710">
        <f>SUM(D78:D80)</f>
        <v>3313373</v>
      </c>
      <c r="E81" s="1710">
        <f t="shared" ref="E81:K81" si="10">SUM(E78:E80)</f>
        <v>4896212</v>
      </c>
      <c r="F81" s="1710">
        <f t="shared" si="10"/>
        <v>2473366</v>
      </c>
      <c r="G81" s="1710">
        <f t="shared" si="10"/>
        <v>361317</v>
      </c>
      <c r="H81" s="1710">
        <f t="shared" si="10"/>
        <v>1398192</v>
      </c>
      <c r="I81" s="1710">
        <f t="shared" si="10"/>
        <v>13088764</v>
      </c>
      <c r="J81" s="1710">
        <f t="shared" si="10"/>
        <v>2052088</v>
      </c>
      <c r="K81" s="1710">
        <f t="shared" si="10"/>
        <v>941359</v>
      </c>
      <c r="L81" s="347"/>
    </row>
    <row r="82" spans="1:12" ht="0.75" customHeight="1" thickTop="1" thickBot="1" x14ac:dyDescent="0.25">
      <c r="A82" s="536" t="s">
        <v>360</v>
      </c>
      <c r="B82" s="537"/>
      <c r="C82" s="538">
        <f>(C81-C79)</f>
        <v>577096</v>
      </c>
      <c r="D82" s="538">
        <f t="shared" ref="D82:K82" si="11">(D81-D79)</f>
        <v>224885</v>
      </c>
      <c r="E82" s="538">
        <f t="shared" si="11"/>
        <v>756977</v>
      </c>
      <c r="F82" s="538">
        <f t="shared" si="11"/>
        <v>595676</v>
      </c>
      <c r="G82" s="538">
        <f t="shared" si="11"/>
        <v>120286</v>
      </c>
      <c r="H82" s="538">
        <f t="shared" si="11"/>
        <v>-106032</v>
      </c>
      <c r="I82" s="538">
        <f t="shared" si="11"/>
        <v>-143979</v>
      </c>
      <c r="J82" s="538">
        <f t="shared" si="11"/>
        <v>446296</v>
      </c>
      <c r="K82" s="538">
        <f t="shared" si="11"/>
        <v>675819</v>
      </c>
    </row>
    <row r="83" spans="1:12" ht="14.25" hidden="1" thickTop="1" thickBot="1" x14ac:dyDescent="0.25">
      <c r="A83" s="539" t="s">
        <v>361</v>
      </c>
      <c r="B83" s="464"/>
      <c r="C83" s="540">
        <f>C82/C81</f>
        <v>6.6054828291166573E-2</v>
      </c>
      <c r="D83" s="540">
        <f t="shared" ref="D83:K83" si="12">D82/D81</f>
        <v>6.7871923867309836E-2</v>
      </c>
      <c r="E83" s="540">
        <f t="shared" si="12"/>
        <v>0.15460462087834431</v>
      </c>
      <c r="F83" s="540">
        <f t="shared" si="12"/>
        <v>0.24083617224462534</v>
      </c>
      <c r="G83" s="540">
        <f t="shared" si="12"/>
        <v>0.33290988245778635</v>
      </c>
      <c r="H83" s="540">
        <f t="shared" si="12"/>
        <v>-7.5835078444162179E-2</v>
      </c>
      <c r="I83" s="540">
        <f t="shared" si="12"/>
        <v>-1.1000198338055449E-2</v>
      </c>
      <c r="J83" s="540">
        <f t="shared" si="12"/>
        <v>0.2174838505951012</v>
      </c>
      <c r="K83" s="540">
        <f t="shared" si="12"/>
        <v>0.71791845618940275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444</v>
      </c>
      <c r="D1" s="453" t="s">
        <v>445</v>
      </c>
      <c r="E1" s="453" t="s">
        <v>446</v>
      </c>
      <c r="F1" s="453" t="s">
        <v>447</v>
      </c>
      <c r="G1" s="453" t="s">
        <v>448</v>
      </c>
      <c r="H1" s="453" t="s">
        <v>449</v>
      </c>
      <c r="I1" s="453" t="s">
        <v>450</v>
      </c>
      <c r="J1" s="453" t="s">
        <v>451</v>
      </c>
      <c r="K1" s="453" t="s">
        <v>779</v>
      </c>
    </row>
    <row r="2" spans="1:12" ht="36" x14ac:dyDescent="0.2">
      <c r="A2" s="214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15782302</v>
      </c>
      <c r="D5" s="481">
        <v>3234232</v>
      </c>
      <c r="E5" s="466">
        <v>9179947</v>
      </c>
      <c r="F5" s="548">
        <v>1552751</v>
      </c>
      <c r="G5" s="466">
        <v>386722</v>
      </c>
      <c r="H5" s="466"/>
      <c r="I5" s="466">
        <v>647202</v>
      </c>
      <c r="J5" s="467">
        <v>1235839</v>
      </c>
      <c r="K5" s="466">
        <v>647202</v>
      </c>
    </row>
    <row r="6" spans="1:12" ht="15" x14ac:dyDescent="0.2">
      <c r="A6" s="463" t="s">
        <v>1760</v>
      </c>
      <c r="B6" s="470">
        <v>1130</v>
      </c>
      <c r="C6" s="466">
        <v>647202</v>
      </c>
      <c r="D6" s="466"/>
      <c r="E6" s="475"/>
      <c r="F6" s="475"/>
      <c r="G6" s="468"/>
      <c r="H6" s="468"/>
      <c r="I6" s="468"/>
      <c r="J6" s="468"/>
      <c r="K6" s="468"/>
    </row>
    <row r="7" spans="1:12" x14ac:dyDescent="0.2">
      <c r="A7" s="463" t="s">
        <v>112</v>
      </c>
      <c r="B7" s="549">
        <v>1140</v>
      </c>
      <c r="C7" s="466">
        <v>258790</v>
      </c>
      <c r="D7" s="466"/>
      <c r="E7" s="468"/>
      <c r="F7" s="467"/>
      <c r="G7" s="467"/>
      <c r="H7" s="467"/>
      <c r="I7" s="468"/>
      <c r="J7" s="468"/>
      <c r="K7" s="468"/>
    </row>
    <row r="8" spans="1:12" x14ac:dyDescent="0.2">
      <c r="A8" s="463" t="s">
        <v>432</v>
      </c>
      <c r="B8" s="470">
        <v>1150</v>
      </c>
      <c r="C8" s="475"/>
      <c r="D8" s="475"/>
      <c r="E8" s="477"/>
      <c r="F8" s="477"/>
      <c r="G8" s="481">
        <v>489151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16688294</v>
      </c>
      <c r="D12" s="1729">
        <f t="shared" si="0"/>
        <v>3234232</v>
      </c>
      <c r="E12" s="1729">
        <f t="shared" si="0"/>
        <v>9179947</v>
      </c>
      <c r="F12" s="1729">
        <f t="shared" si="0"/>
        <v>1552751</v>
      </c>
      <c r="G12" s="1729">
        <f t="shared" si="0"/>
        <v>875873</v>
      </c>
      <c r="H12" s="1729">
        <f t="shared" si="0"/>
        <v>0</v>
      </c>
      <c r="I12" s="1729">
        <f t="shared" si="0"/>
        <v>647202</v>
      </c>
      <c r="J12" s="1729">
        <f t="shared" si="0"/>
        <v>1235839</v>
      </c>
      <c r="K12" s="1710">
        <f t="shared" si="0"/>
        <v>647202</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302991</v>
      </c>
      <c r="D16" s="466">
        <v>165268</v>
      </c>
      <c r="E16" s="466"/>
      <c r="F16" s="466"/>
      <c r="G16" s="466">
        <v>82634</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302991</v>
      </c>
      <c r="D18" s="1732">
        <f t="shared" ref="D18:K18" si="1">SUM(D14:D17)</f>
        <v>165268</v>
      </c>
      <c r="E18" s="1732">
        <f t="shared" si="1"/>
        <v>0</v>
      </c>
      <c r="F18" s="1732">
        <f t="shared" si="1"/>
        <v>0</v>
      </c>
      <c r="G18" s="1732">
        <f t="shared" si="1"/>
        <v>82634</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12510</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12510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176601</v>
      </c>
      <c r="D65" s="466">
        <v>26150</v>
      </c>
      <c r="E65" s="466">
        <v>89790</v>
      </c>
      <c r="F65" s="467">
        <v>12111</v>
      </c>
      <c r="G65" s="466">
        <v>9416</v>
      </c>
      <c r="H65" s="466">
        <v>22721</v>
      </c>
      <c r="I65" s="466">
        <v>182735</v>
      </c>
      <c r="J65" s="467">
        <v>10153</v>
      </c>
      <c r="K65" s="466">
        <v>6398</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176601</v>
      </c>
      <c r="D67" s="1710">
        <f t="shared" ref="D67:K67" si="2">SUM(D65:D66)</f>
        <v>26150</v>
      </c>
      <c r="E67" s="1710">
        <f t="shared" si="2"/>
        <v>89790</v>
      </c>
      <c r="F67" s="1710">
        <f t="shared" si="2"/>
        <v>12111</v>
      </c>
      <c r="G67" s="1710">
        <f t="shared" si="2"/>
        <v>9416</v>
      </c>
      <c r="H67" s="1710">
        <f t="shared" si="2"/>
        <v>22721</v>
      </c>
      <c r="I67" s="1710">
        <f t="shared" si="2"/>
        <v>182735</v>
      </c>
      <c r="J67" s="1710">
        <f t="shared" si="2"/>
        <v>10153</v>
      </c>
      <c r="K67" s="1710">
        <f t="shared" si="2"/>
        <v>6398</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966168</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508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966676</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65358</v>
      </c>
      <c r="D77" s="466"/>
      <c r="E77" s="468"/>
      <c r="F77" s="468"/>
      <c r="G77" s="468"/>
      <c r="H77" s="468"/>
      <c r="I77" s="468"/>
      <c r="J77" s="468"/>
      <c r="K77" s="468"/>
    </row>
    <row r="78" spans="1:11" ht="12.75" customHeight="1" x14ac:dyDescent="0.2">
      <c r="A78" s="463" t="s">
        <v>78</v>
      </c>
      <c r="B78" s="470">
        <v>1719</v>
      </c>
      <c r="C78" s="551">
        <v>22128</v>
      </c>
      <c r="D78" s="466"/>
      <c r="E78" s="468"/>
      <c r="F78" s="468"/>
      <c r="G78" s="468"/>
      <c r="H78" s="468"/>
      <c r="I78" s="468"/>
      <c r="J78" s="468"/>
      <c r="K78" s="468"/>
    </row>
    <row r="79" spans="1:11" ht="12.75" customHeight="1" x14ac:dyDescent="0.2">
      <c r="A79" s="463" t="s">
        <v>570</v>
      </c>
      <c r="B79" s="470">
        <v>1720</v>
      </c>
      <c r="C79" s="551">
        <v>206444</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771</v>
      </c>
      <c r="D81" s="466"/>
      <c r="E81" s="468"/>
      <c r="F81" s="468"/>
      <c r="G81" s="468"/>
      <c r="H81" s="468"/>
      <c r="I81" s="468"/>
      <c r="J81" s="468"/>
      <c r="K81" s="468"/>
    </row>
    <row r="82" spans="1:11" ht="12.75" customHeight="1" thickBot="1" x14ac:dyDescent="0.25">
      <c r="A82" s="1730" t="s">
        <v>259</v>
      </c>
      <c r="B82" s="1731"/>
      <c r="C82" s="1729">
        <f>SUM(C77:C81)</f>
        <v>294701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525693</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42828</v>
      </c>
      <c r="D92" s="468"/>
      <c r="E92" s="468"/>
      <c r="F92" s="468"/>
      <c r="G92" s="468"/>
      <c r="H92" s="468"/>
      <c r="I92" s="468"/>
      <c r="J92" s="468"/>
      <c r="K92" s="468"/>
    </row>
    <row r="93" spans="1:11" ht="12.75" customHeight="1" thickBot="1" x14ac:dyDescent="0.25">
      <c r="A93" s="1730" t="s">
        <v>261</v>
      </c>
      <c r="B93" s="1731"/>
      <c r="C93" s="1710">
        <f>SUM(C84:C92)</f>
        <v>568521</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28518</v>
      </c>
      <c r="E95" s="521"/>
      <c r="F95" s="521"/>
      <c r="G95" s="521"/>
      <c r="H95" s="521"/>
      <c r="I95" s="521"/>
      <c r="J95" s="521"/>
      <c r="K95" s="521"/>
    </row>
    <row r="96" spans="1:11" ht="12.75" customHeight="1" x14ac:dyDescent="0.2">
      <c r="A96" s="463" t="s">
        <v>408</v>
      </c>
      <c r="B96" s="470">
        <v>1920</v>
      </c>
      <c r="C96" s="551">
        <v>5000</v>
      </c>
      <c r="D96" s="551"/>
      <c r="E96" s="479"/>
      <c r="F96" s="478"/>
      <c r="G96" s="478"/>
      <c r="H96" s="478"/>
      <c r="I96" s="478"/>
      <c r="J96" s="478"/>
      <c r="K96" s="478"/>
    </row>
    <row r="97" spans="1:12" ht="12.75" customHeight="1" x14ac:dyDescent="0.2">
      <c r="A97" s="1517" t="s">
        <v>262</v>
      </c>
      <c r="B97" s="559">
        <v>1930</v>
      </c>
      <c r="C97" s="489"/>
      <c r="D97" s="467"/>
      <c r="E97" s="474"/>
      <c r="F97" s="467"/>
      <c r="G97" s="467"/>
      <c r="H97" s="467">
        <v>200505</v>
      </c>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51856</v>
      </c>
      <c r="D99" s="466"/>
      <c r="E99" s="466"/>
      <c r="F99" s="466">
        <v>12045</v>
      </c>
      <c r="G99" s="466"/>
      <c r="H99" s="466"/>
      <c r="I99" s="468"/>
      <c r="J99" s="467"/>
      <c r="K99" s="466"/>
    </row>
    <row r="100" spans="1:12" ht="12.75" customHeight="1" x14ac:dyDescent="0.2">
      <c r="A100" s="463" t="s">
        <v>263</v>
      </c>
      <c r="B100" s="470">
        <v>1960</v>
      </c>
      <c r="C100" s="489">
        <v>672968</v>
      </c>
      <c r="D100" s="489">
        <v>130420</v>
      </c>
      <c r="E100" s="489">
        <v>376961</v>
      </c>
      <c r="F100" s="489">
        <v>62602</v>
      </c>
      <c r="G100" s="489">
        <v>35981</v>
      </c>
      <c r="H100" s="489"/>
      <c r="I100" s="467">
        <v>26084</v>
      </c>
      <c r="J100" s="489">
        <v>50786</v>
      </c>
      <c r="K100" s="467">
        <v>26084</v>
      </c>
    </row>
    <row r="101" spans="1:12" ht="12.75" customHeight="1" x14ac:dyDescent="0.2">
      <c r="A101" s="463" t="s">
        <v>264</v>
      </c>
      <c r="B101" s="470">
        <v>1970</v>
      </c>
      <c r="C101" s="489">
        <v>64134</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232148</v>
      </c>
      <c r="D107" s="466">
        <v>46953</v>
      </c>
      <c r="E107" s="466">
        <v>22424</v>
      </c>
      <c r="F107" s="466">
        <v>23004</v>
      </c>
      <c r="G107" s="466"/>
      <c r="H107" s="466"/>
      <c r="I107" s="466"/>
      <c r="J107" s="467"/>
      <c r="K107" s="466"/>
    </row>
    <row r="108" spans="1:12" ht="12.75" customHeight="1" thickBot="1" x14ac:dyDescent="0.25">
      <c r="A108" s="1730" t="s">
        <v>507</v>
      </c>
      <c r="B108" s="1734"/>
      <c r="C108" s="1729">
        <f>SUM(C95:C107)</f>
        <v>1026106</v>
      </c>
      <c r="D108" s="1729">
        <f t="shared" ref="D108:K108" si="3">SUM(D95:D107)</f>
        <v>205891</v>
      </c>
      <c r="E108" s="1729">
        <f t="shared" si="3"/>
        <v>399385</v>
      </c>
      <c r="F108" s="1729">
        <f t="shared" si="3"/>
        <v>97651</v>
      </c>
      <c r="G108" s="1729">
        <f t="shared" si="3"/>
        <v>35981</v>
      </c>
      <c r="H108" s="1729">
        <f t="shared" si="3"/>
        <v>200505</v>
      </c>
      <c r="I108" s="1729">
        <f t="shared" si="3"/>
        <v>26084</v>
      </c>
      <c r="J108" s="1729">
        <f t="shared" si="3"/>
        <v>50786</v>
      </c>
      <c r="K108" s="1710">
        <f t="shared" si="3"/>
        <v>26084</v>
      </c>
    </row>
    <row r="109" spans="1:12" ht="14.25" thickTop="1" thickBot="1" x14ac:dyDescent="0.25">
      <c r="A109" s="1735" t="s">
        <v>266</v>
      </c>
      <c r="B109" s="1736" t="s">
        <v>590</v>
      </c>
      <c r="C109" s="1737">
        <f t="shared" ref="C109:K109" si="4">SUM(C12,C18,C40,C63,C67,C75,C82,C93,C108,)</f>
        <v>20036400</v>
      </c>
      <c r="D109" s="1737">
        <f t="shared" si="4"/>
        <v>3631541</v>
      </c>
      <c r="E109" s="1737">
        <f t="shared" si="4"/>
        <v>9669122</v>
      </c>
      <c r="F109" s="1737">
        <f t="shared" si="4"/>
        <v>1662513</v>
      </c>
      <c r="G109" s="1737">
        <f t="shared" si="4"/>
        <v>1003904</v>
      </c>
      <c r="H109" s="1737">
        <f t="shared" si="4"/>
        <v>223226</v>
      </c>
      <c r="I109" s="1737">
        <f t="shared" si="4"/>
        <v>856021</v>
      </c>
      <c r="J109" s="1737">
        <f t="shared" si="4"/>
        <v>1296778</v>
      </c>
      <c r="K109" s="1724">
        <f t="shared" si="4"/>
        <v>679684</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5034395</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5034395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509511</v>
      </c>
      <c r="D124" s="561"/>
      <c r="E124" s="468"/>
      <c r="F124" s="548"/>
      <c r="G124" s="468"/>
      <c r="H124" s="468"/>
      <c r="I124" s="468"/>
      <c r="J124" s="468"/>
      <c r="K124" s="468"/>
    </row>
    <row r="125" spans="1:11" ht="12.75" customHeight="1" x14ac:dyDescent="0.2">
      <c r="A125" s="463" t="s">
        <v>1520</v>
      </c>
      <c r="B125" s="562">
        <v>3105</v>
      </c>
      <c r="C125" s="466">
        <v>169718</v>
      </c>
      <c r="D125" s="561"/>
      <c r="E125" s="468"/>
      <c r="F125" s="466"/>
      <c r="G125" s="468"/>
      <c r="H125" s="468"/>
      <c r="I125" s="468"/>
      <c r="J125" s="468"/>
      <c r="K125" s="468"/>
    </row>
    <row r="126" spans="1:11" ht="12.75" customHeight="1" x14ac:dyDescent="0.2">
      <c r="A126" s="463" t="s">
        <v>921</v>
      </c>
      <c r="B126" s="562">
        <v>3110</v>
      </c>
      <c r="C126" s="551">
        <v>97795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777024</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65106</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1653</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66759</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1298</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101598</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398017</v>
      </c>
      <c r="G151" s="467"/>
      <c r="H151" s="468"/>
      <c r="I151" s="468"/>
      <c r="J151" s="468"/>
      <c r="K151" s="468"/>
    </row>
    <row r="152" spans="1:11" ht="12.75" customHeight="1" x14ac:dyDescent="0.2">
      <c r="A152" s="463" t="s">
        <v>1116</v>
      </c>
      <c r="B152" s="562">
        <v>3510</v>
      </c>
      <c r="C152" s="551"/>
      <c r="D152" s="466"/>
      <c r="E152" s="561"/>
      <c r="F152" s="466">
        <v>924610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1322627</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3671</v>
      </c>
      <c r="D171" s="580"/>
      <c r="E171" s="580"/>
      <c r="F171" s="580"/>
      <c r="G171" s="581"/>
      <c r="H171" s="582"/>
      <c r="I171" s="581"/>
      <c r="J171" s="581"/>
      <c r="K171" s="582"/>
    </row>
    <row r="172" spans="1:11" ht="12.75" customHeight="1" thickTop="1" thickBot="1" x14ac:dyDescent="0.25">
      <c r="A172" s="2161" t="s">
        <v>417</v>
      </c>
      <c r="B172" s="2162"/>
      <c r="C172" s="1744">
        <f t="shared" ref="C172:K172" si="6">SUM(C131,C140,C144,C145:C149,C154,C155:C170,C171)</f>
        <v>950350</v>
      </c>
      <c r="D172" s="1744">
        <f t="shared" si="6"/>
        <v>0</v>
      </c>
      <c r="E172" s="1744">
        <f t="shared" si="6"/>
        <v>0</v>
      </c>
      <c r="F172" s="1744">
        <f t="shared" si="6"/>
        <v>1322627</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5984745</v>
      </c>
      <c r="D173" s="1737">
        <f>SUM(D121,D172)</f>
        <v>0</v>
      </c>
      <c r="E173" s="1737">
        <f>SUM(E121,E172)</f>
        <v>0</v>
      </c>
      <c r="F173" s="1737">
        <f t="shared" ref="F173:K173" si="7">SUM(F121,F172)</f>
        <v>1322627</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3" t="s">
        <v>1571</v>
      </c>
      <c r="B175" s="2164"/>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7" t="s">
        <v>1763</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9" t="s">
        <v>817</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c r="D194" s="468"/>
      <c r="E194" s="561"/>
      <c r="F194" s="468"/>
      <c r="G194" s="585"/>
      <c r="H194" s="468"/>
      <c r="I194" s="468"/>
      <c r="J194" s="468"/>
      <c r="K194" s="468"/>
    </row>
    <row r="195" spans="1:11" ht="12.75" customHeight="1" x14ac:dyDescent="0.2">
      <c r="A195" s="463" t="s">
        <v>1106</v>
      </c>
      <c r="B195" s="470">
        <v>4215</v>
      </c>
      <c r="C195" s="551">
        <v>3969</v>
      </c>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3969</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27695</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27695</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122179</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122179</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905</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2499</v>
      </c>
      <c r="D270" s="576"/>
      <c r="E270" s="468"/>
      <c r="F270" s="576"/>
      <c r="G270" s="576"/>
      <c r="H270" s="468"/>
      <c r="I270" s="468"/>
      <c r="J270" s="468"/>
      <c r="K270" s="468"/>
    </row>
    <row r="271" spans="1:11" ht="12.75" customHeight="1" thickTop="1" thickBot="1" x14ac:dyDescent="0.25">
      <c r="A271" s="463" t="s">
        <v>394</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157247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157247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26178392</v>
      </c>
      <c r="D275" s="1737">
        <f t="shared" si="12"/>
        <v>3631541</v>
      </c>
      <c r="E275" s="1737">
        <f t="shared" si="12"/>
        <v>9669122</v>
      </c>
      <c r="F275" s="1737">
        <f t="shared" si="12"/>
        <v>2985140</v>
      </c>
      <c r="G275" s="1737">
        <f t="shared" si="12"/>
        <v>1003904</v>
      </c>
      <c r="H275" s="1737">
        <f t="shared" si="12"/>
        <v>223226</v>
      </c>
      <c r="I275" s="1737">
        <f t="shared" si="12"/>
        <v>856021</v>
      </c>
      <c r="J275" s="1737">
        <f t="shared" si="12"/>
        <v>1296778</v>
      </c>
      <c r="K275" s="1724">
        <f t="shared" si="12"/>
        <v>679684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1" t="s">
        <v>314</v>
      </c>
      <c r="B3" s="2182"/>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8495819</v>
      </c>
      <c r="D5" s="466">
        <v>2854841</v>
      </c>
      <c r="E5" s="466">
        <v>40437</v>
      </c>
      <c r="F5" s="466">
        <v>314730</v>
      </c>
      <c r="G5" s="466">
        <v>31215</v>
      </c>
      <c r="H5" s="466">
        <v>11170</v>
      </c>
      <c r="I5" s="467"/>
      <c r="J5" s="467"/>
      <c r="K5" s="1693">
        <f>SUM(C5:J5)</f>
        <v>11748212</v>
      </c>
      <c r="L5" s="466">
        <v>11959783</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1097134</v>
      </c>
      <c r="D8" s="466">
        <v>328653</v>
      </c>
      <c r="E8" s="466"/>
      <c r="F8" s="466">
        <v>4795</v>
      </c>
      <c r="G8" s="466">
        <v>5854</v>
      </c>
      <c r="H8" s="466"/>
      <c r="I8" s="467"/>
      <c r="J8" s="467"/>
      <c r="K8" s="1693">
        <f t="shared" si="0"/>
        <v>1436436</v>
      </c>
      <c r="L8" s="466">
        <v>1419547</v>
      </c>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c r="D10" s="466"/>
      <c r="E10" s="466"/>
      <c r="F10" s="466"/>
      <c r="G10" s="466"/>
      <c r="H10" s="466"/>
      <c r="I10" s="467"/>
      <c r="J10" s="467"/>
      <c r="K10" s="1693">
        <f t="shared" si="0"/>
        <v>0</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966147</v>
      </c>
      <c r="D13" s="466">
        <v>335783</v>
      </c>
      <c r="E13" s="466">
        <v>51946</v>
      </c>
      <c r="F13" s="466">
        <v>97130</v>
      </c>
      <c r="G13" s="466">
        <v>5790</v>
      </c>
      <c r="H13" s="466">
        <v>1573</v>
      </c>
      <c r="I13" s="467"/>
      <c r="J13" s="467"/>
      <c r="K13" s="1693">
        <f t="shared" si="0"/>
        <v>1458369</v>
      </c>
      <c r="L13" s="466">
        <v>1357633</v>
      </c>
    </row>
    <row r="14" spans="1:14" x14ac:dyDescent="0.2">
      <c r="A14" s="1526" t="s">
        <v>1019</v>
      </c>
      <c r="B14" s="615">
        <v>1500</v>
      </c>
      <c r="C14" s="466">
        <v>1238659</v>
      </c>
      <c r="D14" s="466">
        <v>324690</v>
      </c>
      <c r="E14" s="466">
        <v>232951</v>
      </c>
      <c r="F14" s="466">
        <v>109481</v>
      </c>
      <c r="G14" s="466">
        <v>4794</v>
      </c>
      <c r="H14" s="466">
        <v>7557</v>
      </c>
      <c r="I14" s="467"/>
      <c r="J14" s="467"/>
      <c r="K14" s="1693">
        <f t="shared" si="0"/>
        <v>1918132</v>
      </c>
      <c r="L14" s="466">
        <v>1893986</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596817</v>
      </c>
      <c r="D17" s="467">
        <v>164555</v>
      </c>
      <c r="E17" s="467">
        <v>390</v>
      </c>
      <c r="F17" s="467">
        <v>11036</v>
      </c>
      <c r="G17" s="467"/>
      <c r="H17" s="467"/>
      <c r="I17" s="467"/>
      <c r="J17" s="467"/>
      <c r="K17" s="1693">
        <f t="shared" si="0"/>
        <v>772798</v>
      </c>
      <c r="L17" s="466">
        <v>764705</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v>111337</v>
      </c>
      <c r="D19" s="466">
        <v>25711</v>
      </c>
      <c r="E19" s="466"/>
      <c r="F19" s="466"/>
      <c r="G19" s="466"/>
      <c r="H19" s="466"/>
      <c r="I19" s="467"/>
      <c r="J19" s="467"/>
      <c r="K19" s="1693">
        <f t="shared" si="0"/>
        <v>137048</v>
      </c>
      <c r="L19" s="466">
        <v>136425</v>
      </c>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921012</v>
      </c>
      <c r="I22" s="617"/>
      <c r="J22" s="477"/>
      <c r="K22" s="1693">
        <f t="shared" si="0"/>
        <v>921012</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v>200</v>
      </c>
    </row>
    <row r="33" spans="1:14" ht="12.75" customHeight="1" thickBot="1" x14ac:dyDescent="0.25">
      <c r="A33" s="1690" t="s">
        <v>1766</v>
      </c>
      <c r="B33" s="1691" t="s">
        <v>590</v>
      </c>
      <c r="C33" s="1692">
        <f>SUM(C5:C32)</f>
        <v>12505913</v>
      </c>
      <c r="D33" s="1692">
        <f t="shared" ref="D33:L33" si="1">SUM(D5:D32)</f>
        <v>4034233</v>
      </c>
      <c r="E33" s="1692">
        <f t="shared" si="1"/>
        <v>325724</v>
      </c>
      <c r="F33" s="1692">
        <f t="shared" si="1"/>
        <v>537172</v>
      </c>
      <c r="G33" s="1692">
        <f t="shared" si="1"/>
        <v>47653</v>
      </c>
      <c r="H33" s="1692">
        <f t="shared" si="1"/>
        <v>941312</v>
      </c>
      <c r="I33" s="1692">
        <f t="shared" si="1"/>
        <v>0</v>
      </c>
      <c r="J33" s="1692">
        <f t="shared" si="1"/>
        <v>0</v>
      </c>
      <c r="K33" s="1692">
        <f t="shared" si="1"/>
        <v>18392007</v>
      </c>
      <c r="L33" s="1692">
        <f t="shared" si="1"/>
        <v>17532279</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167695</v>
      </c>
      <c r="D36" s="481">
        <v>46258</v>
      </c>
      <c r="E36" s="481">
        <v>220</v>
      </c>
      <c r="F36" s="481">
        <v>1359</v>
      </c>
      <c r="G36" s="481"/>
      <c r="H36" s="481"/>
      <c r="I36" s="467"/>
      <c r="J36" s="467"/>
      <c r="K36" s="1693">
        <f t="shared" ref="K36:K41" si="2">SUM(C36:J36)</f>
        <v>215532</v>
      </c>
      <c r="L36" s="466">
        <v>272055</v>
      </c>
    </row>
    <row r="37" spans="1:14" x14ac:dyDescent="0.2">
      <c r="A37" s="1526" t="s">
        <v>1150</v>
      </c>
      <c r="B37" s="615">
        <v>2120</v>
      </c>
      <c r="C37" s="466">
        <v>686774</v>
      </c>
      <c r="D37" s="466">
        <v>202493</v>
      </c>
      <c r="E37" s="466">
        <v>50086</v>
      </c>
      <c r="F37" s="466">
        <v>10773</v>
      </c>
      <c r="G37" s="466"/>
      <c r="H37" s="466">
        <v>105</v>
      </c>
      <c r="I37" s="467"/>
      <c r="J37" s="467"/>
      <c r="K37" s="1693">
        <f t="shared" si="2"/>
        <v>950231</v>
      </c>
      <c r="L37" s="466">
        <v>970836</v>
      </c>
    </row>
    <row r="38" spans="1:14" x14ac:dyDescent="0.2">
      <c r="A38" s="1526" t="s">
        <v>207</v>
      </c>
      <c r="B38" s="615">
        <v>2130</v>
      </c>
      <c r="C38" s="466">
        <v>72146</v>
      </c>
      <c r="D38" s="466">
        <v>7415</v>
      </c>
      <c r="E38" s="466">
        <v>135</v>
      </c>
      <c r="F38" s="466">
        <v>3202</v>
      </c>
      <c r="G38" s="466"/>
      <c r="H38" s="466"/>
      <c r="I38" s="467"/>
      <c r="J38" s="467"/>
      <c r="K38" s="1693">
        <f t="shared" si="2"/>
        <v>82898</v>
      </c>
      <c r="L38" s="466">
        <v>109385</v>
      </c>
    </row>
    <row r="39" spans="1:14" x14ac:dyDescent="0.2">
      <c r="A39" s="1526" t="s">
        <v>208</v>
      </c>
      <c r="B39" s="615">
        <v>2140</v>
      </c>
      <c r="C39" s="466">
        <v>69641</v>
      </c>
      <c r="D39" s="466">
        <v>8787</v>
      </c>
      <c r="E39" s="466"/>
      <c r="F39" s="466">
        <v>1372</v>
      </c>
      <c r="G39" s="466"/>
      <c r="H39" s="466"/>
      <c r="I39" s="467"/>
      <c r="J39" s="467"/>
      <c r="K39" s="1693">
        <f t="shared" si="2"/>
        <v>79800</v>
      </c>
      <c r="L39" s="466">
        <v>78273</v>
      </c>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1767</v>
      </c>
      <c r="B41" s="615">
        <v>2190</v>
      </c>
      <c r="C41" s="466">
        <v>164034</v>
      </c>
      <c r="D41" s="466">
        <v>16564</v>
      </c>
      <c r="E41" s="466">
        <v>3189</v>
      </c>
      <c r="F41" s="466">
        <v>352</v>
      </c>
      <c r="G41" s="466"/>
      <c r="H41" s="466">
        <v>1052</v>
      </c>
      <c r="I41" s="467"/>
      <c r="J41" s="467"/>
      <c r="K41" s="1693">
        <f t="shared" si="2"/>
        <v>185191</v>
      </c>
      <c r="L41" s="466">
        <v>2348</v>
      </c>
    </row>
    <row r="42" spans="1:14" ht="12.75" customHeight="1" thickBot="1" x14ac:dyDescent="0.25">
      <c r="A42" s="1690" t="s">
        <v>580</v>
      </c>
      <c r="B42" s="1691" t="s">
        <v>739</v>
      </c>
      <c r="C42" s="1692">
        <f>SUM(C36:C41)</f>
        <v>1160290</v>
      </c>
      <c r="D42" s="1692">
        <f t="shared" ref="D42:L42" si="3">SUM(D36:D41)</f>
        <v>281517</v>
      </c>
      <c r="E42" s="1692">
        <f t="shared" si="3"/>
        <v>53630</v>
      </c>
      <c r="F42" s="1692">
        <f t="shared" si="3"/>
        <v>17058</v>
      </c>
      <c r="G42" s="1692">
        <f t="shared" si="3"/>
        <v>0</v>
      </c>
      <c r="H42" s="1692">
        <f t="shared" si="3"/>
        <v>1157</v>
      </c>
      <c r="I42" s="1692">
        <f t="shared" si="3"/>
        <v>0</v>
      </c>
      <c r="J42" s="1692">
        <f t="shared" si="3"/>
        <v>0</v>
      </c>
      <c r="K42" s="1692">
        <f t="shared" si="3"/>
        <v>1513652</v>
      </c>
      <c r="L42" s="1692">
        <f t="shared" si="3"/>
        <v>1432897</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153462</v>
      </c>
      <c r="D44" s="481">
        <v>35275</v>
      </c>
      <c r="E44" s="481">
        <v>65275</v>
      </c>
      <c r="F44" s="481">
        <v>11096</v>
      </c>
      <c r="G44" s="481"/>
      <c r="H44" s="481">
        <v>122</v>
      </c>
      <c r="I44" s="467"/>
      <c r="J44" s="467"/>
      <c r="K44" s="1694">
        <f>SUM(C44:J44)</f>
        <v>265230</v>
      </c>
      <c r="L44" s="481">
        <v>193009</v>
      </c>
    </row>
    <row r="45" spans="1:14" x14ac:dyDescent="0.2">
      <c r="A45" s="1526" t="s">
        <v>868</v>
      </c>
      <c r="B45" s="615">
        <v>2220</v>
      </c>
      <c r="C45" s="466">
        <v>410545</v>
      </c>
      <c r="D45" s="466">
        <v>100348</v>
      </c>
      <c r="E45" s="466">
        <v>112217</v>
      </c>
      <c r="F45" s="466">
        <v>176210</v>
      </c>
      <c r="G45" s="466">
        <v>119680</v>
      </c>
      <c r="H45" s="466">
        <v>715</v>
      </c>
      <c r="I45" s="467"/>
      <c r="J45" s="467"/>
      <c r="K45" s="1694">
        <f>SUM(C45:J45)</f>
        <v>919715</v>
      </c>
      <c r="L45" s="466">
        <v>900009</v>
      </c>
    </row>
    <row r="46" spans="1:14" x14ac:dyDescent="0.2">
      <c r="A46" s="1526" t="s">
        <v>869</v>
      </c>
      <c r="B46" s="615">
        <v>2230</v>
      </c>
      <c r="C46" s="466"/>
      <c r="D46" s="466"/>
      <c r="E46" s="466">
        <v>12492</v>
      </c>
      <c r="F46" s="466"/>
      <c r="G46" s="466"/>
      <c r="H46" s="466"/>
      <c r="I46" s="467"/>
      <c r="J46" s="467"/>
      <c r="K46" s="1694">
        <f>SUM(C46:J46)</f>
        <v>12492</v>
      </c>
      <c r="L46" s="466">
        <v>0</v>
      </c>
    </row>
    <row r="47" spans="1:14" ht="12.75" customHeight="1" thickBot="1" x14ac:dyDescent="0.25">
      <c r="A47" s="1690" t="s">
        <v>581</v>
      </c>
      <c r="B47" s="1691" t="s">
        <v>32</v>
      </c>
      <c r="C47" s="1692">
        <f>SUM(C44:C46)</f>
        <v>564007</v>
      </c>
      <c r="D47" s="1692">
        <f t="shared" ref="D47:K47" si="4">SUM(D44:D46)</f>
        <v>135623</v>
      </c>
      <c r="E47" s="1692">
        <f t="shared" si="4"/>
        <v>189984</v>
      </c>
      <c r="F47" s="1692">
        <f t="shared" si="4"/>
        <v>187306</v>
      </c>
      <c r="G47" s="1692">
        <f t="shared" si="4"/>
        <v>119680</v>
      </c>
      <c r="H47" s="1692">
        <f t="shared" si="4"/>
        <v>837</v>
      </c>
      <c r="I47" s="1692">
        <f t="shared" si="4"/>
        <v>0</v>
      </c>
      <c r="J47" s="1692">
        <f t="shared" si="4"/>
        <v>0</v>
      </c>
      <c r="K47" s="1692">
        <f t="shared" si="4"/>
        <v>1197437</v>
      </c>
      <c r="L47" s="1692">
        <f>SUM(L44:L46)</f>
        <v>1093018</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3437</v>
      </c>
      <c r="D49" s="481">
        <v>-603</v>
      </c>
      <c r="E49" s="481">
        <v>83540</v>
      </c>
      <c r="F49" s="481">
        <v>14872</v>
      </c>
      <c r="G49" s="481"/>
      <c r="H49" s="481">
        <v>21071</v>
      </c>
      <c r="I49" s="467"/>
      <c r="J49" s="467"/>
      <c r="K49" s="1694">
        <f>SUM(C49:J49)</f>
        <v>122317</v>
      </c>
      <c r="L49" s="481">
        <v>122349</v>
      </c>
    </row>
    <row r="50" spans="1:14" x14ac:dyDescent="0.2">
      <c r="A50" s="1526" t="s">
        <v>871</v>
      </c>
      <c r="B50" s="615">
        <v>2320</v>
      </c>
      <c r="C50" s="466">
        <v>257057</v>
      </c>
      <c r="D50" s="466">
        <v>32276</v>
      </c>
      <c r="E50" s="466">
        <v>2062</v>
      </c>
      <c r="F50" s="466">
        <v>162</v>
      </c>
      <c r="G50" s="466">
        <v>1628</v>
      </c>
      <c r="H50" s="466">
        <v>3318</v>
      </c>
      <c r="I50" s="467"/>
      <c r="J50" s="467"/>
      <c r="K50" s="1694">
        <f>SUM(C50:J50)</f>
        <v>296503</v>
      </c>
      <c r="L50" s="466">
        <v>312854</v>
      </c>
    </row>
    <row r="51" spans="1:14" x14ac:dyDescent="0.2">
      <c r="A51" s="1526" t="s">
        <v>44</v>
      </c>
      <c r="B51" s="615">
        <v>2330</v>
      </c>
      <c r="C51" s="466"/>
      <c r="D51" s="466"/>
      <c r="E51" s="466"/>
      <c r="F51" s="466">
        <v>446</v>
      </c>
      <c r="G51" s="466"/>
      <c r="H51" s="466"/>
      <c r="I51" s="467"/>
      <c r="J51" s="467"/>
      <c r="K51" s="1694">
        <f>SUM(C51:J51)</f>
        <v>446</v>
      </c>
      <c r="L51" s="466">
        <v>0</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260494</v>
      </c>
      <c r="D53" s="1692">
        <f t="shared" ref="D53:L53" si="5">SUM(D49:D52)</f>
        <v>31673</v>
      </c>
      <c r="E53" s="1692">
        <f t="shared" si="5"/>
        <v>85602</v>
      </c>
      <c r="F53" s="1692">
        <f t="shared" si="5"/>
        <v>15480</v>
      </c>
      <c r="G53" s="1692">
        <f t="shared" si="5"/>
        <v>1628</v>
      </c>
      <c r="H53" s="1692">
        <f t="shared" si="5"/>
        <v>24389</v>
      </c>
      <c r="I53" s="1692">
        <f t="shared" si="5"/>
        <v>0</v>
      </c>
      <c r="J53" s="1692">
        <f t="shared" si="5"/>
        <v>0</v>
      </c>
      <c r="K53" s="1692">
        <f t="shared" si="5"/>
        <v>419266</v>
      </c>
      <c r="L53" s="1692">
        <f t="shared" si="5"/>
        <v>435203</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700421</v>
      </c>
      <c r="D55" s="481">
        <v>190802</v>
      </c>
      <c r="E55" s="481">
        <v>37315</v>
      </c>
      <c r="F55" s="481">
        <v>45552</v>
      </c>
      <c r="G55" s="481"/>
      <c r="H55" s="481">
        <v>12878</v>
      </c>
      <c r="I55" s="467"/>
      <c r="J55" s="467"/>
      <c r="K55" s="1694">
        <f>SUM(C55:J55)</f>
        <v>986968</v>
      </c>
      <c r="L55" s="481">
        <v>1042625</v>
      </c>
    </row>
    <row r="56" spans="1:14" ht="12.75" customHeight="1" x14ac:dyDescent="0.2">
      <c r="A56" s="1530" t="s">
        <v>393</v>
      </c>
      <c r="B56" s="629">
        <v>2490</v>
      </c>
      <c r="C56" s="466">
        <v>69219</v>
      </c>
      <c r="D56" s="466">
        <v>24310</v>
      </c>
      <c r="E56" s="466"/>
      <c r="F56" s="466">
        <v>1154</v>
      </c>
      <c r="G56" s="466"/>
      <c r="H56" s="466"/>
      <c r="I56" s="467"/>
      <c r="J56" s="467"/>
      <c r="K56" s="1694">
        <f>SUM(C56:J56)</f>
        <v>94683</v>
      </c>
      <c r="L56" s="466">
        <v>98404</v>
      </c>
    </row>
    <row r="57" spans="1:14" s="343" customFormat="1" ht="12.75" customHeight="1" thickBot="1" x14ac:dyDescent="0.25">
      <c r="A57" s="1690" t="s">
        <v>281</v>
      </c>
      <c r="B57" s="1695" t="s">
        <v>34</v>
      </c>
      <c r="C57" s="1696">
        <f>SUM(C55:C56)</f>
        <v>769640</v>
      </c>
      <c r="D57" s="1696">
        <f t="shared" ref="D57:K57" si="6">SUM(D55:D56)</f>
        <v>215112</v>
      </c>
      <c r="E57" s="1696">
        <f t="shared" si="6"/>
        <v>37315</v>
      </c>
      <c r="F57" s="1696">
        <f t="shared" si="6"/>
        <v>46706</v>
      </c>
      <c r="G57" s="1696">
        <f t="shared" si="6"/>
        <v>0</v>
      </c>
      <c r="H57" s="1696">
        <f t="shared" si="6"/>
        <v>12878</v>
      </c>
      <c r="I57" s="1696">
        <f t="shared" si="6"/>
        <v>0</v>
      </c>
      <c r="J57" s="1696">
        <f t="shared" si="6"/>
        <v>0</v>
      </c>
      <c r="K57" s="1696">
        <f t="shared" si="6"/>
        <v>1081651</v>
      </c>
      <c r="L57" s="1692">
        <f>SUM(L55:L56)</f>
        <v>1141029</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51260</v>
      </c>
      <c r="D59" s="481">
        <v>12012</v>
      </c>
      <c r="E59" s="481">
        <v>29</v>
      </c>
      <c r="F59" s="481"/>
      <c r="G59" s="481"/>
      <c r="H59" s="481">
        <v>10934</v>
      </c>
      <c r="I59" s="467"/>
      <c r="J59" s="467"/>
      <c r="K59" s="1694">
        <f t="shared" ref="K59:K64" si="7">SUM(C59:J59)</f>
        <v>74235</v>
      </c>
      <c r="L59" s="481">
        <v>71550</v>
      </c>
      <c r="M59" s="610"/>
      <c r="N59" s="610"/>
    </row>
    <row r="60" spans="1:14" s="343" customFormat="1" x14ac:dyDescent="0.2">
      <c r="A60" s="1526" t="s">
        <v>482</v>
      </c>
      <c r="B60" s="615">
        <v>2520</v>
      </c>
      <c r="C60" s="466">
        <v>126730</v>
      </c>
      <c r="D60" s="466">
        <v>14464</v>
      </c>
      <c r="E60" s="466">
        <v>39467</v>
      </c>
      <c r="F60" s="466">
        <v>2058</v>
      </c>
      <c r="G60" s="466"/>
      <c r="H60" s="466"/>
      <c r="I60" s="467"/>
      <c r="J60" s="467"/>
      <c r="K60" s="1694">
        <f t="shared" si="7"/>
        <v>182719</v>
      </c>
      <c r="L60" s="466">
        <v>239796</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893438</v>
      </c>
      <c r="F63" s="466"/>
      <c r="G63" s="466"/>
      <c r="H63" s="466">
        <v>1320</v>
      </c>
      <c r="I63" s="467"/>
      <c r="J63" s="467"/>
      <c r="K63" s="1694">
        <f t="shared" si="7"/>
        <v>894758</v>
      </c>
      <c r="L63" s="466">
        <v>890000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177990</v>
      </c>
      <c r="D65" s="1692">
        <f t="shared" ref="D65:L65" si="8">SUM(D59:D64)</f>
        <v>26476</v>
      </c>
      <c r="E65" s="1692">
        <f t="shared" si="8"/>
        <v>932934</v>
      </c>
      <c r="F65" s="1692">
        <f t="shared" si="8"/>
        <v>2058</v>
      </c>
      <c r="G65" s="1692">
        <f t="shared" si="8"/>
        <v>0</v>
      </c>
      <c r="H65" s="1692">
        <f t="shared" si="8"/>
        <v>12254</v>
      </c>
      <c r="I65" s="1692">
        <f t="shared" si="8"/>
        <v>0</v>
      </c>
      <c r="J65" s="1692">
        <f t="shared" si="8"/>
        <v>0</v>
      </c>
      <c r="K65" s="1692">
        <f t="shared" si="8"/>
        <v>1151712</v>
      </c>
      <c r="L65" s="1692">
        <f t="shared" si="8"/>
        <v>1201346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98191</v>
      </c>
      <c r="D69" s="466">
        <v>30109</v>
      </c>
      <c r="E69" s="466">
        <v>201546</v>
      </c>
      <c r="F69" s="466">
        <v>38092</v>
      </c>
      <c r="G69" s="466"/>
      <c r="H69" s="466">
        <v>1069</v>
      </c>
      <c r="I69" s="467"/>
      <c r="J69" s="467"/>
      <c r="K69" s="1694">
        <f>SUM(C69:J69)</f>
        <v>369007</v>
      </c>
      <c r="L69" s="466">
        <v>369480</v>
      </c>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98191</v>
      </c>
      <c r="D72" s="1692">
        <f t="shared" ref="D72:K72" si="9">SUM(D67:D71)</f>
        <v>30109</v>
      </c>
      <c r="E72" s="1692">
        <f t="shared" si="9"/>
        <v>201546</v>
      </c>
      <c r="F72" s="1692">
        <f t="shared" si="9"/>
        <v>38092</v>
      </c>
      <c r="G72" s="1692">
        <f t="shared" si="9"/>
        <v>0</v>
      </c>
      <c r="H72" s="1692">
        <f t="shared" si="9"/>
        <v>1069</v>
      </c>
      <c r="I72" s="1692">
        <f t="shared" si="9"/>
        <v>0</v>
      </c>
      <c r="J72" s="1692">
        <f t="shared" si="9"/>
        <v>0</v>
      </c>
      <c r="K72" s="1692">
        <f t="shared" si="9"/>
        <v>369007</v>
      </c>
      <c r="L72" s="1692">
        <f>SUM(L67:L71)</f>
        <v>369480</v>
      </c>
      <c r="M72" s="610"/>
      <c r="N72" s="610"/>
    </row>
    <row r="73" spans="1:14" s="343" customFormat="1" ht="14.25" thickTop="1" thickBot="1" x14ac:dyDescent="0.25">
      <c r="A73" s="1532" t="s">
        <v>1036</v>
      </c>
      <c r="B73" s="633" t="s">
        <v>594</v>
      </c>
      <c r="C73" s="573"/>
      <c r="D73" s="573"/>
      <c r="E73" s="573"/>
      <c r="F73" s="573">
        <v>1500</v>
      </c>
      <c r="G73" s="573"/>
      <c r="H73" s="573"/>
      <c r="I73" s="531"/>
      <c r="J73" s="531"/>
      <c r="K73" s="1692">
        <f>SUM(C73:J73)</f>
        <v>1500</v>
      </c>
      <c r="L73" s="576">
        <v>2500</v>
      </c>
      <c r="M73" s="610"/>
      <c r="N73" s="610"/>
    </row>
    <row r="74" spans="1:14" ht="12.75" customHeight="1" thickTop="1" thickBot="1" x14ac:dyDescent="0.25">
      <c r="A74" s="1690" t="s">
        <v>864</v>
      </c>
      <c r="B74" s="1698">
        <v>2000</v>
      </c>
      <c r="C74" s="1699">
        <f>SUM(C42,C47,C53,C57,C65,C72,C73)</f>
        <v>3030612</v>
      </c>
      <c r="D74" s="1699">
        <f t="shared" ref="D74:K74" si="10">SUM(D42,D47,D53,D57,D65,D72,D73)</f>
        <v>720510</v>
      </c>
      <c r="E74" s="1699">
        <f t="shared" si="10"/>
        <v>1501011</v>
      </c>
      <c r="F74" s="1699">
        <f t="shared" si="10"/>
        <v>308200</v>
      </c>
      <c r="G74" s="1699">
        <f t="shared" si="10"/>
        <v>121308</v>
      </c>
      <c r="H74" s="1699">
        <f t="shared" si="10"/>
        <v>52584</v>
      </c>
      <c r="I74" s="1699">
        <f t="shared" si="10"/>
        <v>0</v>
      </c>
      <c r="J74" s="1699">
        <f t="shared" si="10"/>
        <v>0</v>
      </c>
      <c r="K74" s="1699">
        <f t="shared" si="10"/>
        <v>5734225</v>
      </c>
      <c r="L74" s="1699">
        <f>SUM(L42,L47,L53,L57,L65,L72,L73)</f>
        <v>5675473</v>
      </c>
    </row>
    <row r="75" spans="1:14" s="259" customFormat="1" ht="15.75" customHeight="1" thickTop="1" thickBot="1" x14ac:dyDescent="0.25">
      <c r="A75" s="1632" t="s">
        <v>49</v>
      </c>
      <c r="B75" s="1633" t="s">
        <v>595</v>
      </c>
      <c r="C75" s="573"/>
      <c r="D75" s="573"/>
      <c r="E75" s="573"/>
      <c r="F75" s="573"/>
      <c r="G75" s="573">
        <v>9483</v>
      </c>
      <c r="H75" s="573"/>
      <c r="I75" s="531"/>
      <c r="J75" s="531"/>
      <c r="K75" s="1692">
        <f>SUM(C75:J75)</f>
        <v>9483</v>
      </c>
      <c r="L75" s="576">
        <v>65500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v>192151</v>
      </c>
      <c r="I79" s="477"/>
      <c r="J79" s="477"/>
      <c r="K79" s="1693">
        <f t="shared" si="11"/>
        <v>192151</v>
      </c>
      <c r="L79" s="466">
        <v>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v>610177</v>
      </c>
      <c r="I81" s="477"/>
      <c r="J81" s="477"/>
      <c r="K81" s="1693">
        <f t="shared" si="11"/>
        <v>610177</v>
      </c>
      <c r="L81" s="466">
        <v>630000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802328</v>
      </c>
      <c r="I84" s="477"/>
      <c r="J84" s="477"/>
      <c r="K84" s="1692">
        <f>SUM(K78:K83)</f>
        <v>802328</v>
      </c>
      <c r="L84" s="1692">
        <f>SUM(L78:L83)</f>
        <v>630000</v>
      </c>
    </row>
    <row r="85" spans="1:12" ht="12.75" customHeight="1" thickTop="1" thickBot="1" x14ac:dyDescent="0.25">
      <c r="A85" s="1533" t="s">
        <v>273</v>
      </c>
      <c r="B85" s="636">
        <v>4210</v>
      </c>
      <c r="C85" s="617"/>
      <c r="D85" s="617"/>
      <c r="E85" s="637"/>
      <c r="F85" s="617"/>
      <c r="G85" s="617"/>
      <c r="H85" s="535">
        <v>16114</v>
      </c>
      <c r="I85" s="477"/>
      <c r="J85" s="477"/>
      <c r="K85" s="1699">
        <f>H85</f>
        <v>16114</v>
      </c>
      <c r="L85" s="530">
        <v>15000</v>
      </c>
    </row>
    <row r="86" spans="1:12" ht="12.75" customHeight="1" thickTop="1" thickBot="1" x14ac:dyDescent="0.25">
      <c r="A86" s="1534" t="s">
        <v>722</v>
      </c>
      <c r="B86" s="638">
        <v>4220</v>
      </c>
      <c r="C86" s="617"/>
      <c r="D86" s="617"/>
      <c r="E86" s="639"/>
      <c r="F86" s="617"/>
      <c r="G86" s="617"/>
      <c r="H86" s="467">
        <v>1297139</v>
      </c>
      <c r="I86" s="477"/>
      <c r="J86" s="477"/>
      <c r="K86" s="1699">
        <f t="shared" ref="K86:K98" si="12">H86</f>
        <v>1297139</v>
      </c>
      <c r="L86" s="530">
        <v>1825000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1313253</v>
      </c>
      <c r="I92" s="477"/>
      <c r="J92" s="477"/>
      <c r="K92" s="1699">
        <f t="shared" si="12"/>
        <v>1313253</v>
      </c>
      <c r="L92" s="1692">
        <f>SUM(L85:L91)</f>
        <v>1840000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2115581</v>
      </c>
      <c r="I102" s="477"/>
      <c r="J102" s="477"/>
      <c r="K102" s="1699">
        <f>SUM(K84,K92,K100,K101)</f>
        <v>2115581</v>
      </c>
      <c r="L102" s="1699">
        <f>SUM(L84,L92,L100,L101)</f>
        <v>2470000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15536525</v>
      </c>
      <c r="D114" s="1692">
        <f t="shared" ref="D114:K114" si="13">SUM(D33,D74,D75,D102,D112,D113)</f>
        <v>4754743</v>
      </c>
      <c r="E114" s="1692">
        <f t="shared" si="13"/>
        <v>1826735</v>
      </c>
      <c r="F114" s="1692">
        <f t="shared" si="13"/>
        <v>845372</v>
      </c>
      <c r="G114" s="1692">
        <f t="shared" si="13"/>
        <v>178444</v>
      </c>
      <c r="H114" s="1692">
        <f>SUM(H33,H74,H75,H102,H112,H113)</f>
        <v>3109477</v>
      </c>
      <c r="I114" s="1692">
        <f t="shared" si="13"/>
        <v>0</v>
      </c>
      <c r="J114" s="1692">
        <f t="shared" si="13"/>
        <v>0</v>
      </c>
      <c r="K114" s="1692">
        <f t="shared" si="13"/>
        <v>26251296</v>
      </c>
      <c r="L114" s="1692">
        <f>SUM(L33,L74,L75,L102,L112,L113)</f>
        <v>25743252</v>
      </c>
    </row>
    <row r="115" spans="1:14" ht="13.5" thickTop="1" x14ac:dyDescent="0.2">
      <c r="A115" s="2173" t="s">
        <v>1052</v>
      </c>
      <c r="B115" s="2174"/>
      <c r="C115" s="619"/>
      <c r="D115" s="619"/>
      <c r="E115" s="619"/>
      <c r="F115" s="619"/>
      <c r="G115" s="619"/>
      <c r="H115" s="619"/>
      <c r="I115" s="619"/>
      <c r="J115" s="619"/>
      <c r="K115" s="1706">
        <f>'Revenues 9-14'!C275-'Expenditures 15-22'!K114</f>
        <v>-72904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313</v>
      </c>
      <c r="B117" s="2179"/>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51245</v>
      </c>
      <c r="D122" s="466">
        <v>8038</v>
      </c>
      <c r="E122" s="466"/>
      <c r="F122" s="466"/>
      <c r="G122" s="466"/>
      <c r="H122" s="466"/>
      <c r="I122" s="467"/>
      <c r="J122" s="467"/>
      <c r="K122" s="1692">
        <f>SUM(C122:J122)</f>
        <v>59283</v>
      </c>
      <c r="L122" s="466">
        <v>52932</v>
      </c>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736059</v>
      </c>
      <c r="D124" s="466">
        <v>173987</v>
      </c>
      <c r="E124" s="466">
        <v>1205499</v>
      </c>
      <c r="F124" s="466">
        <v>1063504</v>
      </c>
      <c r="G124" s="466">
        <v>159929</v>
      </c>
      <c r="H124" s="466">
        <v>3120</v>
      </c>
      <c r="I124" s="467"/>
      <c r="J124" s="467"/>
      <c r="K124" s="1692">
        <f>SUM(C124:J124)</f>
        <v>3342098</v>
      </c>
      <c r="L124" s="466">
        <v>3549327</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787304</v>
      </c>
      <c r="D127" s="1692">
        <f t="shared" ref="D127:L127" si="14">SUM(D122:D126)</f>
        <v>182025</v>
      </c>
      <c r="E127" s="1692">
        <f t="shared" si="14"/>
        <v>1205499</v>
      </c>
      <c r="F127" s="1692">
        <f t="shared" si="14"/>
        <v>1063504</v>
      </c>
      <c r="G127" s="1692">
        <f t="shared" si="14"/>
        <v>159929</v>
      </c>
      <c r="H127" s="1692">
        <f t="shared" si="14"/>
        <v>3120</v>
      </c>
      <c r="I127" s="1692">
        <f t="shared" si="14"/>
        <v>0</v>
      </c>
      <c r="J127" s="1692">
        <f t="shared" si="14"/>
        <v>0</v>
      </c>
      <c r="K127" s="1692">
        <f t="shared" si="14"/>
        <v>3401381</v>
      </c>
      <c r="L127" s="1692">
        <f t="shared" si="14"/>
        <v>3602259</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787304</v>
      </c>
      <c r="D129" s="1699">
        <f t="shared" ref="D129:L129" si="15">SUM(D120,D127,D128)</f>
        <v>182025</v>
      </c>
      <c r="E129" s="1699">
        <f t="shared" si="15"/>
        <v>1205499</v>
      </c>
      <c r="F129" s="1699">
        <f t="shared" si="15"/>
        <v>1063504</v>
      </c>
      <c r="G129" s="1699">
        <f t="shared" si="15"/>
        <v>159929</v>
      </c>
      <c r="H129" s="1699">
        <f t="shared" si="15"/>
        <v>3120</v>
      </c>
      <c r="I129" s="1699">
        <f t="shared" si="15"/>
        <v>0</v>
      </c>
      <c r="J129" s="1699">
        <f t="shared" si="15"/>
        <v>0</v>
      </c>
      <c r="K129" s="1699">
        <f t="shared" si="15"/>
        <v>3401381</v>
      </c>
      <c r="L129" s="1699">
        <f t="shared" si="15"/>
        <v>3602259</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1955</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v>355275</v>
      </c>
      <c r="I135" s="477"/>
      <c r="J135" s="617"/>
      <c r="K135" s="1694">
        <f>SUM(E135,H135)</f>
        <v>355275</v>
      </c>
      <c r="L135" s="466">
        <v>300000</v>
      </c>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355275</v>
      </c>
      <c r="I137" s="477"/>
      <c r="J137" s="617"/>
      <c r="K137" s="1692">
        <f>SUM(K133:K136)</f>
        <v>355275</v>
      </c>
      <c r="L137" s="1692">
        <f>SUM(L133:L136)</f>
        <v>300000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355275</v>
      </c>
      <c r="I139" s="477"/>
      <c r="J139" s="617"/>
      <c r="K139" s="1694">
        <f>SUM(K137,K138)</f>
        <v>355275</v>
      </c>
      <c r="L139" s="1701">
        <f>SUM(L137,L138)</f>
        <v>300000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0" t="s">
        <v>640</v>
      </c>
      <c r="B151" s="2170"/>
      <c r="C151" s="1692">
        <f>SUM(C129,C130,C139,C149,C150)</f>
        <v>787304</v>
      </c>
      <c r="D151" s="1692">
        <f t="shared" ref="D151:K151" si="16">SUM(D129,D130,D139,D149,D150)</f>
        <v>182025</v>
      </c>
      <c r="E151" s="1692">
        <f t="shared" si="16"/>
        <v>1205499</v>
      </c>
      <c r="F151" s="1692">
        <f t="shared" si="16"/>
        <v>1063504</v>
      </c>
      <c r="G151" s="1692">
        <f t="shared" si="16"/>
        <v>159929</v>
      </c>
      <c r="H151" s="1692">
        <f t="shared" si="16"/>
        <v>358395</v>
      </c>
      <c r="I151" s="1692">
        <f t="shared" si="16"/>
        <v>0</v>
      </c>
      <c r="J151" s="1692">
        <f t="shared" si="16"/>
        <v>0</v>
      </c>
      <c r="K151" s="1692">
        <f t="shared" si="16"/>
        <v>3756656</v>
      </c>
      <c r="L151" s="1692">
        <f>SUM(L129,L130,L139,L149,L150)</f>
        <v>3902259</v>
      </c>
    </row>
    <row r="152" spans="1:14" ht="12.75" customHeight="1" thickTop="1" x14ac:dyDescent="0.2">
      <c r="A152" s="2193" t="s">
        <v>1239</v>
      </c>
      <c r="B152" s="2194"/>
      <c r="C152" s="619"/>
      <c r="D152" s="619"/>
      <c r="E152" s="619"/>
      <c r="F152" s="619"/>
      <c r="G152" s="619"/>
      <c r="H152" s="619"/>
      <c r="I152" s="619"/>
      <c r="J152" s="617"/>
      <c r="K152" s="1706">
        <f>'Revenues 9-14'!D275-'Expenditures 15-22'!K151</f>
        <v>-125115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641</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1955</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1957</v>
      </c>
      <c r="C158" s="617"/>
      <c r="D158" s="617"/>
      <c r="E158" s="617"/>
      <c r="F158" s="617"/>
      <c r="G158" s="617"/>
      <c r="H158" s="467"/>
      <c r="I158" s="617"/>
      <c r="J158" s="617"/>
      <c r="K158" s="1693">
        <f>H158</f>
        <v>0</v>
      </c>
      <c r="L158" s="467"/>
      <c r="M158" s="620"/>
      <c r="N158" s="620"/>
    </row>
    <row r="159" spans="1:14" s="621" customFormat="1" ht="12" x14ac:dyDescent="0.2">
      <c r="A159" s="1849" t="s">
        <v>1958</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1959</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v>2465578</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2465578</v>
      </c>
    </row>
    <row r="169" spans="1:14" ht="15.75" customHeight="1" thickTop="1" x14ac:dyDescent="0.2">
      <c r="A169" s="670" t="s">
        <v>85</v>
      </c>
      <c r="B169" s="671" t="s">
        <v>38</v>
      </c>
      <c r="C169" s="617"/>
      <c r="D169" s="617"/>
      <c r="E169" s="617"/>
      <c r="F169" s="617"/>
      <c r="G169" s="617"/>
      <c r="H169" s="657">
        <v>2177345</v>
      </c>
      <c r="I169" s="617"/>
      <c r="J169" s="617"/>
      <c r="K169" s="1693">
        <f>SUM(C169:H169)</f>
        <v>2177345</v>
      </c>
      <c r="L169" s="657">
        <v>0</v>
      </c>
    </row>
    <row r="170" spans="1:14" ht="33.75" customHeight="1" x14ac:dyDescent="0.2">
      <c r="A170" s="670" t="s">
        <v>1768</v>
      </c>
      <c r="B170" s="672" t="s">
        <v>31</v>
      </c>
      <c r="C170" s="617"/>
      <c r="D170" s="617"/>
      <c r="E170" s="617"/>
      <c r="F170" s="617"/>
      <c r="G170" s="617"/>
      <c r="H170" s="569">
        <v>6730000</v>
      </c>
      <c r="I170" s="617"/>
      <c r="J170" s="617"/>
      <c r="K170" s="1693">
        <f>SUM(C170:J170)</f>
        <v>6730000</v>
      </c>
      <c r="L170" s="569">
        <v>6730000</v>
      </c>
    </row>
    <row r="171" spans="1:14" ht="15.75" customHeight="1" x14ac:dyDescent="0.2">
      <c r="A171" s="622" t="s">
        <v>789</v>
      </c>
      <c r="B171" s="673" t="s">
        <v>86</v>
      </c>
      <c r="C171" s="617"/>
      <c r="D171" s="617"/>
      <c r="E171" s="466"/>
      <c r="F171" s="617"/>
      <c r="G171" s="617"/>
      <c r="H171" s="569">
        <v>109022</v>
      </c>
      <c r="I171" s="477"/>
      <c r="J171" s="617"/>
      <c r="K171" s="1693">
        <f>SUM(C171:J171)</f>
        <v>109022</v>
      </c>
      <c r="L171" s="569">
        <v>4500</v>
      </c>
    </row>
    <row r="172" spans="1:14" ht="12.75" customHeight="1" thickBot="1" x14ac:dyDescent="0.25">
      <c r="A172" s="1690" t="s">
        <v>658</v>
      </c>
      <c r="B172" s="1691" t="s">
        <v>512</v>
      </c>
      <c r="C172" s="617"/>
      <c r="D172" s="617"/>
      <c r="E172" s="1699">
        <f>SUM(E168,E169,E170,E171)</f>
        <v>0</v>
      </c>
      <c r="F172" s="617"/>
      <c r="G172" s="617"/>
      <c r="H172" s="1699">
        <f>SUM(H168,H169,H170,H171)</f>
        <v>9016367</v>
      </c>
      <c r="I172" s="639"/>
      <c r="J172" s="617"/>
      <c r="K172" s="1699">
        <f>SUM(K168,K169,K170,K171)</f>
        <v>9016367</v>
      </c>
      <c r="L172" s="1699">
        <f>SUM(L168,L169,L170,L171)</f>
        <v>9200078</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9016367</v>
      </c>
      <c r="I174" s="639"/>
      <c r="J174" s="617"/>
      <c r="K174" s="1699">
        <f>SUM(K160,K172,K173)</f>
        <v>9016367</v>
      </c>
      <c r="L174" s="1699">
        <f>SUM(L160,L172,L173)</f>
        <v>9200078</v>
      </c>
    </row>
    <row r="175" spans="1:14" ht="13.5" thickTop="1" x14ac:dyDescent="0.2">
      <c r="A175" s="2173" t="s">
        <v>1052</v>
      </c>
      <c r="B175" s="2174"/>
      <c r="C175" s="617"/>
      <c r="D175" s="617"/>
      <c r="E175" s="617"/>
      <c r="F175" s="617"/>
      <c r="G175" s="617"/>
      <c r="H175" s="619"/>
      <c r="I175" s="617"/>
      <c r="J175" s="617"/>
      <c r="K175" s="1706">
        <f>'Revenues 9-14'!E275-'Expenditures 15-22'!K174</f>
        <v>652755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51245</v>
      </c>
      <c r="D180" s="466">
        <v>9155</v>
      </c>
      <c r="E180" s="466"/>
      <c r="F180" s="466"/>
      <c r="G180" s="466"/>
      <c r="H180" s="466"/>
      <c r="I180" s="467"/>
      <c r="J180" s="467"/>
      <c r="K180" s="1693">
        <f>SUM(C180:J180)</f>
        <v>60400</v>
      </c>
      <c r="L180" s="466">
        <v>68174</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1297375</v>
      </c>
      <c r="D182" s="466">
        <v>83621</v>
      </c>
      <c r="E182" s="466">
        <v>645610</v>
      </c>
      <c r="F182" s="466">
        <v>278516</v>
      </c>
      <c r="G182" s="466">
        <v>23592</v>
      </c>
      <c r="H182" s="466">
        <v>350</v>
      </c>
      <c r="I182" s="467"/>
      <c r="J182" s="467"/>
      <c r="K182" s="1693">
        <f>SUM(C182:J182)</f>
        <v>2329064</v>
      </c>
      <c r="L182" s="466">
        <v>2286797</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1348620</v>
      </c>
      <c r="D184" s="1699">
        <f t="shared" ref="D184:J184" si="17">SUM(D180,D182,D183)</f>
        <v>92776</v>
      </c>
      <c r="E184" s="1699">
        <f t="shared" si="17"/>
        <v>645610</v>
      </c>
      <c r="F184" s="1699">
        <f t="shared" si="17"/>
        <v>278516</v>
      </c>
      <c r="G184" s="1699">
        <f t="shared" si="17"/>
        <v>23592</v>
      </c>
      <c r="H184" s="1699">
        <f t="shared" si="17"/>
        <v>350</v>
      </c>
      <c r="I184" s="1699">
        <f t="shared" si="17"/>
        <v>0</v>
      </c>
      <c r="J184" s="1699">
        <f t="shared" si="17"/>
        <v>0</v>
      </c>
      <c r="K184" s="1699">
        <f>SUM(K180,K182,K183)</f>
        <v>2389464</v>
      </c>
      <c r="L184" s="1699">
        <f>SUM(L180, L182:L183)</f>
        <v>2354971</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1348620</v>
      </c>
      <c r="D210" s="1692">
        <f>SUM(D184,D185)</f>
        <v>92776</v>
      </c>
      <c r="E210" s="1692">
        <f>SUM(E184,E185,E196)</f>
        <v>645610</v>
      </c>
      <c r="F210" s="1692">
        <f>SUM(F184,F185)</f>
        <v>278516</v>
      </c>
      <c r="G210" s="1692">
        <f>SUM(G184,G185)</f>
        <v>23592</v>
      </c>
      <c r="H210" s="1692">
        <f>SUM(H184,H185,H196,H208,H209)</f>
        <v>350</v>
      </c>
      <c r="I210" s="1692">
        <f>SUM(I184,I185)</f>
        <v>0</v>
      </c>
      <c r="J210" s="1692">
        <f>SUM(J184,J185)</f>
        <v>0</v>
      </c>
      <c r="K210" s="1693">
        <f>SUM(K184,K185,K196,K208,K209)</f>
        <v>2389464</v>
      </c>
      <c r="L210" s="1692">
        <f>SUM(L184,L185,L196,L208,L209)</f>
        <v>2354971</v>
      </c>
    </row>
    <row r="211" spans="1:14" ht="13.5" thickTop="1" x14ac:dyDescent="0.2">
      <c r="A211" s="2173" t="s">
        <v>1052</v>
      </c>
      <c r="B211" s="2174"/>
      <c r="C211" s="619"/>
      <c r="D211" s="619"/>
      <c r="E211" s="619"/>
      <c r="F211" s="619"/>
      <c r="G211" s="619"/>
      <c r="H211" s="619"/>
      <c r="I211" s="617"/>
      <c r="J211" s="617"/>
      <c r="K211" s="1706">
        <f>'Revenues 9-14'!F275-'Expenditures 15-22'!K210</f>
        <v>595676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1021</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c r="E215" s="617"/>
      <c r="F215" s="617"/>
      <c r="G215" s="617"/>
      <c r="H215" s="617"/>
      <c r="I215" s="617"/>
      <c r="J215" s="617"/>
      <c r="K215" s="1693">
        <f>D215</f>
        <v>0</v>
      </c>
      <c r="L215" s="466"/>
    </row>
    <row r="216" spans="1:14" x14ac:dyDescent="0.2">
      <c r="A216" s="1526" t="s">
        <v>165</v>
      </c>
      <c r="B216" s="615" t="s">
        <v>1023</v>
      </c>
      <c r="C216" s="617"/>
      <c r="D216" s="467">
        <v>132204</v>
      </c>
      <c r="E216" s="617"/>
      <c r="F216" s="617"/>
      <c r="G216" s="617"/>
      <c r="H216" s="617"/>
      <c r="I216" s="617"/>
      <c r="J216" s="617"/>
      <c r="K216" s="1693">
        <f t="shared" ref="K216:K228" si="19">D216</f>
        <v>132204</v>
      </c>
      <c r="L216" s="466">
        <v>133239</v>
      </c>
    </row>
    <row r="217" spans="1:14" x14ac:dyDescent="0.2">
      <c r="A217" s="1526" t="s">
        <v>166</v>
      </c>
      <c r="B217" s="615">
        <v>1200</v>
      </c>
      <c r="C217" s="617"/>
      <c r="D217" s="466">
        <v>39709</v>
      </c>
      <c r="E217" s="617"/>
      <c r="F217" s="617"/>
      <c r="G217" s="617"/>
      <c r="H217" s="617"/>
      <c r="I217" s="617"/>
      <c r="J217" s="617"/>
      <c r="K217" s="1693">
        <f t="shared" si="19"/>
        <v>39709</v>
      </c>
      <c r="L217" s="466">
        <v>38705</v>
      </c>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21768</v>
      </c>
      <c r="E222" s="617"/>
      <c r="F222" s="617"/>
      <c r="G222" s="617"/>
      <c r="H222" s="617"/>
      <c r="I222" s="617"/>
      <c r="J222" s="617"/>
      <c r="K222" s="1693">
        <f t="shared" si="19"/>
        <v>21768</v>
      </c>
      <c r="L222" s="466">
        <v>20909</v>
      </c>
    </row>
    <row r="223" spans="1:14" x14ac:dyDescent="0.2">
      <c r="A223" s="1526" t="s">
        <v>1019</v>
      </c>
      <c r="B223" s="615">
        <v>1500</v>
      </c>
      <c r="C223" s="617"/>
      <c r="D223" s="466">
        <v>46196</v>
      </c>
      <c r="E223" s="617"/>
      <c r="F223" s="617"/>
      <c r="G223" s="617"/>
      <c r="H223" s="617"/>
      <c r="I223" s="617"/>
      <c r="J223" s="617"/>
      <c r="K223" s="1693">
        <f t="shared" si="19"/>
        <v>46196</v>
      </c>
      <c r="L223" s="466">
        <v>42677</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8348</v>
      </c>
      <c r="E226" s="617"/>
      <c r="F226" s="617"/>
      <c r="G226" s="617"/>
      <c r="H226" s="617"/>
      <c r="I226" s="617"/>
      <c r="J226" s="617"/>
      <c r="K226" s="1693">
        <f t="shared" si="19"/>
        <v>8348</v>
      </c>
      <c r="L226" s="466">
        <v>8134</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v>6451</v>
      </c>
      <c r="E228" s="617"/>
      <c r="F228" s="617"/>
      <c r="G228" s="617"/>
      <c r="H228" s="617"/>
      <c r="I228" s="617"/>
      <c r="J228" s="617"/>
      <c r="K228" s="1693">
        <f t="shared" si="19"/>
        <v>6451</v>
      </c>
      <c r="L228" s="466">
        <v>13459</v>
      </c>
    </row>
    <row r="229" spans="1:12" ht="12.75" customHeight="1" thickBot="1" x14ac:dyDescent="0.25">
      <c r="A229" s="1690" t="s">
        <v>738</v>
      </c>
      <c r="B229" s="1697" t="s">
        <v>590</v>
      </c>
      <c r="C229" s="617"/>
      <c r="D229" s="1692">
        <f>SUM(D215:D228)</f>
        <v>254676</v>
      </c>
      <c r="E229" s="617"/>
      <c r="F229" s="617"/>
      <c r="G229" s="617"/>
      <c r="H229" s="617"/>
      <c r="I229" s="617"/>
      <c r="J229" s="617"/>
      <c r="K229" s="1692">
        <f>SUM(K215:K228)</f>
        <v>254676</v>
      </c>
      <c r="L229" s="1692">
        <f>SUM(L215:L228)</f>
        <v>257123</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2424</v>
      </c>
      <c r="E232" s="617"/>
      <c r="F232" s="617"/>
      <c r="G232" s="617"/>
      <c r="H232" s="617"/>
      <c r="I232" s="617"/>
      <c r="J232" s="617"/>
      <c r="K232" s="1693">
        <f t="shared" ref="K232:K237" si="20">D232</f>
        <v>2424</v>
      </c>
      <c r="L232" s="466">
        <v>3087</v>
      </c>
    </row>
    <row r="233" spans="1:12" x14ac:dyDescent="0.2">
      <c r="A233" s="1526" t="s">
        <v>1150</v>
      </c>
      <c r="B233" s="615">
        <v>2120</v>
      </c>
      <c r="C233" s="617"/>
      <c r="D233" s="466">
        <v>34530</v>
      </c>
      <c r="E233" s="617"/>
      <c r="F233" s="617"/>
      <c r="G233" s="617"/>
      <c r="H233" s="617"/>
      <c r="I233" s="617"/>
      <c r="J233" s="617"/>
      <c r="K233" s="1693">
        <f t="shared" si="20"/>
        <v>34530</v>
      </c>
      <c r="L233" s="466">
        <v>30626</v>
      </c>
    </row>
    <row r="234" spans="1:12" x14ac:dyDescent="0.2">
      <c r="A234" s="1526" t="s">
        <v>207</v>
      </c>
      <c r="B234" s="615">
        <v>2130</v>
      </c>
      <c r="C234" s="617"/>
      <c r="D234" s="466">
        <v>12313</v>
      </c>
      <c r="E234" s="617"/>
      <c r="F234" s="617"/>
      <c r="G234" s="617"/>
      <c r="H234" s="617"/>
      <c r="I234" s="617"/>
      <c r="J234" s="617"/>
      <c r="K234" s="1693">
        <f t="shared" si="20"/>
        <v>12313</v>
      </c>
      <c r="L234" s="466">
        <v>13611</v>
      </c>
    </row>
    <row r="235" spans="1:12" x14ac:dyDescent="0.2">
      <c r="A235" s="1526" t="s">
        <v>208</v>
      </c>
      <c r="B235" s="615">
        <v>2140</v>
      </c>
      <c r="C235" s="617"/>
      <c r="D235" s="466">
        <v>1010</v>
      </c>
      <c r="E235" s="617"/>
      <c r="F235" s="617"/>
      <c r="G235" s="617"/>
      <c r="H235" s="617"/>
      <c r="I235" s="617"/>
      <c r="J235" s="617"/>
      <c r="K235" s="1693">
        <f t="shared" si="20"/>
        <v>1010</v>
      </c>
      <c r="L235" s="466">
        <v>999</v>
      </c>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17927</v>
      </c>
      <c r="E237" s="617"/>
      <c r="F237" s="617"/>
      <c r="G237" s="617"/>
      <c r="H237" s="617"/>
      <c r="I237" s="617"/>
      <c r="J237" s="617"/>
      <c r="K237" s="1693">
        <f t="shared" si="20"/>
        <v>17927</v>
      </c>
      <c r="L237" s="466">
        <v>9561</v>
      </c>
    </row>
    <row r="238" spans="1:12" ht="12.75" customHeight="1" thickBot="1" x14ac:dyDescent="0.25">
      <c r="A238" s="1690" t="s">
        <v>580</v>
      </c>
      <c r="B238" s="1697" t="s">
        <v>739</v>
      </c>
      <c r="C238" s="617"/>
      <c r="D238" s="1692">
        <f>SUM(D232:D237)</f>
        <v>68204</v>
      </c>
      <c r="E238" s="617"/>
      <c r="F238" s="617"/>
      <c r="G238" s="617"/>
      <c r="H238" s="617"/>
      <c r="I238" s="617"/>
      <c r="J238" s="617"/>
      <c r="K238" s="1692">
        <f>SUM(K232:K237)</f>
        <v>68204</v>
      </c>
      <c r="L238" s="1692">
        <f>SUM(L232:L237)</f>
        <v>57884</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11472</v>
      </c>
      <c r="E240" s="617"/>
      <c r="F240" s="617"/>
      <c r="G240" s="617"/>
      <c r="H240" s="617"/>
      <c r="I240" s="617"/>
      <c r="J240" s="617"/>
      <c r="K240" s="1694">
        <f>D240</f>
        <v>11472</v>
      </c>
      <c r="L240" s="481">
        <v>7149</v>
      </c>
    </row>
    <row r="241" spans="1:12" x14ac:dyDescent="0.2">
      <c r="A241" s="1526" t="s">
        <v>868</v>
      </c>
      <c r="B241" s="615">
        <v>2220</v>
      </c>
      <c r="C241" s="617"/>
      <c r="D241" s="466">
        <v>52548</v>
      </c>
      <c r="E241" s="617"/>
      <c r="F241" s="617"/>
      <c r="G241" s="617"/>
      <c r="H241" s="617"/>
      <c r="I241" s="617"/>
      <c r="J241" s="617"/>
      <c r="K241" s="1694">
        <f>D241</f>
        <v>52548</v>
      </c>
      <c r="L241" s="466">
        <v>48931</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64020</v>
      </c>
      <c r="E243" s="617"/>
      <c r="F243" s="617"/>
      <c r="G243" s="617"/>
      <c r="H243" s="617"/>
      <c r="I243" s="617"/>
      <c r="J243" s="617"/>
      <c r="K243" s="1692">
        <f>SUM(K240:K242)</f>
        <v>64020</v>
      </c>
      <c r="L243" s="1692">
        <f>SUM(L240:L242)</f>
        <v>56080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627</v>
      </c>
      <c r="E245" s="617"/>
      <c r="F245" s="617"/>
      <c r="G245" s="617"/>
      <c r="H245" s="617"/>
      <c r="I245" s="617"/>
      <c r="J245" s="617"/>
      <c r="K245" s="1694">
        <f>D245</f>
        <v>627</v>
      </c>
      <c r="L245" s="481">
        <v>266</v>
      </c>
    </row>
    <row r="246" spans="1:12" x14ac:dyDescent="0.2">
      <c r="A246" s="1526" t="s">
        <v>871</v>
      </c>
      <c r="B246" s="615">
        <v>2320</v>
      </c>
      <c r="C246" s="617"/>
      <c r="D246" s="466">
        <v>14540</v>
      </c>
      <c r="E246" s="617"/>
      <c r="F246" s="617"/>
      <c r="G246" s="617"/>
      <c r="H246" s="617"/>
      <c r="I246" s="617"/>
      <c r="J246" s="617"/>
      <c r="K246" s="1694">
        <f t="shared" ref="K246:K256" si="21">D246</f>
        <v>14540</v>
      </c>
      <c r="L246" s="466">
        <v>14690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v>37360</v>
      </c>
      <c r="E254" s="617"/>
      <c r="F254" s="617"/>
      <c r="G254" s="617"/>
      <c r="H254" s="617"/>
      <c r="I254" s="617"/>
      <c r="J254" s="617"/>
      <c r="K254" s="1694">
        <f t="shared" si="21"/>
        <v>37360</v>
      </c>
      <c r="L254" s="466">
        <v>36525</v>
      </c>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52527</v>
      </c>
      <c r="E257" s="617"/>
      <c r="F257" s="617"/>
      <c r="G257" s="617"/>
      <c r="H257" s="617"/>
      <c r="I257" s="617"/>
      <c r="J257" s="617"/>
      <c r="K257" s="1692">
        <f>SUM(K245:K256)</f>
        <v>52527</v>
      </c>
      <c r="L257" s="1692">
        <f>SUM(L245:L256)</f>
        <v>51481</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23916</v>
      </c>
      <c r="E259" s="617"/>
      <c r="F259" s="617"/>
      <c r="G259" s="617"/>
      <c r="H259" s="617"/>
      <c r="I259" s="617"/>
      <c r="J259" s="617"/>
      <c r="K259" s="1694">
        <f>D259</f>
        <v>23916</v>
      </c>
      <c r="L259" s="481">
        <v>26503</v>
      </c>
    </row>
    <row r="260" spans="1:14" s="598" customFormat="1" x14ac:dyDescent="0.2">
      <c r="A260" s="1544" t="s">
        <v>1906</v>
      </c>
      <c r="B260" s="629">
        <v>2490</v>
      </c>
      <c r="C260" s="617"/>
      <c r="D260" s="466">
        <v>10859</v>
      </c>
      <c r="E260" s="617"/>
      <c r="F260" s="617"/>
      <c r="G260" s="617"/>
      <c r="H260" s="617"/>
      <c r="I260" s="617"/>
      <c r="J260" s="617"/>
      <c r="K260" s="1694">
        <f>D260</f>
        <v>10859</v>
      </c>
      <c r="L260" s="466">
        <v>13615</v>
      </c>
      <c r="M260" s="210"/>
      <c r="N260" s="210"/>
    </row>
    <row r="261" spans="1:14" ht="12.75" customHeight="1" thickBot="1" x14ac:dyDescent="0.25">
      <c r="A261" s="1714" t="s">
        <v>281</v>
      </c>
      <c r="B261" s="1719" t="s">
        <v>34</v>
      </c>
      <c r="C261" s="617"/>
      <c r="D261" s="1692">
        <f>SUM(D259:D260)</f>
        <v>34775</v>
      </c>
      <c r="E261" s="617"/>
      <c r="F261" s="617"/>
      <c r="G261" s="617"/>
      <c r="H261" s="617"/>
      <c r="I261" s="617"/>
      <c r="J261" s="617"/>
      <c r="K261" s="1692">
        <f>SUM(K259:K260)</f>
        <v>34775</v>
      </c>
      <c r="L261" s="1692">
        <f>SUM(L259:L260)</f>
        <v>40118</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14780</v>
      </c>
      <c r="E263" s="617"/>
      <c r="F263" s="617"/>
      <c r="G263" s="617"/>
      <c r="H263" s="617"/>
      <c r="I263" s="617"/>
      <c r="J263" s="617"/>
      <c r="K263" s="1694">
        <f>D263</f>
        <v>14780</v>
      </c>
      <c r="L263" s="481">
        <v>19125</v>
      </c>
    </row>
    <row r="264" spans="1:14" x14ac:dyDescent="0.2">
      <c r="A264" s="1526" t="s">
        <v>482</v>
      </c>
      <c r="B264" s="686">
        <v>2520</v>
      </c>
      <c r="C264" s="617"/>
      <c r="D264" s="466">
        <v>22964</v>
      </c>
      <c r="E264" s="617"/>
      <c r="F264" s="617"/>
      <c r="G264" s="617"/>
      <c r="H264" s="617"/>
      <c r="I264" s="617"/>
      <c r="J264" s="617"/>
      <c r="K264" s="1694">
        <f t="shared" ref="K264:K269" si="22">D264</f>
        <v>22964</v>
      </c>
      <c r="L264" s="466">
        <v>22740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123012</v>
      </c>
      <c r="E266" s="617"/>
      <c r="F266" s="617"/>
      <c r="G266" s="617"/>
      <c r="H266" s="617"/>
      <c r="I266" s="617"/>
      <c r="J266" s="617"/>
      <c r="K266" s="1694">
        <f t="shared" si="22"/>
        <v>123012</v>
      </c>
      <c r="L266" s="466">
        <v>133828</v>
      </c>
    </row>
    <row r="267" spans="1:14" x14ac:dyDescent="0.2">
      <c r="A267" s="1526" t="s">
        <v>1009</v>
      </c>
      <c r="B267" s="615">
        <v>2550</v>
      </c>
      <c r="C267" s="617"/>
      <c r="D267" s="466">
        <v>231436</v>
      </c>
      <c r="E267" s="617"/>
      <c r="F267" s="617"/>
      <c r="G267" s="617"/>
      <c r="H267" s="617"/>
      <c r="I267" s="617"/>
      <c r="J267" s="617"/>
      <c r="K267" s="1694">
        <f t="shared" si="22"/>
        <v>231436</v>
      </c>
      <c r="L267" s="466">
        <v>234010</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392192</v>
      </c>
      <c r="E270" s="617"/>
      <c r="F270" s="617"/>
      <c r="G270" s="617"/>
      <c r="H270" s="617"/>
      <c r="I270" s="617"/>
      <c r="J270" s="617"/>
      <c r="K270" s="1692">
        <f>SUM(K263:K269)</f>
        <v>392192</v>
      </c>
      <c r="L270" s="1692">
        <f>SUM(L263:L269)</f>
        <v>409703</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17224</v>
      </c>
      <c r="E274" s="617"/>
      <c r="F274" s="617"/>
      <c r="G274" s="617"/>
      <c r="H274" s="617"/>
      <c r="I274" s="617"/>
      <c r="J274" s="617"/>
      <c r="K274" s="1694">
        <f>D274</f>
        <v>17224</v>
      </c>
      <c r="L274" s="466">
        <v>17173</v>
      </c>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17224</v>
      </c>
      <c r="E277" s="617"/>
      <c r="F277" s="617"/>
      <c r="G277" s="617"/>
      <c r="H277" s="617"/>
      <c r="I277" s="617"/>
      <c r="J277" s="617"/>
      <c r="K277" s="1692">
        <f>SUM(K272:K276)</f>
        <v>17224</v>
      </c>
      <c r="L277" s="1692">
        <f>SUM(L272:L276)</f>
        <v>17173</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628942</v>
      </c>
      <c r="E279" s="617"/>
      <c r="F279" s="617"/>
      <c r="G279" s="617"/>
      <c r="H279" s="617"/>
      <c r="I279" s="617"/>
      <c r="J279" s="617"/>
      <c r="K279" s="1699">
        <f>SUM(K238,K243,K257,K261,K270,K277,K278)</f>
        <v>628942</v>
      </c>
      <c r="L279" s="1699">
        <f>SUM(L238,L243,L257,L261,L270,L277,L278)</f>
        <v>632439</v>
      </c>
    </row>
    <row r="280" spans="1:12" ht="15.75" customHeight="1" thickTop="1" thickBot="1" x14ac:dyDescent="0.25">
      <c r="A280" s="1646" t="s">
        <v>929</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1955</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v>200</v>
      </c>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200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1" t="s">
        <v>525</v>
      </c>
      <c r="B295" s="2192"/>
      <c r="C295" s="617"/>
      <c r="D295" s="1692">
        <f>SUM(D229,D279,D280,D285)</f>
        <v>883618</v>
      </c>
      <c r="E295" s="617"/>
      <c r="F295" s="617"/>
      <c r="G295" s="617"/>
      <c r="H295" s="1692">
        <f>H293</f>
        <v>0</v>
      </c>
      <c r="I295" s="617"/>
      <c r="J295" s="617"/>
      <c r="K295" s="1692">
        <f>SUM(K229,K279,K280,K285,K293,K294)</f>
        <v>883618</v>
      </c>
      <c r="L295" s="1692">
        <f>SUM(L229,L279,L280,L285,L293,L294)</f>
        <v>889762</v>
      </c>
    </row>
    <row r="296" spans="1:14" ht="13.5" thickTop="1" x14ac:dyDescent="0.2">
      <c r="A296" s="2173" t="s">
        <v>1052</v>
      </c>
      <c r="B296" s="2174"/>
      <c r="C296" s="617"/>
      <c r="D296" s="619"/>
      <c r="E296" s="617"/>
      <c r="F296" s="617"/>
      <c r="G296" s="617"/>
      <c r="H296" s="688"/>
      <c r="I296" s="617"/>
      <c r="J296" s="617"/>
      <c r="K296" s="1706">
        <f>'Revenues 9-14'!G275-'Expenditures 15-22'!K295</f>
        <v>120286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329258</v>
      </c>
      <c r="F301" s="466"/>
      <c r="G301" s="466"/>
      <c r="H301" s="466"/>
      <c r="I301" s="467"/>
      <c r="J301" s="467"/>
      <c r="K301" s="1693">
        <f>SUM(C301:J301)</f>
        <v>329258</v>
      </c>
      <c r="L301" s="467">
        <v>300000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329258</v>
      </c>
      <c r="F303" s="1699">
        <f t="shared" si="23"/>
        <v>0</v>
      </c>
      <c r="G303" s="1699">
        <f t="shared" si="23"/>
        <v>0</v>
      </c>
      <c r="H303" s="1699">
        <f t="shared" si="23"/>
        <v>0</v>
      </c>
      <c r="I303" s="1699">
        <f t="shared" si="23"/>
        <v>0</v>
      </c>
      <c r="J303" s="1699">
        <f t="shared" si="23"/>
        <v>0</v>
      </c>
      <c r="K303" s="1699">
        <f t="shared" si="23"/>
        <v>329258</v>
      </c>
      <c r="L303" s="1699">
        <f t="shared" si="23"/>
        <v>300000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8" t="s">
        <v>294</v>
      </c>
      <c r="B312" s="2189"/>
      <c r="C312" s="1692">
        <f>SUM(C303)</f>
        <v>0</v>
      </c>
      <c r="D312" s="1692">
        <f>SUM(D303)</f>
        <v>0</v>
      </c>
      <c r="E312" s="1692">
        <f>SUM(E303,E310)</f>
        <v>329258</v>
      </c>
      <c r="F312" s="1692">
        <f>SUM(F303)</f>
        <v>0</v>
      </c>
      <c r="G312" s="1692">
        <f>SUM(G303)</f>
        <v>0</v>
      </c>
      <c r="H312" s="1692">
        <f>SUM(H303,H310)</f>
        <v>0</v>
      </c>
      <c r="I312" s="1692">
        <f>SUM(I303)</f>
        <v>0</v>
      </c>
      <c r="J312" s="1692">
        <f>SUM(J303)</f>
        <v>0</v>
      </c>
      <c r="K312" s="1692">
        <f>SUM(K303,K310,K311)</f>
        <v>329258</v>
      </c>
      <c r="L312" s="1692">
        <f>SUM(L303,L310,L311)</f>
        <v>300000</v>
      </c>
      <c r="M312" s="666"/>
      <c r="N312" s="666"/>
    </row>
    <row r="313" spans="1:14" ht="13.5" thickTop="1" x14ac:dyDescent="0.2">
      <c r="A313" s="2184" t="s">
        <v>1052</v>
      </c>
      <c r="B313" s="2185"/>
      <c r="C313" s="627"/>
      <c r="D313" s="627"/>
      <c r="E313" s="627"/>
      <c r="F313" s="627"/>
      <c r="G313" s="627"/>
      <c r="H313" s="627"/>
      <c r="I313" s="627"/>
      <c r="J313" s="627"/>
      <c r="K313" s="1707">
        <f>'Revenues 9-14'!H275-'Expenditures 15-22'!K312</f>
        <v>-106032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953</v>
      </c>
      <c r="B317" s="2198"/>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v>145614</v>
      </c>
      <c r="F320" s="467"/>
      <c r="G320" s="467"/>
      <c r="H320" s="467"/>
      <c r="I320" s="467"/>
      <c r="J320" s="467"/>
      <c r="K320" s="1693">
        <f t="shared" ref="K320:K327" si="24">SUM(C320:J320)</f>
        <v>145614</v>
      </c>
      <c r="L320" s="467">
        <v>185000</v>
      </c>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v>161264</v>
      </c>
      <c r="F322" s="467"/>
      <c r="G322" s="467"/>
      <c r="H322" s="467"/>
      <c r="I322" s="467"/>
      <c r="J322" s="467"/>
      <c r="K322" s="1693">
        <f t="shared" si="24"/>
        <v>161264</v>
      </c>
      <c r="L322" s="467">
        <v>164500</v>
      </c>
      <c r="M322" s="666"/>
      <c r="N322" s="666"/>
    </row>
    <row r="323" spans="1:14" s="675" customFormat="1" x14ac:dyDescent="0.2">
      <c r="A323" s="1541" t="s">
        <v>725</v>
      </c>
      <c r="B323" s="698" t="s">
        <v>302</v>
      </c>
      <c r="C323" s="467"/>
      <c r="D323" s="467"/>
      <c r="E323" s="467">
        <v>182757</v>
      </c>
      <c r="F323" s="467"/>
      <c r="G323" s="467"/>
      <c r="H323" s="467"/>
      <c r="I323" s="467"/>
      <c r="J323" s="467"/>
      <c r="K323" s="1693">
        <f t="shared" si="24"/>
        <v>182757</v>
      </c>
      <c r="L323" s="467">
        <v>235000</v>
      </c>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252093</v>
      </c>
      <c r="D325" s="467">
        <v>42169</v>
      </c>
      <c r="E325" s="467">
        <v>6890</v>
      </c>
      <c r="F325" s="467">
        <v>2952</v>
      </c>
      <c r="G325" s="467">
        <v>1167</v>
      </c>
      <c r="H325" s="467"/>
      <c r="I325" s="467"/>
      <c r="J325" s="467"/>
      <c r="K325" s="1693">
        <f t="shared" si="24"/>
        <v>305271</v>
      </c>
      <c r="L325" s="467">
        <v>284592</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55576</v>
      </c>
      <c r="F327" s="467"/>
      <c r="G327" s="467"/>
      <c r="H327" s="467"/>
      <c r="I327" s="467"/>
      <c r="J327" s="467"/>
      <c r="K327" s="1693">
        <f t="shared" si="24"/>
        <v>55576</v>
      </c>
      <c r="L327" s="467">
        <v>0</v>
      </c>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v>21900</v>
      </c>
      <c r="M329" s="666"/>
      <c r="N329" s="666"/>
    </row>
    <row r="330" spans="1:14" s="675" customFormat="1" ht="12.75" customHeight="1" thickBot="1" x14ac:dyDescent="0.25">
      <c r="A330" s="1722" t="s">
        <v>740</v>
      </c>
      <c r="B330" s="1691" t="s">
        <v>589</v>
      </c>
      <c r="C330" s="1692">
        <f>SUM(C319:C329)</f>
        <v>252093</v>
      </c>
      <c r="D330" s="1692">
        <f t="shared" ref="D330:J330" si="25">SUM(D319:D329)</f>
        <v>42169</v>
      </c>
      <c r="E330" s="1692">
        <f t="shared" si="25"/>
        <v>552101</v>
      </c>
      <c r="F330" s="1692">
        <f t="shared" si="25"/>
        <v>2952</v>
      </c>
      <c r="G330" s="1692">
        <f t="shared" si="25"/>
        <v>1167</v>
      </c>
      <c r="H330" s="1692">
        <f t="shared" si="25"/>
        <v>0</v>
      </c>
      <c r="I330" s="1692">
        <f t="shared" si="25"/>
        <v>0</v>
      </c>
      <c r="J330" s="1692">
        <f t="shared" si="25"/>
        <v>0</v>
      </c>
      <c r="K330" s="1692">
        <f>SUM(K319:K329)</f>
        <v>850482</v>
      </c>
      <c r="L330" s="1692">
        <f>SUM(L319:L329)</f>
        <v>890992</v>
      </c>
      <c r="M330" s="666"/>
      <c r="N330" s="666"/>
    </row>
    <row r="331" spans="1:14" s="675" customFormat="1" ht="12.75" customHeight="1" thickTop="1" x14ac:dyDescent="0.2">
      <c r="A331" s="1854" t="s">
        <v>1961</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1955</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1957</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1962</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252093</v>
      </c>
      <c r="D342" s="1692">
        <f>SUM(D330)</f>
        <v>42169</v>
      </c>
      <c r="E342" s="1692">
        <f>SUM(E330)</f>
        <v>552101</v>
      </c>
      <c r="F342" s="1692">
        <f>SUM(F330)</f>
        <v>2952</v>
      </c>
      <c r="G342" s="1692">
        <f>SUM(G330)</f>
        <v>1167</v>
      </c>
      <c r="H342" s="1692">
        <f>SUM(H330,H334,H340)</f>
        <v>0</v>
      </c>
      <c r="I342" s="1692">
        <f>SUM(I330)</f>
        <v>0</v>
      </c>
      <c r="J342" s="1692">
        <f>SUM(J330)</f>
        <v>0</v>
      </c>
      <c r="K342" s="1692">
        <f>SUM(K330,K334,K340)</f>
        <v>850482</v>
      </c>
      <c r="L342" s="1699">
        <f>SUM(L330,L340,L341)</f>
        <v>890992</v>
      </c>
    </row>
    <row r="343" spans="1:14" ht="12.75" customHeight="1" thickTop="1" x14ac:dyDescent="0.2">
      <c r="A343" s="2186" t="s">
        <v>1052</v>
      </c>
      <c r="B343" s="2187"/>
      <c r="C343" s="617"/>
      <c r="D343" s="617"/>
      <c r="E343" s="617"/>
      <c r="F343" s="617"/>
      <c r="G343" s="617"/>
      <c r="H343" s="617"/>
      <c r="I343" s="617"/>
      <c r="J343" s="617"/>
      <c r="K343" s="1706">
        <f>'Revenues 9-14'!J275-'Expenditures 15-22'!K342</f>
        <v>446296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1022</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v>3865</v>
      </c>
      <c r="H349" s="466"/>
      <c r="I349" s="467"/>
      <c r="J349" s="467"/>
      <c r="K349" s="1693">
        <f>SUM(C349:J349)</f>
        <v>3865</v>
      </c>
      <c r="L349" s="466">
        <v>300000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3865</v>
      </c>
      <c r="H350" s="1692">
        <f t="shared" si="26"/>
        <v>0</v>
      </c>
      <c r="I350" s="1692">
        <f t="shared" si="26"/>
        <v>0</v>
      </c>
      <c r="J350" s="1692">
        <f t="shared" si="26"/>
        <v>0</v>
      </c>
      <c r="K350" s="1692">
        <f t="shared" si="26"/>
        <v>3865</v>
      </c>
      <c r="L350" s="1692">
        <f t="shared" si="26"/>
        <v>300000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3865</v>
      </c>
      <c r="H352" s="1692">
        <f t="shared" si="27"/>
        <v>0</v>
      </c>
      <c r="I352" s="1692">
        <f t="shared" si="27"/>
        <v>0</v>
      </c>
      <c r="J352" s="1692">
        <f t="shared" si="27"/>
        <v>0</v>
      </c>
      <c r="K352" s="1692">
        <f t="shared" si="27"/>
        <v>3865</v>
      </c>
      <c r="L352" s="1692">
        <f t="shared" si="27"/>
        <v>300000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row>
    <row r="355" spans="1:14" ht="12.75" customHeight="1" x14ac:dyDescent="0.2">
      <c r="A355" s="1535" t="s">
        <v>1964</v>
      </c>
      <c r="B355" s="691" t="s">
        <v>1957</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3865</v>
      </c>
      <c r="H367" s="1692">
        <f t="shared" si="28"/>
        <v>0</v>
      </c>
      <c r="I367" s="1692">
        <f t="shared" si="28"/>
        <v>0</v>
      </c>
      <c r="J367" s="1692">
        <f t="shared" si="28"/>
        <v>0</v>
      </c>
      <c r="K367" s="1692">
        <f t="shared" si="28"/>
        <v>3865</v>
      </c>
      <c r="L367" s="1692">
        <f t="shared" si="28"/>
        <v>300000</v>
      </c>
    </row>
    <row r="368" spans="1:14" ht="13.5" thickTop="1" x14ac:dyDescent="0.2">
      <c r="A368" s="2173" t="s">
        <v>1052</v>
      </c>
      <c r="B368" s="2174"/>
      <c r="C368" s="655"/>
      <c r="D368" s="655"/>
      <c r="E368" s="627"/>
      <c r="F368" s="627"/>
      <c r="G368" s="627"/>
      <c r="H368" s="627"/>
      <c r="I368" s="627"/>
      <c r="J368" s="624"/>
      <c r="K368" s="1693">
        <f>'Revenues 9-14'!K275-'Expenditures 15-22'!K367</f>
        <v>675819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www.w3.org/XML/1998/namespace"/>
    <ds:schemaRef ds:uri="d21dc803-237d-4c68-8692-8d731fd29118"/>
    <ds:schemaRef ds:uri="http://schemas.microsoft.com/office/2006/documentManagement/types"/>
    <ds:schemaRef ds:uri="http://purl.org/dc/elements/1.1/"/>
    <ds:schemaRef ds:uri="http://purl.org/dc/dcmitype/"/>
    <ds:schemaRef ds:uri="http://purl.org/dc/terms/"/>
    <ds:schemaRef ds:uri="6ce3111e-7420-4802-b50a-75d4e9a0b980"/>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2018-10-11T16:19:03Z</cp:lastPrinted>
  <dcterms:created xsi:type="dcterms:W3CDTF">2003-10-29T19:06:34Z</dcterms:created>
  <dcterms:modified xsi:type="dcterms:W3CDTF">2018-10-16T20:59:41Z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