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88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0" i="108" l="1"/>
  <c r="D31" i="181"/>
  <c r="D30" i="181"/>
  <c r="D25" i="181"/>
  <c r="D22" i="181"/>
  <c r="D21" i="181"/>
  <c r="L21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B5304" i="106" s="1"/>
  <c r="D5304" i="106" s="1"/>
  <c r="C259" i="5"/>
  <c r="B7761" i="106"/>
  <c r="L127" i="29"/>
  <c r="L129" i="29" s="1"/>
  <c r="L139" i="29"/>
  <c r="L149" i="29"/>
  <c r="I7" i="145"/>
  <c r="I6" i="145"/>
  <c r="D78" i="36"/>
  <c r="K75" i="29"/>
  <c r="F52" i="34" s="1"/>
  <c r="K130" i="29"/>
  <c r="K185" i="29"/>
  <c r="B2836" i="106" s="1"/>
  <c r="D2836" i="106" s="1"/>
  <c r="K122" i="29"/>
  <c r="F15" i="145" s="1"/>
  <c r="F19" i="145" s="1"/>
  <c r="K67" i="29"/>
  <c r="K64" i="29"/>
  <c r="D31" i="108" s="1"/>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c r="B6303" i="106"/>
  <c r="D6303" i="106" s="1"/>
  <c r="B6304" i="106"/>
  <c r="D6304" i="106"/>
  <c r="B6305" i="106"/>
  <c r="D6305" i="106" s="1"/>
  <c r="B6307" i="106"/>
  <c r="D6307" i="106" s="1"/>
  <c r="B6308" i="106"/>
  <c r="D6308" i="106" s="1"/>
  <c r="B6309" i="106"/>
  <c r="D6309" i="106" s="1"/>
  <c r="B6310" i="106"/>
  <c r="D6310" i="106" s="1"/>
  <c r="B6311" i="106"/>
  <c r="D6311" i="106"/>
  <c r="B6312" i="106"/>
  <c r="D6312" i="106" s="1"/>
  <c r="B6313" i="106"/>
  <c r="D6313" i="106"/>
  <c r="B6314" i="106"/>
  <c r="D6314" i="106" s="1"/>
  <c r="B6315" i="106"/>
  <c r="D6315" i="106" s="1"/>
  <c r="B6316" i="106"/>
  <c r="D6316" i="106" s="1"/>
  <c r="B6317" i="106"/>
  <c r="D6317" i="106" s="1"/>
  <c r="B6319" i="106"/>
  <c r="D6319" i="106" s="1"/>
  <c r="B6320" i="106"/>
  <c r="D6320" i="106"/>
  <c r="B6321" i="106"/>
  <c r="D6321" i="106" s="1"/>
  <c r="B6322" i="106"/>
  <c r="D6322" i="106"/>
  <c r="B6323" i="106"/>
  <c r="D6323" i="106" s="1"/>
  <c r="B6324" i="106"/>
  <c r="D6324" i="106" s="1"/>
  <c r="B6325" i="106"/>
  <c r="D6325" i="106" s="1"/>
  <c r="B6326" i="106"/>
  <c r="D6326" i="106" s="1"/>
  <c r="B6327" i="106"/>
  <c r="D6327" i="106" s="1"/>
  <c r="B6328" i="106"/>
  <c r="D6328" i="106"/>
  <c r="B6329" i="106"/>
  <c r="D6329" i="106" s="1"/>
  <c r="B6330" i="106"/>
  <c r="D6330" i="106" s="1"/>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c r="B6730" i="106"/>
  <c r="D6730" i="106" s="1"/>
  <c r="B6731" i="106"/>
  <c r="D6731" i="106" s="1"/>
  <c r="B6732" i="106"/>
  <c r="D6732" i="106" s="1"/>
  <c r="B6733" i="106"/>
  <c r="D6733" i="106"/>
  <c r="B6734" i="106"/>
  <c r="D6734" i="106" s="1"/>
  <c r="B6735" i="106"/>
  <c r="D6735" i="106" s="1"/>
  <c r="B6736" i="106"/>
  <c r="D6736" i="106" s="1"/>
  <c r="B6737" i="106"/>
  <c r="D6737" i="106"/>
  <c r="B6738" i="106"/>
  <c r="D6738" i="106" s="1"/>
  <c r="B6739" i="106"/>
  <c r="D6739" i="106" s="1"/>
  <c r="B6740" i="106"/>
  <c r="D6740" i="106" s="1"/>
  <c r="B6741" i="106"/>
  <c r="D6741" i="106"/>
  <c r="B6742" i="106"/>
  <c r="D6742" i="106" s="1"/>
  <c r="B6743" i="106"/>
  <c r="D6743" i="106" s="1"/>
  <c r="B6744" i="106"/>
  <c r="D6744" i="106" s="1"/>
  <c r="B6745" i="106"/>
  <c r="D6745" i="106"/>
  <c r="B6746" i="106"/>
  <c r="D6746" i="106" s="1"/>
  <c r="B6747" i="106"/>
  <c r="D6747" i="106" s="1"/>
  <c r="B6748" i="106"/>
  <c r="D6748" i="106" s="1"/>
  <c r="B6749" i="106"/>
  <c r="D6749" i="106"/>
  <c r="B6750" i="106"/>
  <c r="D6750" i="106" s="1"/>
  <c r="B6751" i="106"/>
  <c r="D6751" i="106" s="1"/>
  <c r="B6752" i="106"/>
  <c r="D6752" i="106" s="1"/>
  <c r="B6753" i="106"/>
  <c r="D6753" i="106"/>
  <c r="B6754" i="106"/>
  <c r="D6754" i="106" s="1"/>
  <c r="B6755" i="106"/>
  <c r="D6755" i="106" s="1"/>
  <c r="B6756" i="106"/>
  <c r="D6756" i="106" s="1"/>
  <c r="B6757" i="106"/>
  <c r="D6757" i="106"/>
  <c r="B6758" i="106"/>
  <c r="D6758" i="106" s="1"/>
  <c r="B6759" i="106"/>
  <c r="D6759" i="106" s="1"/>
  <c r="B6760" i="106"/>
  <c r="D6760" i="106" s="1"/>
  <c r="B6761" i="106"/>
  <c r="D6761" i="106"/>
  <c r="B6762" i="106"/>
  <c r="D6762" i="106" s="1"/>
  <c r="B6763" i="106"/>
  <c r="D6763" i="106" s="1"/>
  <c r="B6764" i="106"/>
  <c r="D6764" i="106" s="1"/>
  <c r="B6765" i="106"/>
  <c r="D6765" i="106"/>
  <c r="B6766" i="106"/>
  <c r="D6766" i="106" s="1"/>
  <c r="B6767" i="106"/>
  <c r="D6767" i="106" s="1"/>
  <c r="B6768" i="106"/>
  <c r="D6768" i="106" s="1"/>
  <c r="B6769" i="106"/>
  <c r="D6769" i="106"/>
  <c r="B6770" i="106"/>
  <c r="D6770" i="106" s="1"/>
  <c r="B6771" i="106"/>
  <c r="D6771" i="106" s="1"/>
  <c r="B6772" i="106"/>
  <c r="D6772" i="106" s="1"/>
  <c r="B6773" i="106"/>
  <c r="D6773" i="106"/>
  <c r="B6774" i="106"/>
  <c r="D6774" i="106" s="1"/>
  <c r="B6775" i="106"/>
  <c r="D6775" i="106" s="1"/>
  <c r="B6776" i="106"/>
  <c r="D6776" i="106" s="1"/>
  <c r="B6777" i="106"/>
  <c r="D6777" i="106"/>
  <c r="B6778" i="106"/>
  <c r="D6778" i="106" s="1"/>
  <c r="B6779" i="106"/>
  <c r="D6779" i="106" s="1"/>
  <c r="B6780" i="106"/>
  <c r="D6780" i="106" s="1"/>
  <c r="B6781" i="106"/>
  <c r="D6781" i="106"/>
  <c r="B6782" i="106"/>
  <c r="D6782" i="106" s="1"/>
  <c r="B6783" i="106"/>
  <c r="D6783" i="106" s="1"/>
  <c r="B6784" i="106"/>
  <c r="D6784" i="106" s="1"/>
  <c r="B6785" i="106"/>
  <c r="D6785" i="106"/>
  <c r="B6786" i="106"/>
  <c r="D6786" i="106" s="1"/>
  <c r="B6787" i="106"/>
  <c r="D6787" i="106" s="1"/>
  <c r="B6788" i="106"/>
  <c r="D6788" i="106" s="1"/>
  <c r="B6789" i="106"/>
  <c r="D6789" i="106"/>
  <c r="B6790" i="106"/>
  <c r="D6790" i="106" s="1"/>
  <c r="B6791" i="106"/>
  <c r="D6791" i="106" s="1"/>
  <c r="B6792" i="106"/>
  <c r="D6792" i="106" s="1"/>
  <c r="B6793" i="106"/>
  <c r="D6793" i="106"/>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G27" i="108"/>
  <c r="F31" i="108"/>
  <c r="F36" i="108"/>
  <c r="F37" i="108"/>
  <c r="G28"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F106" i="34"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F128" i="34" s="1"/>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F131" i="34" s="1"/>
  <c r="B4413" i="106"/>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5" i="4"/>
  <c r="B3409" i="106" s="1"/>
  <c r="D3409" i="106" s="1"/>
  <c r="G14" i="4"/>
  <c r="B2609" i="106" s="1"/>
  <c r="D2609" i="106" s="1"/>
  <c r="G15" i="4"/>
  <c r="B6032" i="106" s="1"/>
  <c r="D6032" i="106" s="1"/>
  <c r="D14" i="4"/>
  <c r="B2570" i="106" s="1"/>
  <c r="D2570" i="106" s="1"/>
  <c r="F14" i="4"/>
  <c r="B2597" i="106" s="1"/>
  <c r="D2597" i="106" s="1"/>
  <c r="B2633" i="106"/>
  <c r="D2633" i="106" s="1"/>
  <c r="N22" i="3"/>
  <c r="B283" i="106" s="1"/>
  <c r="D283" i="106" s="1"/>
  <c r="D7" i="118"/>
  <c r="D8" i="118"/>
  <c r="D9" i="118"/>
  <c r="H14" i="118"/>
  <c r="H19" i="118"/>
  <c r="H24" i="118"/>
  <c r="H28" i="118"/>
  <c r="H29" i="118"/>
  <c r="H33" i="118"/>
  <c r="D22" i="37"/>
  <c r="H22" i="37"/>
  <c r="J22" i="37"/>
  <c r="L22" i="37"/>
  <c r="D24" i="37"/>
  <c r="B4270" i="106" s="1"/>
  <c r="D4270" i="106" s="1"/>
  <c r="L5" i="11"/>
  <c r="B2056" i="106" s="1"/>
  <c r="D2056" i="106" s="1"/>
  <c r="D13" i="7"/>
  <c r="B3726" i="106" s="1"/>
  <c r="D3726" i="106" s="1"/>
  <c r="D9" i="7"/>
  <c r="B1767" i="106" s="1"/>
  <c r="D1767" i="106" s="1"/>
  <c r="F130" i="34"/>
  <c r="F127" i="34"/>
  <c r="B5847" i="106"/>
  <c r="D5847" i="106" s="1"/>
  <c r="B5752" i="106"/>
  <c r="D5752" i="106" s="1"/>
  <c r="B5599" i="106"/>
  <c r="D5599" i="106" s="1"/>
  <c r="H109" i="5"/>
  <c r="B6025" i="106" s="1"/>
  <c r="D6025" i="106" s="1"/>
  <c r="D17" i="7"/>
  <c r="B4104" i="106" s="1"/>
  <c r="D4104" i="106" s="1"/>
  <c r="D12" i="7"/>
  <c r="B1769" i="106" s="1"/>
  <c r="D1769" i="106" s="1"/>
  <c r="G173" i="5" l="1"/>
  <c r="B5778" i="106" s="1"/>
  <c r="D5778" i="106" s="1"/>
  <c r="B5770" i="106"/>
  <c r="D5770" i="106" s="1"/>
  <c r="H4" i="4"/>
  <c r="B2655" i="106" s="1"/>
  <c r="D2655" i="106" s="1"/>
  <c r="D15" i="7"/>
  <c r="B1772" i="106" s="1"/>
  <c r="D1772" i="106" s="1"/>
  <c r="D7" i="7"/>
  <c r="B1763" i="106" s="1"/>
  <c r="D1763" i="106" s="1"/>
  <c r="D11" i="7"/>
  <c r="B1768" i="106" s="1"/>
  <c r="D1768" i="106" s="1"/>
  <c r="D109" i="5"/>
  <c r="K274" i="5"/>
  <c r="F111" i="34"/>
  <c r="D5" i="7"/>
  <c r="B1761" i="106" s="1"/>
  <c r="D1761" i="106" s="1"/>
  <c r="K28" i="118"/>
  <c r="O27" i="118" s="1"/>
  <c r="O29" i="118" s="1"/>
  <c r="I274" i="5"/>
  <c r="K173" i="5"/>
  <c r="K6" i="4" s="1"/>
  <c r="B3570" i="106" s="1"/>
  <c r="D3570" i="106" s="1"/>
  <c r="B5383" i="106"/>
  <c r="D5383" i="106" s="1"/>
  <c r="F172" i="5"/>
  <c r="B5644" i="106" s="1"/>
  <c r="D5644" i="106" s="1"/>
  <c r="J77" i="4"/>
  <c r="B6262" i="106" s="1"/>
  <c r="D6262" i="106" s="1"/>
  <c r="B1308" i="106"/>
  <c r="D1308" i="106" s="1"/>
  <c r="E174" i="29"/>
  <c r="B1309" i="106" s="1"/>
  <c r="D1309" i="106" s="1"/>
  <c r="I24" i="12"/>
  <c r="B1995" i="106"/>
  <c r="D1995" i="106" s="1"/>
  <c r="E15" i="145"/>
  <c r="G15" i="145" s="1"/>
  <c r="B1126" i="106"/>
  <c r="D1126" i="106" s="1"/>
  <c r="C172" i="5"/>
  <c r="B5214" i="106" s="1"/>
  <c r="D5214" i="106" s="1"/>
  <c r="L367" i="29"/>
  <c r="D7245" i="106"/>
  <c r="H173" i="5"/>
  <c r="B3621" i="106"/>
  <c r="D3621" i="106" s="1"/>
  <c r="C367" i="29"/>
  <c r="B3254" i="106"/>
  <c r="D3254" i="106" s="1"/>
  <c r="F77" i="4"/>
  <c r="B3255" i="106" s="1"/>
  <c r="D3255" i="106" s="1"/>
  <c r="K24" i="12"/>
  <c r="B7733" i="106" s="1"/>
  <c r="D7733" i="106" s="1"/>
  <c r="B1274" i="106"/>
  <c r="D1274" i="106" s="1"/>
  <c r="D6103" i="106"/>
  <c r="L15" i="11"/>
  <c r="B3459" i="106" s="1"/>
  <c r="D3459" i="106" s="1"/>
  <c r="K26" i="12"/>
  <c r="B7743" i="106" s="1"/>
  <c r="D7743" i="106" s="1"/>
  <c r="F19" i="7"/>
  <c r="B1807" i="106" s="1"/>
  <c r="D1807" i="106" s="1"/>
  <c r="K350" i="29"/>
  <c r="B3670" i="106" s="1"/>
  <c r="D3670" i="106" s="1"/>
  <c r="B3649" i="106"/>
  <c r="D3649" i="106" s="1"/>
  <c r="G367" i="29"/>
  <c r="B3650" i="106" s="1"/>
  <c r="D3650" i="106" s="1"/>
  <c r="C342" i="29"/>
  <c r="B7216" i="106" s="1"/>
  <c r="D7216" i="106" s="1"/>
  <c r="B1410" i="106"/>
  <c r="D1410" i="106" s="1"/>
  <c r="G210" i="29"/>
  <c r="E29" i="108"/>
  <c r="K184" i="29"/>
  <c r="F13" i="4" s="1"/>
  <c r="B2596" i="106" s="1"/>
  <c r="D2596" i="106" s="1"/>
  <c r="G29" i="108"/>
  <c r="B1329" i="106"/>
  <c r="D1329" i="106" s="1"/>
  <c r="F61" i="34"/>
  <c r="F28" i="108"/>
  <c r="F41" i="108" s="1"/>
  <c r="G43" i="108" s="1"/>
  <c r="C129" i="29"/>
  <c r="E28" i="108"/>
  <c r="C14" i="4"/>
  <c r="B2558" i="106" s="1"/>
  <c r="D2558" i="106" s="1"/>
  <c r="G30" i="108"/>
  <c r="E30" i="108"/>
  <c r="G109" i="5"/>
  <c r="E109" i="5"/>
  <c r="E4" i="4" s="1"/>
  <c r="B2630" i="106" s="1"/>
  <c r="D2630" i="106" s="1"/>
  <c r="B1746" i="106"/>
  <c r="D1746" i="106" s="1"/>
  <c r="F136" i="34"/>
  <c r="C173" i="5"/>
  <c r="B5223" i="106" s="1"/>
  <c r="D5223" i="106" s="1"/>
  <c r="C109" i="5"/>
  <c r="B5121" i="106" s="1"/>
  <c r="D5121" i="106" s="1"/>
  <c r="D4" i="7"/>
  <c r="B1760" i="106" s="1"/>
  <c r="D1760" i="106" s="1"/>
  <c r="D54" i="36"/>
  <c r="D52" i="36"/>
  <c r="B4268" i="106"/>
  <c r="D4268" i="106"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B1996" i="106" l="1"/>
  <c r="D1996" i="106" s="1"/>
  <c r="I26" i="12"/>
  <c r="B7741" i="106" s="1"/>
  <c r="D7741" i="106" s="1"/>
  <c r="F275" i="5"/>
  <c r="B5906" i="106"/>
  <c r="D5906" i="106" s="1"/>
  <c r="H6" i="4"/>
  <c r="H367" i="29"/>
  <c r="B3660" i="106" s="1"/>
  <c r="D3660" i="106" s="1"/>
  <c r="B5356" i="106"/>
  <c r="D5356" i="106" s="1"/>
  <c r="D4" i="4"/>
  <c r="B2564" i="106" s="1"/>
  <c r="D2564" i="106" s="1"/>
  <c r="L16" i="11"/>
  <c r="B2061" i="106" s="1"/>
  <c r="D2061" i="106" s="1"/>
  <c r="K352" i="29"/>
  <c r="K342" i="29"/>
  <c r="F13" i="34" s="1"/>
  <c r="B1365" i="106"/>
  <c r="D1365" i="106" s="1"/>
  <c r="F65" i="34"/>
  <c r="B1381" i="106"/>
  <c r="D1381" i="106" s="1"/>
  <c r="B1317" i="106"/>
  <c r="D1317" i="106" s="1"/>
  <c r="L114" i="29"/>
  <c r="C114" i="29"/>
  <c r="B757" i="106" s="1"/>
  <c r="D757" i="106" s="1"/>
  <c r="B6024" i="106"/>
  <c r="D6024" i="106" s="1"/>
  <c r="G4" i="4"/>
  <c r="B2603" i="106" s="1"/>
  <c r="D2603" i="106" s="1"/>
  <c r="B5527" i="106"/>
  <c r="D5527" i="106" s="1"/>
  <c r="C6" i="4"/>
  <c r="B2553" i="106" s="1"/>
  <c r="D2553" i="106" s="1"/>
  <c r="D19" i="7"/>
  <c r="B1775" i="106" s="1"/>
  <c r="D1775"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F8" i="4" l="1"/>
  <c r="B2656" i="106"/>
  <c r="D2656" i="106" s="1"/>
  <c r="H8" i="4"/>
  <c r="K13" i="4"/>
  <c r="B3572" i="106" s="1"/>
  <c r="D3572" i="106" s="1"/>
  <c r="B3672" i="106"/>
  <c r="D3672" i="106" s="1"/>
  <c r="K367" i="29"/>
  <c r="J17" i="4"/>
  <c r="E41" i="108"/>
  <c r="E44" i="108" s="1"/>
  <c r="E45" i="108" s="1"/>
  <c r="G41" i="108"/>
  <c r="G44" i="108" s="1"/>
  <c r="G45" i="108"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<sst xmlns="http://schemas.openxmlformats.org/spreadsheetml/2006/main" count="5097" uniqueCount="2134">
  <si>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</si>
  <si>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</si>
  <si>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</si>
  <si>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</si>
  <si>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</si>
  <si>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</si>
  <si>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</si>
  <si>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</si>
  <si>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</si>
  <si>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</si>
  <si>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</si>
  <si>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</si>
  <si>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</si>
  <si>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</si>
  <si>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</si>
  <si>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</si>
  <si>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</si>
  <si>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</si>
  <si>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</si>
  <si>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</si>
  <si>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</si>
  <si>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</si>
  <si>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</si>
  <si>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</si>
  <si>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</si>
  <si>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</si>
  <si>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</si>
  <si>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</si>
  <si>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</si>
  <si>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</si>
  <si>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</si>
  <si>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</si>
  <si>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</si>
  <si>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</si>
  <si>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</si>
  <si>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</si>
  <si>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</si>
  <si>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</si>
  <si>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</si>
  <si>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</si>
  <si>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</si>
  <si>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</si>
  <si>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</si>
  <si>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</si>
  <si>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</si>
  <si>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</si>
  <si>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</si>
  <si>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</si>
  <si>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</si>
  <si>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</si>
  <si>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</si>
  <si>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</si>
  <si>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</si>
  <si>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</si>
  <si>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</si>
  <si>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</si>
  <si>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</si>
  <si>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</si>
  <si>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</si>
  <si>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</si>
  <si>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</si>
  <si>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</si>
  <si>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</si>
  <si>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</si>
  <si>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</si>
  <si>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</si>
  <si>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</si>
  <si>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</si>
  <si>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</si>
  <si>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</si>
  <si>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</si>
  <si>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</si>
  <si>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</si>
  <si>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</si>
  <si>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</si>
  <si>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</si>
  <si>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</si>
  <si>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</si>
  <si>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</si>
  <si>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</si>
  <si>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</si>
  <si>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</si>
  <si>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</si>
  <si>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</si>
  <si>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</si>
  <si>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</si>
  <si>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</si>
  <si>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</si>
  <si>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</si>
  <si>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</si>
  <si>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</si>
  <si>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</si>
  <si>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</si>
  <si>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</si>
  <si>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</si>
  <si>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</si>
  <si>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</si>
  <si>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</si>
  <si>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</si>
  <si>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</si>
  <si>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</si>
  <si>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</si>
  <si>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</si>
  <si>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</si>
  <si>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</si>
  <si>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</si>
  <si>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</si>
  <si>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</si>
  <si>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</si>
  <si>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</si>
  <si>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</si>
  <si>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</si>
  <si>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</si>
  <si>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</si>
  <si>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</si>
  <si>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</si>
  <si>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</si>
  <si>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</si>
  <si>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</si>
  <si>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</si>
  <si>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</si>
  <si>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</si>
  <si>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</si>
  <si>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</si>
  <si>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</si>
  <si>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</si>
  <si>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</si>
  <si>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</si>
  <si>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</si>
  <si>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</si>
  <si>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</si>
  <si>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</si>
  <si>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</si>
  <si>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</si>
  <si>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</si>
  <si>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</si>
  <si>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</si>
  <si>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</si>
  <si>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</si>
  <si>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</si>
  <si>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</si>
  <si>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</si>
  <si>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</si>
  <si>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</si>
  <si>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</si>
  <si>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</si>
  <si>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</si>
  <si>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</si>
  <si>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</si>
  <si>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</si>
  <si>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</si>
  <si>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</si>
  <si>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</si>
  <si>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</si>
  <si>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</si>
  <si>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</si>
  <si>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</si>
  <si>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</si>
  <si>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</si>
  <si>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</si>
  <si>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</si>
  <si>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</si>
  <si>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</si>
  <si>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</si>
  <si>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</si>
  <si>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</si>
  <si>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</si>
  <si>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</si>
  <si>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</si>
  <si>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</si>
  <si>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</si>
  <si>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</si>
  <si>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</si>
  <si>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</si>
  <si>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</si>
  <si>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</si>
  <si>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</si>
  <si>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</si>
  <si>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</si>
  <si>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</si>
  <si>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</si>
  <si>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</si>
  <si>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</si>
  <si>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</si>
  <si>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</si>
  <si>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</si>
  <si>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</si>
  <si>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</si>
  <si>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</si>
  <si>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</si>
  <si>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</si>
  <si>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</si>
  <si>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</si>
  <si>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</si>
  <si>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</si>
  <si>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</si>
  <si>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</si>
  <si>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</si>
  <si>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</si>
  <si>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</si>
  <si>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</si>
  <si>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</si>
  <si>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</si>
  <si>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</si>
  <si>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</si>
  <si>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</si>
  <si>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</si>
  <si>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</si>
  <si>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</si>
  <si>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</si>
  <si>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</si>
  <si>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</si>
  <si>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</si>
  <si>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</si>
  <si>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</si>
  <si>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</si>
  <si>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</si>
  <si>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</si>
  <si>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</si>
  <si>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</si>
  <si>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</si>
  <si>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</si>
  <si>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</si>
  <si>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</si>
  <si>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</si>
  <si>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</si>
  <si>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</si>
  <si>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</si>
  <si>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</si>
  <si>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</si>
  <si>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</si>
  <si>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</si>
  <si>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</si>
  <si>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</si>
  <si>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</si>
  <si>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</si>
  <si>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</si>
  <si>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</si>
  <si>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</si>
  <si>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</si>
  <si>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</si>
  <si>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</si>
  <si>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</si>
  <si>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</si>
  <si>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</si>
  <si>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</si>
  <si>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</si>
  <si>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</si>
  <si>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</si>
  <si>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</si>
  <si>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</si>
  <si>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</si>
  <si>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</si>
  <si>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</si>
  <si>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</si>
  <si>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</si>
  <si>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</si>
  <si>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</si>
  <si>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</si>
  <si>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</si>
  <si>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</si>
  <si>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</si>
  <si>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</si>
  <si>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</si>
  <si>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</si>
  <si>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</si>
  <si>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</si>
  <si>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</si>
  <si>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</si>
  <si>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</si>
  <si>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</si>
  <si>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</si>
  <si>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</si>
  <si>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</si>
  <si>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</si>
  <si>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</si>
  <si>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</si>
  <si>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</si>
  <si>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</si>
  <si>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</si>
  <si>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</si>
  <si>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</si>
  <si>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</si>
  <si>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</si>
  <si>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</si>
  <si>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</si>
  <si>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</si>
  <si>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</si>
  <si>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</si>
  <si>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</si>
  <si>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</si>
  <si>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</si>
  <si>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</si>
  <si>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</si>
  <si>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</si>
  <si>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</si>
  <si>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</si>
  <si>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</si>
  <si>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</si>
  <si>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</si>
  <si>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</si>
  <si>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</si>
  <si>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</si>
  <si>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</si>
  <si>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</si>
  <si>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</si>
  <si>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</si>
  <si>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</si>
  <si>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</si>
  <si>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</si>
  <si>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</si>
  <si>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</si>
  <si>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</si>
  <si>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</si>
  <si>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</si>
  <si>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</si>
  <si>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</si>
  <si>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</si>
  <si>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</si>
  <si>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</si>
  <si>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</si>
  <si>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</si>
  <si>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</si>
  <si>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</si>
  <si>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</si>
  <si>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</si>
  <si>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</si>
  <si>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</si>
  <si>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</si>
  <si>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</si>
  <si>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</si>
  <si>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</si>
  <si>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</si>
  <si>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</si>
  <si>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</si>
  <si>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</si>
  <si>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</si>
  <si>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</si>
  <si>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</si>
  <si>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</si>
  <si>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</si>
  <si>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</si>
  <si>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</si>
  <si>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</si>
  <si>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</si>
  <si>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</si>
  <si>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</si>
  <si>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</si>
  <si>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</si>
  <si>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</si>
  <si>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</si>
  <si>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</si>
  <si>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</si>
  <si>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</si>
  <si>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</si>
  <si>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</si>
  <si>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</si>
  <si>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</si>
  <si>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</si>
  <si>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</si>
  <si>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</si>
  <si>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</si>
  <si>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</si>
  <si>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</si>
  <si>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</si>
  <si>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</si>
  <si>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</si>
  <si>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</si>
  <si>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</si>
  <si>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</si>
  <si>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</si>
  <si>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</si>
  <si>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</si>
  <si>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</si>
  <si>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</si>
  <si>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</si>
  <si>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</si>
  <si>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</si>
  <si>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</si>
  <si>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</si>
  <si>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</si>
  <si>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</si>
  <si>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</si>
  <si>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</si>
  <si>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</si>
  <si>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</si>
  <si>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</si>
  <si>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</si>
  <si>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</si>
  <si>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</si>
  <si>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</si>
  <si>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</si>
  <si>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</si>
  <si>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</si>
  <si>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</si>
  <si>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</si>
  <si>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</si>
  <si>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</si>
  <si>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</si>
  <si>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</si>
  <si>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</si>
  <si>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</si>
  <si>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</si>
  <si>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</si>
  <si>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</si>
  <si>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</si>
  <si>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</si>
  <si>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</si>
  <si>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</si>
  <si>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</si>
  <si>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</si>
  <si>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</si>
  <si>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</si>
  <si>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</si>
  <si>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</si>
  <si>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</si>
  <si>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</si>
  <si>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</si>
  <si>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</si>
  <si>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</si>
  <si>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</si>
  <si>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</si>
  <si>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</si>
  <si>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</si>
  <si>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</si>
  <si>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</si>
  <si>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</si>
  <si>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</si>
  <si>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</si>
  <si>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</si>
  <si>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</si>
  <si>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</si>
  <si>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</si>
  <si>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</si>
  <si>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</si>
  <si>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</si>
  <si>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</si>
  <si>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</si>
  <si>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</si>
  <si>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</si>
  <si>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</si>
  <si>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</si>
  <si>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</si>
  <si>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</si>
  <si>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</si>
  <si>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</si>
  <si>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</si>
  <si>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</si>
  <si>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</si>
  <si>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</si>
  <si>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</si>
  <si>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</si>
  <si>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</si>
  <si>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</si>
  <si>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</si>
  <si>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</si>
  <si>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</si>
  <si>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</si>
  <si>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</si>
  <si>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</si>
  <si>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</si>
  <si>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</si>
  <si>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</si>
  <si>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</si>
  <si>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</si>
  <si>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</si>
  <si>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</si>
  <si>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</si>
  <si>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</si>
  <si>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</si>
  <si>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</si>
  <si>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</si>
  <si>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</si>
  <si>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</si>
  <si>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</si>
  <si>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</si>
  <si>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</si>
  <si>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</si>
  <si>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</si>
  <si>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</si>
  <si>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</si>
  <si>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</si>
  <si>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</si>
  <si>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</si>
  <si>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</si>
  <si>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</si>
  <si>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</si>
  <si>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</si>
  <si>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</si>
  <si>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</si>
  <si>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</si>
  <si>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</si>
  <si>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</si>
  <si>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</si>
  <si>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</si>
  <si>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</si>
  <si>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</si>
  <si>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</si>
  <si>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</si>
  <si>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</si>
  <si>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</si>
  <si>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</si>
  <si>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</si>
  <si>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</si>
  <si>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</si>
  <si>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</si>
  <si>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</si>
  <si>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</si>
  <si>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</si>
  <si>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</si>
  <si>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</si>
  <si>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</si>
  <si>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</si>
  <si>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</si>
  <si>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</si>
  <si>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</si>
  <si>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</si>
  <si>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</si>
  <si>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</si>
  <si>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</si>
  <si>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</si>
  <si>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</si>
  <si>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</si>
  <si>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</si>
  <si>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</si>
  <si>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</si>
  <si>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</si>
  <si>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</si>
  <si>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</si>
  <si>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</si>
  <si>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</si>
  <si>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</si>
  <si>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</si>
  <si>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</si>
  <si>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</si>
  <si>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</si>
  <si>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</si>
  <si>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</si>
  <si>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</si>
  <si>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</si>
  <si>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</si>
  <si>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</si>
  <si>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</si>
  <si>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</si>
  <si>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</si>
  <si>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</si>
  <si>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</si>
  <si>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</si>
  <si>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</si>
  <si>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</si>
  <si>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</si>
  <si>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</si>
  <si>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</si>
  <si>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</si>
  <si>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</si>
  <si>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</si>
  <si>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</si>
  <si>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</si>
  <si>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</si>
  <si>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</si>
  <si>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</si>
  <si>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</si>
  <si>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</si>
  <si>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</si>
  <si>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</si>
  <si>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</si>
  <si>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</si>
  <si>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</si>
  <si>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</si>
  <si>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</si>
  <si>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</si>
  <si>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</si>
  <si>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</si>
  <si>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</si>
  <si>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</si>
  <si>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</si>
  <si>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</si>
  <si>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</si>
  <si>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</si>
  <si>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</si>
  <si>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</si>
  <si>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</si>
  <si>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</si>
  <si>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</si>
  <si>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</si>
  <si>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</si>
  <si>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</si>
  <si>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</si>
  <si>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</si>
  <si>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</si>
  <si>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</si>
  <si>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</si>
  <si>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</si>
  <si>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</si>
  <si>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</si>
  <si>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</si>
  <si>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</si>
  <si>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</si>
  <si>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</si>
  <si>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</si>
  <si>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</si>
  <si>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</si>
  <si>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</si>
  <si>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</si>
  <si>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</si>
  <si>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</si>
  <si>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</si>
  <si>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</si>
  <si>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</si>
  <si>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</si>
  <si>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</si>
  <si>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</si>
  <si>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</si>
  <si>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</si>
  <si>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</si>
  <si>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</si>
  <si>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</si>
  <si>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</si>
  <si>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</si>
  <si>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</si>
  <si>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</si>
  <si>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</si>
  <si>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</si>
  <si>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</si>
  <si>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</si>
  <si>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</si>
  <si>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</si>
  <si>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</si>
  <si>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</si>
  <si>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</si>
  <si>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</si>
  <si>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</si>
  <si>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</si>
  <si>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</si>
  <si>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</si>
  <si>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</si>
  <si>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</si>
  <si>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</si>
  <si>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</si>
  <si>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</si>
  <si>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</si>
  <si>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</si>
  <si>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</si>
  <si>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</si>
  <si>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</si>
  <si>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</si>
  <si>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</si>
  <si>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</si>
  <si>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</si>
  <si>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</si>
  <si>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</si>
  <si>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</si>
  <si>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</si>
  <si>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</si>
  <si>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</si>
  <si>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</si>
  <si>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</si>
  <si>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</si>
  <si>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</si>
  <si>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</si>
  <si>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</si>
  <si>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</si>
  <si>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</si>
  <si>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</si>
  <si>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</si>
  <si>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</si>
  <si>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</si>
  <si>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</si>
  <si>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</si>
  <si>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</si>
  <si>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</si>
  <si>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</si>
  <si>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</si>
  <si>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</si>
  <si>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</si>
  <si>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</si>
  <si>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</si>
  <si>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</si>
  <si>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</si>
  <si>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</si>
  <si>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</si>
  <si>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</si>
  <si>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</si>
  <si>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</si>
  <si>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</si>
  <si>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</si>
  <si>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</si>
  <si>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</si>
  <si>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</si>
  <si>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</si>
  <si>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</si>
  <si>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</si>
  <si>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</si>
  <si>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</si>
  <si>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</si>
  <si>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</si>
  <si>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</si>
  <si>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</si>
  <si>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</si>
  <si>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</si>
  <si>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</si>
  <si>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</si>
  <si>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</si>
  <si>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</si>
  <si>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</si>
  <si>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</si>
  <si>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</si>
  <si>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</si>
  <si>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</si>
  <si>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</si>
  <si>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</si>
  <si>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</si>
  <si>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</si>
  <si>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</si>
  <si>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</si>
  <si>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</si>
  <si>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</si>
  <si>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</si>
  <si>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</si>
  <si>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</si>
  <si>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</si>
  <si>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</si>
  <si>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</si>
  <si>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</si>
  <si>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</si>
  <si>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</si>
  <si>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</si>
  <si>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</si>
  <si>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</si>
  <si>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</si>
  <si>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</si>
  <si>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</si>
  <si>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</si>
  <si>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</si>
  <si>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</si>
  <si>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</si>
  <si>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</si>
  <si>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</si>
  <si>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</si>
  <si>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</si>
  <si>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</si>
  <si>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</si>
  <si>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</si>
  <si>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</si>
  <si>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</si>
  <si>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</si>
  <si>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</si>
  <si>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</si>
  <si>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</si>
  <si>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</si>
  <si>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</si>
  <si>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</si>
  <si>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</si>
  <si>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</si>
  <si>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</si>
  <si>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</si>
  <si>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</si>
  <si>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</si>
  <si>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</si>
  <si>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</si>
  <si>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</si>
  <si>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</si>
  <si>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</si>
  <si>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</si>
  <si>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</si>
  <si>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</si>
  <si>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</si>
  <si>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</si>
  <si>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</si>
  <si>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</si>
  <si>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</si>
  <si>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</si>
  <si>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</si>
  <si>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</si>
  <si>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</si>
  <si>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</si>
  <si>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</si>
  <si>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</si>
  <si>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</si>
  <si>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</si>
  <si>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</si>
  <si>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</si>
  <si>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</si>
  <si>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</si>
  <si>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</si>
  <si>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</si>
  <si>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</si>
  <si>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</si>
  <si>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</si>
  <si>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</si>
  <si>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</si>
  <si>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</si>
  <si>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</si>
  <si>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</si>
  <si>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</si>
  <si>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</si>
  <si>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</si>
  <si>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</si>
  <si>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</si>
  <si>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</si>
  <si>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</si>
  <si>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</si>
  <si>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</si>
  <si>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</si>
  <si>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</si>
  <si>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</si>
  <si>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</si>
  <si>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</si>
  <si>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</si>
  <si>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</si>
  <si>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</si>
  <si>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</si>
  <si>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</si>
  <si>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</si>
  <si>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</si>
  <si>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</si>
  <si>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</si>
  <si>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</si>
  <si>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</si>
  <si>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</si>
  <si>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</si>
  <si>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</si>
  <si>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</si>
  <si>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</si>
  <si>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</si>
  <si>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</si>
  <si>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</si>
  <si>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</si>
  <si>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</si>
  <si>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</si>
  <si>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</si>
  <si>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</si>
  <si>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</si>
  <si>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</si>
  <si>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</si>
  <si>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</si>
  <si>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</si>
  <si>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</si>
  <si>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</si>
  <si>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</si>
  <si>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</si>
  <si>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</si>
  <si>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</si>
  <si>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</si>
  <si>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</si>
  <si>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</si>
  <si>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</si>
  <si>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</si>
  <si>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</si>
  <si>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</si>
  <si>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</si>
  <si>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</si>
  <si>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</si>
  <si>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</si>
  <si>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</si>
  <si>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</si>
  <si>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</si>
  <si>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</si>
  <si>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</si>
  <si>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</si>
  <si>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</si>
  <si>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</si>
  <si>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</si>
  <si>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</si>
  <si>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</si>
  <si>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</si>
  <si>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</si>
  <si>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</si>
  <si>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</si>
  <si>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</si>
  <si>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</si>
  <si>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</si>
  <si>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</si>
  <si>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</si>
  <si>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</si>
  <si>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</si>
  <si>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</si>
  <si>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</si>
  <si>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</si>
  <si>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</si>
  <si>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</si>
  <si>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</si>
  <si>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</si>
  <si>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</si>
  <si>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</si>
  <si>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</si>
  <si>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</si>
  <si>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</si>
  <si>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</si>
  <si>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</si>
  <si>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</si>
  <si>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</si>
  <si>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</si>
  <si>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</si>
  <si>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</si>
  <si>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</si>
  <si>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</si>
  <si>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</si>
  <si>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</si>
  <si>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</si>
  <si>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</si>
  <si>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</si>
  <si>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</si>
  <si>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</si>
  <si>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</si>
  <si>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</si>
  <si>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</si>
  <si>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</si>
  <si>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</si>
  <si>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</si>
  <si>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</si>
  <si>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</si>
  <si>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</si>
  <si>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</si>
  <si>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</si>
  <si>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</si>
  <si>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</si>
  <si>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</si>
  <si>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</si>
  <si>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</si>
  <si>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</si>
  <si>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</si>
  <si>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</si>
  <si>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</si>
  <si>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</si>
  <si>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</si>
  <si>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</si>
  <si>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</si>
  <si>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</si>
  <si>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</si>
  <si>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</si>
  <si>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</si>
  <si>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</si>
  <si>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</si>
  <si>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</si>
  <si>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</si>
  <si>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</si>
  <si>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</si>
  <si>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</si>
  <si>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</si>
  <si>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</si>
  <si>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</si>
  <si>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</si>
  <si>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</si>
  <si>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</si>
  <si>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</si>
  <si>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</si>
  <si>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</si>
  <si>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</si>
  <si>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</si>
  <si>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</si>
  <si>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</si>
  <si>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</si>
  <si>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</si>
  <si>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</si>
  <si>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</si>
  <si>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</si>
  <si>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</si>
  <si>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</si>
  <si>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</si>
  <si>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</si>
  <si>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</si>
  <si>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</si>
  <si>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</si>
  <si>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</si>
  <si>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</si>
  <si>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</si>
  <si>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</si>
  <si>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</si>
  <si>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</si>
  <si>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</si>
  <si>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</si>
  <si>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</si>
  <si>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</si>
  <si>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</si>
  <si>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</si>
  <si>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</si>
  <si>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</si>
  <si>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</si>
  <si>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</si>
  <si>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</si>
  <si>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</si>
  <si>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</si>
  <si>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</si>
  <si>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</si>
  <si>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</si>
  <si>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</si>
  <si>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</si>
  <si>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</si>
  <si>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</si>
  <si>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</si>
  <si>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</si>
  <si>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</si>
  <si>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</si>
  <si>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</si>
  <si>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</si>
  <si>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</si>
  <si>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</si>
  <si>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</si>
  <si>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</si>
  <si>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</si>
  <si>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</si>
  <si>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</si>
  <si>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</si>
  <si>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</si>
  <si>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</si>
  <si>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</si>
  <si>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</si>
  <si>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</si>
  <si>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</si>
  <si>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</si>
  <si>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</si>
  <si>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</si>
  <si>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</si>
  <si>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</si>
  <si>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</si>
  <si>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</si>
  <si>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</si>
  <si>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</si>
  <si>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</si>
  <si>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</si>
  <si>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</si>
  <si>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</si>
  <si>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</si>
  <si>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</si>
  <si>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</si>
  <si>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</si>
  <si>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</si>
  <si>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</si>
  <si>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</si>
  <si>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</si>
  <si>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</si>
  <si>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</si>
  <si>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</si>
  <si>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</si>
  <si>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</si>
  <si>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</si>
  <si>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</si>
  <si>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</si>
  <si>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</si>
  <si>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</si>
  <si>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</si>
  <si>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</si>
  <si>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</si>
  <si>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</si>
  <si>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</si>
  <si>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</si>
  <si>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</si>
  <si>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</si>
  <si>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</si>
  <si>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</si>
  <si>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</si>
  <si>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</si>
  <si>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</si>
  <si>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</si>
  <si>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</si>
  <si>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</si>
  <si>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</si>
  <si>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</si>
  <si>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</si>
  <si>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</si>
  <si>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</si>
  <si>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</si>
  <si>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</si>
  <si>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</si>
  <si>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</si>
  <si>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</si>
  <si>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</si>
  <si>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</si>
  <si>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</si>
  <si>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</si>
  <si>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</si>
  <si>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</si>
  <si>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</si>
  <si>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</si>
  <si>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</si>
  <si>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</si>
  <si>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</si>
  <si>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</si>
  <si>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</si>
  <si>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</si>
  <si>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</si>
  <si>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</si>
  <si>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</si>
  <si>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</si>
  <si>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</si>
  <si>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</si>
  <si>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</si>
  <si>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</si>
  <si>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</si>
  <si>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</si>
  <si>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</si>
  <si>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</si>
  <si>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</si>
  <si>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</si>
  <si>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</si>
  <si>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</si>
  <si>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</si>
  <si>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</si>
  <si>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</si>
  <si>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</si>
  <si>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</si>
  <si>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</si>
  <si>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</si>
  <si>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</si>
  <si>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</si>
  <si>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</si>
  <si>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</si>
  <si>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</si>
  <si>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</si>
  <si>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</si>
  <si>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</si>
  <si>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</si>
  <si>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</si>
  <si>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</si>
  <si>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</si>
  <si>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</si>
  <si>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</si>
  <si>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</si>
  <si>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</si>
  <si>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</si>
  <si>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</si>
  <si>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</si>
  <si>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</si>
  <si>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</si>
  <si>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</si>
  <si>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</si>
  <si>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</si>
  <si>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</si>
  <si>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</si>
  <si>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</si>
  <si>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</si>
  <si>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</si>
  <si>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</si>
  <si>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</si>
  <si>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</si>
  <si>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</si>
  <si>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</si>
  <si>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</si>
  <si>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</si>
  <si>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</si>
  <si>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</si>
  <si>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</si>
  <si>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</si>
  <si>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</si>
  <si>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</si>
  <si>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</si>
  <si>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</si>
  <si>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</si>
  <si>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</si>
  <si>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</si>
  <si>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</si>
  <si>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</si>
  <si>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</si>
  <si>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</si>
  <si>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</si>
  <si>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</si>
  <si>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</si>
  <si>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</si>
  <si>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</si>
  <si>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</si>
  <si>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</si>
  <si>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</si>
  <si>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</si>
  <si>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</si>
  <si>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</si>
  <si>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</si>
  <si>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</si>
  <si>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</si>
  <si>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</si>
  <si>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</si>
  <si>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</si>
  <si>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</si>
  <si>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</si>
  <si>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</si>
  <si>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</si>
  <si>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</si>
  <si>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</si>
  <si>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</si>
  <si>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</si>
  <si>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</si>
  <si>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</si>
  <si>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</si>
  <si>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</si>
  <si>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</si>
  <si>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</si>
  <si>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</si>
  <si>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</si>
  <si>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</si>
  <si>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</si>
  <si>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</si>
  <si>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</si>
  <si>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</si>
  <si>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</si>
  <si>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</si>
  <si>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</si>
  <si>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</si>
  <si>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</si>
  <si>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</si>
  <si>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</si>
  <si>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</si>
  <si>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</si>
  <si>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</si>
  <si>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</si>
  <si>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</si>
  <si>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</si>
  <si>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</si>
  <si>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</si>
  <si>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</si>
  <si>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</si>
  <si>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</si>
  <si>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</si>
  <si>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</si>
  <si>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</si>
  <si>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</si>
  <si>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</si>
  <si>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</si>
  <si>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</si>
  <si>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</si>
  <si>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</si>
  <si>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</si>
  <si>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</si>
  <si>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</si>
  <si>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</si>
  <si>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</si>
  <si>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</si>
  <si>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</si>
  <si>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</si>
  <si>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</si>
  <si>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</si>
  <si>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</si>
  <si>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</si>
  <si>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</si>
  <si>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</si>
  <si>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</si>
  <si>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</si>
  <si>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</si>
  <si>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</si>
  <si>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</si>
  <si>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</si>
  <si>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</si>
  <si>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</si>
  <si>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</si>
  <si>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</si>
  <si>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</si>
  <si>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</si>
  <si>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</si>
  <si>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</si>
  <si>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</si>
  <si>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</si>
  <si>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</si>
  <si>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</si>
  <si>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</si>
  <si>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</si>
  <si>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</si>
  <si>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</si>
  <si>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</si>
  <si>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</si>
  <si>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</si>
  <si>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</si>
  <si>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</si>
  <si>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</si>
  <si>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</si>
  <si>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</si>
  <si>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</si>
  <si>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</si>
  <si>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</si>
  <si>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</si>
  <si>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</si>
  <si>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</si>
  <si>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</si>
  <si>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</si>
  <si>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</si>
  <si>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</si>
  <si>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</si>
  <si>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</si>
  <si>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</si>
  <si>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</si>
  <si>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</si>
  <si>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</si>
  <si>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</si>
  <si>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</si>
  <si>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</si>
  <si>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</si>
  <si>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</si>
  <si>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</si>
  <si>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</si>
  <si>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</si>
  <si>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</si>
  <si>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</si>
  <si>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</si>
  <si>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</si>
  <si>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</si>
  <si>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</si>
  <si>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</si>
  <si>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</si>
  <si>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</si>
  <si>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</si>
  <si>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</si>
  <si>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</si>
  <si>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</si>
  <si>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</si>
  <si>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</si>
  <si>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</si>
  <si>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</si>
  <si>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</si>
  <si>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</si>
  <si>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</si>
  <si>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</si>
  <si>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</si>
  <si>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</si>
  <si>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</si>
  <si>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</si>
  <si>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</si>
  <si>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</si>
  <si>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</si>
  <si>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</si>
  <si>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</si>
  <si>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</si>
  <si>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</si>
  <si>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</si>
  <si>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</si>
  <si>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</si>
  <si>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</si>
  <si>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</si>
  <si>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</si>
  <si>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</si>
  <si>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</si>
  <si>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</si>
  <si>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</si>
  <si>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</si>
  <si>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</si>
  <si>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</si>
  <si>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</si>
  <si>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</si>
  <si>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</si>
  <si>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</si>
  <si>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</si>
  <si>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</si>
  <si>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</si>
  <si>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</si>
  <si>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</si>
  <si>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</si>
  <si>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</si>
  <si>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</si>
  <si>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</si>
  <si>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</si>
  <si>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</si>
  <si>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</si>
  <si>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</si>
  <si>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</si>
  <si>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</si>
  <si>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</si>
  <si>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</si>
  <si>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</si>
  <si>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</si>
  <si>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</si>
  <si>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</si>
  <si>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</si>
  <si>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</si>
  <si>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</si>
  <si>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</si>
  <si>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</si>
  <si>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</si>
  <si>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</si>
  <si>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</si>
  <si>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</si>
  <si>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</si>
  <si>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</si>
  <si>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</si>
  <si>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</si>
  <si>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</si>
  <si>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</si>
  <si>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</si>
  <si>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</si>
  <si>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</si>
  <si>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</si>
  <si>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</si>
  <si>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</si>
  <si>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</si>
  <si>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</si>
  <si>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</si>
  <si>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</si>
  <si>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</si>
  <si>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</si>
  <si>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</si>
  <si>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</si>
  <si>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</si>
  <si>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</si>
  <si>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</si>
  <si>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</si>
  <si>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</si>
  <si>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</si>
  <si>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</si>
  <si>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</si>
  <si>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</si>
  <si>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</si>
  <si>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</si>
  <si>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</si>
  <si>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</si>
  <si>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</si>
  <si>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</si>
  <si>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</si>
  <si>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</si>
  <si>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</si>
  <si>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</si>
  <si>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</si>
  <si>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</si>
  <si>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</si>
  <si>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</si>
  <si>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</si>
  <si>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</si>
  <si>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</si>
  <si>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</si>
  <si>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</si>
  <si>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</si>
  <si>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</si>
  <si>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</si>
  <si>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</si>
  <si>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</si>
  <si>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</si>
  <si>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</si>
  <si>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</si>
  <si>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</si>
  <si>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</si>
  <si>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</si>
  <si>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</si>
  <si>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</si>
  <si>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</si>
  <si>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</si>
  <si>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</si>
  <si>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</si>
  <si>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</si>
  <si>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</si>
  <si>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</si>
  <si>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</si>
  <si>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</si>
  <si>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</si>
  <si>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</si>
  <si>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</si>
  <si>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</si>
  <si>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</si>
  <si>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</si>
  <si>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</si>
  <si>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</si>
  <si>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</si>
  <si>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</si>
  <si>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</si>
  <si>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</si>
  <si>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</si>
  <si>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</si>
  <si>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</si>
  <si>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</si>
  <si>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</si>
  <si>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</si>
  <si>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</si>
  <si>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</si>
  <si>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</si>
  <si>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</si>
  <si>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</si>
  <si>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</si>
  <si>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</si>
  <si>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</si>
  <si>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</si>
  <si>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</si>
  <si>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</si>
  <si>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</si>
  <si>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</si>
  <si>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</si>
  <si>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</si>
  <si>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</si>
  <si>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</si>
  <si>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</si>
  <si>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</si>
  <si>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</si>
  <si>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</si>
  <si>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</si>
  <si>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</si>
  <si>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</si>
  <si>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</si>
  <si>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</si>
  <si>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</si>
  <si>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</si>
  <si>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</si>
  <si>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</si>
  <si>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</si>
  <si>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</si>
  <si>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</si>
  <si>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</si>
  <si>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</si>
  <si>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</si>
  <si>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</si>
  <si>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</si>
  <si>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</si>
  <si>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</si>
  <si>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</si>
  <si>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</si>
  <si>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</si>
  <si>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</si>
  <si>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</si>
  <si>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</si>
  <si>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</si>
  <si>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</si>
  <si>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</si>
  <si>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</si>
  <si>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</si>
  <si>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</si>
  <si>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</si>
  <si>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</si>
  <si>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</si>
  <si>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</si>
  <si>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</si>
  <si>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</si>
  <si>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</si>
  <si>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</si>
  <si>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</si>
  <si>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</si>
  <si>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</si>
  <si>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</si>
  <si>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</si>
  <si>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</si>
  <si>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</si>
  <si>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</si>
  <si>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</si>
  <si>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</si>
  <si>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</si>
  <si>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</si>
  <si>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</si>
  <si>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</si>
  <si>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</si>
  <si>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</si>
  <si>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</si>
  <si>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</si>
  <si>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</si>
  <si>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</si>
  <si>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</si>
  <si>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</si>
  <si>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</si>
  <si>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</si>
  <si>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</si>
  <si>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</si>
  <si>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</si>
  <si>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</si>
  <si>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</si>
  <si>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</si>
  <si>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</si>
  <si>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</si>
  <si>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</si>
  <si>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</si>
  <si>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</si>
  <si>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</si>
  <si>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</si>
  <si>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</si>
  <si>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</si>
  <si>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</si>
  <si>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</si>
  <si>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</si>
  <si>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</si>
  <si>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</si>
  <si>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</si>
  <si>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</si>
  <si>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</si>
  <si>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</si>
  <si>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</si>
  <si>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</si>
  <si>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</si>
  <si>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</si>
  <si>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</si>
  <si>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</si>
  <si>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</si>
  <si>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</si>
  <si>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</si>
  <si>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</si>
  <si>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</si>
  <si>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</si>
  <si>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</si>
  <si>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</si>
  <si>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</si>
  <si>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</si>
  <si>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</si>
  <si>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</si>
  <si>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</si>
  <si>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</si>
  <si>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</si>
  <si>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</si>
  <si>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</si>
  <si>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</si>
  <si>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</si>
  <si>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</si>
  <si>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</si>
  <si>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</si>
  <si>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</si>
  <si>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</si>
  <si>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</si>
  <si>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</si>
  <si>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</si>
  <si>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</si>
  <si>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</si>
  <si>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</si>
  <si>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</si>
  <si>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</si>
  <si>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</si>
  <si>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</si>
  <si>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</si>
  <si>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</si>
  <si>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</si>
  <si>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</si>
  <si>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</si>
  <si>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</si>
  <si>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</si>
  <si>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</si>
  <si>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</si>
  <si>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</si>
  <si>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</si>
  <si>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</si>
  <si>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</si>
  <si>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</si>
  <si>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</si>
  <si>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</si>
  <si>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</si>
  <si>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</si>
  <si>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</si>
  <si>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</si>
  <si>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</si>
  <si>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</si>
  <si>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</si>
  <si>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</si>
  <si>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</si>
  <si>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</si>
  <si>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</si>
  <si>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</si>
  <si>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</si>
  <si>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</si>
  <si>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</si>
  <si>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</si>
  <si>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</si>
  <si>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</si>
  <si>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</si>
  <si>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</si>
  <si>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</si>
  <si>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</si>
  <si>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</si>
  <si>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</si>
  <si>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</si>
  <si>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</si>
  <si>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</si>
  <si>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</si>
  <si>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</si>
  <si>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</si>
  <si>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</si>
  <si>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</si>
  <si>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</si>
  <si>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</si>
  <si>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</si>
  <si>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</si>
  <si>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</si>
  <si>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</si>
  <si>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</si>
  <si>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</si>
  <si>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</si>
  <si>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</si>
  <si>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</si>
  <si>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</si>
  <si>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</si>
  <si>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</si>
  <si>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</si>
  <si>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</si>
  <si>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</si>
  <si>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</si>
  <si>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</si>
  <si>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</si>
  <si>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</si>
  <si>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</si>
  <si>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</si>
  <si>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</si>
  <si>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</si>
  <si>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</si>
  <si>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</si>
  <si>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</si>
  <si>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</si>
  <si>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</si>
  <si>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</si>
  <si>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</si>
  <si>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</si>
  <si>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</si>
  <si>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</si>
  <si>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</si>
  <si>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</si>
  <si>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</si>
  <si>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</si>
  <si>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</si>
  <si>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</si>
  <si>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</si>
  <si>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</si>
  <si>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</si>
  <si>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</si>
  <si>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</si>
  <si>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</si>
  <si>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</si>
  <si>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</si>
  <si>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</si>
  <si>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</si>
  <si>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</si>
  <si>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</si>
  <si>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</si>
  <si>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</si>
  <si>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</si>
  <si>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</si>
  <si>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</si>
  <si>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</si>
  <si>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</si>
  <si>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</si>
  <si>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</si>
  <si>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</si>
  <si>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</si>
  <si>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</si>
  <si>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</si>
  <si>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</si>
  <si>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</si>
  <si>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</si>
  <si>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</si>
  <si>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</si>
  <si>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</si>
  <si>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</si>
  <si>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</si>
  <si>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</si>
  <si>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</si>
  <si>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</si>
  <si>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</si>
  <si>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</si>
  <si>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</si>
  <si>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</si>
  <si>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</si>
  <si>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</si>
  <si>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</si>
  <si>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</si>
  <si>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</si>
  <si>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</si>
  <si>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</si>
  <si>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</si>
  <si>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</si>
  <si>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</si>
  <si>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</si>
  <si>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</si>
  <si>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</si>
  <si>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</si>
  <si>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</si>
  <si>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</si>
  <si>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</si>
  <si>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</si>
  <si>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</si>
  <si>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</si>
  <si>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</si>
  <si>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</si>
  <si>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</si>
  <si>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</si>
  <si>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</si>
  <si>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</si>
  <si>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</si>
  <si>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</si>
  <si>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</si>
  <si>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</si>
  <si>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</si>
  <si>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</si>
  <si>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</si>
  <si>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</si>
  <si>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</si>
  <si>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</si>
  <si>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</si>
  <si>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</si>
  <si>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</si>
  <si>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</si>
  <si>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</si>
  <si>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</si>
  <si>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</si>
  <si>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</si>
  <si>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</si>
  <si>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</si>
  <si>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</si>
  <si>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</si>
  <si>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</si>
  <si>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</si>
  <si>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</si>
  <si>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</si>
  <si>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</si>
  <si>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</si>
  <si>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</si>
  <si>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</si>
  <si>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</si>
  <si>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</si>
  <si>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</si>
  <si>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</si>
  <si>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</si>
  <si>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</si>
  <si>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</si>
  <si>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</si>
  <si>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</si>
  <si>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</si>
  <si>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</si>
  <si>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</si>
  <si>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</si>
  <si>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</si>
  <si>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</si>
  <si>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</si>
  <si>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</si>
  <si>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</si>
  <si>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</si>
  <si>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</si>
  <si>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</si>
  <si>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</si>
  <si>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</si>
  <si>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</si>
  <si>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</si>
  <si>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</si>
  <si>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</si>
  <si>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</si>
  <si>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</si>
  <si>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</si>
  <si>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</si>
  <si>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</si>
  <si>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</si>
  <si>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</si>
  <si>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</si>
  <si>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</si>
  <si>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</si>
  <si>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</si>
  <si>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</si>
  <si>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</si>
  <si>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</si>
  <si>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</si>
  <si>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</si>
  <si>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</si>
  <si>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</si>
  <si>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</si>
  <si>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</si>
  <si>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</si>
  <si>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</si>
  <si>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</si>
  <si>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</si>
  <si>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</si>
  <si>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</si>
  <si>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</si>
  <si>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</si>
  <si>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</si>
  <si>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</si>
  <si>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</si>
  <si>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</si>
  <si>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</si>
  <si>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</si>
  <si>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</si>
  <si>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</si>
  <si>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</si>
  <si>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</si>
  <si>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</si>
  <si>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</si>
  <si>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</si>
  <si>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</si>
  <si>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</si>
  <si>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</si>
  <si>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</si>
  <si>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</si>
  <si>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</si>
  <si>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</si>
  <si>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</si>
  <si>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</si>
  <si>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</si>
  <si>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</si>
  <si>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</si>
  <si>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</si>
  <si>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</si>
  <si>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</si>
  <si>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</si>
  <si>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</si>
  <si>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</si>
  <si>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</si>
  <si>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</si>
  <si>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</si>
  <si>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</si>
  <si>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</si>
  <si>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</si>
  <si>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</si>
  <si>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</si>
  <si>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</si>
  <si>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</si>
  <si>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</si>
  <si>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</si>
  <si>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</si>
  <si>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</si>
  <si>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</si>
  <si>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</si>
  <si>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</si>
  <si>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</si>
  <si>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</si>
  <si>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</si>
  <si>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</si>
  <si>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</si>
  <si>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</si>
  <si>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</si>
  <si>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</si>
  <si>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</si>
  <si>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</si>
  <si>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</si>
  <si>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</si>
  <si>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</si>
  <si>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</si>
  <si>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</si>
  <si>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</si>
  <si>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</si>
  <si>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</si>
  <si>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</si>
  <si>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</si>
  <si>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</si>
  <si>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</si>
  <si>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</si>
  <si>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</si>
  <si>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</si>
  <si>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</si>
  <si>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</si>
  <si>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</si>
  <si>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</si>
  <si>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</si>
  <si>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</si>
  <si>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</si>
  <si>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</si>
  <si>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</si>
  <si>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</si>
  <si>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</si>
  <si>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</si>
  <si>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</si>
  <si>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</si>
  <si>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</si>
  <si>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</si>
  <si>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</si>
  <si>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</si>
  <si>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</si>
  <si>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</si>
  <si>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</si>
  <si>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</si>
  <si>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</si>
  <si>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</si>
  <si>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</si>
  <si>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</si>
  <si>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</si>
  <si>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</si>
  <si>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</si>
  <si>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</si>
  <si>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</si>
  <si>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</si>
  <si>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</si>
  <si>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</si>
  <si>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</si>
  <si>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</si>
  <si>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</si>
  <si>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</si>
  <si>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</si>
  <si>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</si>
  <si>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</si>
  <si>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</si>
  <si>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</si>
  <si>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</si>
  <si>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</si>
  <si>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</si>
  <si>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</si>
  <si>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</si>
  <si>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</si>
  <si>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</si>
  <si>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</si>
  <si>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</si>
  <si>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</si>
  <si>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</si>
  <si>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</si>
  <si>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</si>
  <si>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</si>
  <si>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</si>
  <si>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</si>
  <si>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</si>
  <si>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</si>
  <si>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</si>
  <si>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</si>
  <si>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</si>
  <si>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</si>
  <si>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</si>
  <si>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</si>
  <si>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</si>
  <si>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</si>
  <si>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</si>
  <si>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</si>
  <si>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</si>
  <si>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</si>
  <si>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</si>
  <si>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</si>
  <si>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</si>
  <si>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</si>
  <si>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</si>
  <si>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</si>
  <si>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</si>
  <si>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</si>
  <si>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</si>
  <si>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</si>
  <si>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</si>
  <si>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</si>
  <si>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</si>
  <si>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</si>
  <si>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</si>
  <si>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</si>
  <si>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</si>
  <si>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</si>
  <si>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</si>
  <si>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</si>
  <si>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</si>
  <si>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</si>
  <si>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</si>
  <si>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</si>
  <si>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</si>
  <si>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</si>
  <si>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</si>
  <si>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</si>
  <si>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</si>
  <si>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</si>
  <si>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</si>
  <si>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</si>
  <si>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</si>
  <si>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</si>
  <si>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</si>
  <si>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</si>
  <si>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</si>
  <si>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</si>
  <si>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</si>
  <si>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</si>
  <si>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</si>
  <si>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</si>
  <si>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</si>
  <si>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</si>
  <si>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</si>
  <si>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</si>
  <si>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</si>
  <si>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</si>
  <si>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</si>
  <si>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</si>
  <si>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</si>
  <si>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</si>
  <si>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</si>
  <si>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</si>
  <si>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</si>
  <si>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</si>
  <si>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</si>
  <si>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</si>
  <si>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</si>
  <si>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</si>
  <si>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</si>
  <si>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</si>
  <si>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</si>
  <si>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</si>
  <si>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</si>
  <si>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</si>
  <si>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</si>
  <si>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</si>
  <si>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</si>
  <si>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</si>
  <si>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</si>
  <si>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</si>
  <si>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</si>
  <si>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</si>
  <si>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</si>
  <si>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</si>
  <si>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</si>
  <si>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</si>
  <si>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</si>
  <si>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</si>
  <si>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</si>
  <si>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</si>
  <si>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</si>
  <si>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</si>
  <si>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</si>
  <si>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</si>
  <si>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</si>
  <si>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</si>
  <si>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</si>
  <si>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GRUNDY</t>
  </si>
  <si>
    <t>1000 UNION STREET</t>
  </si>
  <si>
    <t xml:space="preserve">MORRIS  </t>
  </si>
  <si>
    <t>phalloran@morrishs.org</t>
  </si>
  <si>
    <t>815-941-5341</t>
  </si>
  <si>
    <t>815-941-5405</t>
  </si>
  <si>
    <t>MACK &amp; ASSOCIATES, P.C.</t>
  </si>
  <si>
    <t>TAWNYA MACK, CPA</t>
  </si>
  <si>
    <t>116 E. WASHINGTON ST., SUITE ONE</t>
  </si>
  <si>
    <t>MORRIS</t>
  </si>
  <si>
    <t>IL</t>
  </si>
  <si>
    <t>815-942-3306</t>
  </si>
  <si>
    <t>815-942-9430</t>
  </si>
  <si>
    <t>066-005100</t>
  </si>
  <si>
    <t>tmack@mackcpas.com</t>
  </si>
  <si>
    <t>G.O. Bond, Series 2012B</t>
  </si>
  <si>
    <t>Working Cash Bond, Series 2016</t>
  </si>
  <si>
    <t>Working Cash Bond, Series 2017</t>
  </si>
  <si>
    <t>Working Cash Bond, Series 2018</t>
  </si>
  <si>
    <t>x</t>
  </si>
  <si>
    <t>Saratoga CCSD #60C, Morris Elementary District #54</t>
  </si>
  <si>
    <t>Grundy County Special Education Cooperative (GCSEC)</t>
  </si>
  <si>
    <t>Grundy Area Vocational Center (GAVC)</t>
  </si>
  <si>
    <t>GCSEC, GAVC, Saratoga CCSD #60C</t>
  </si>
  <si>
    <t xml:space="preserve">Grundy Area Vocational Center   </t>
  </si>
  <si>
    <t>Shared Media Director - Saratoga CCSD #60C</t>
  </si>
  <si>
    <t>Page 11, Line 107, Educational Fund - Rec Center Fees, Camp. Reimb., Misc. Reimb.</t>
  </si>
  <si>
    <t>Page 11, Line 107, O&amp;M Fund - Reimbursements - Maintenance/Events</t>
  </si>
  <si>
    <t>Page 11, Line 107, Transportation Fund - Reimbursements - Bus Trips</t>
  </si>
  <si>
    <t>PDF in Opinion Page with signature</t>
  </si>
  <si>
    <t>DR. JOSEPH WALDRON</t>
  </si>
  <si>
    <t>ED - FISCAL SERVICES - PURCHASED SERVICES</t>
  </si>
  <si>
    <t>10-2520-300</t>
  </si>
  <si>
    <t>SPECIALIZED DATA SYSTEMS INC.</t>
  </si>
  <si>
    <t>O&amp;M - O&amp;M PLANT - PURCHASED SERVICES</t>
  </si>
  <si>
    <t>ABC INSULATION INC.</t>
  </si>
  <si>
    <t>ALARM DETECTION SYSTEMS INC.</t>
  </si>
  <si>
    <t>AYERS ELECTRIC INC</t>
  </si>
  <si>
    <t>COUNTYWIDE PLUMBING</t>
  </si>
  <si>
    <t>HONEYWELL INC</t>
  </si>
  <si>
    <t>JOHNSON &amp; SONS MASONRY</t>
  </si>
  <si>
    <t>LAFORCE INC</t>
  </si>
  <si>
    <t>MILLER TREE SERVICE</t>
  </si>
  <si>
    <t>NARVICK BROTHERS INC.</t>
  </si>
  <si>
    <t>PERFORMANCE FLOOR COATINGS</t>
  </si>
  <si>
    <t>THAT PERENNIAL PLACE INC.</t>
  </si>
  <si>
    <t>TLC</t>
  </si>
  <si>
    <t>WEST FLOORING COMPANY</t>
  </si>
  <si>
    <t>ED - FOOD SERVICES - PURCHASED SERVICES</t>
  </si>
  <si>
    <t>20-2540-300</t>
  </si>
  <si>
    <t>10-2560-300</t>
  </si>
  <si>
    <t>CERES FOOD GROUP INC</t>
  </si>
  <si>
    <t>Page 10, Line 78, Educational Fund - Theater and other admissions</t>
  </si>
  <si>
    <t>Page 11, Line 106, Educational Fund - Miscellaneous student fees</t>
  </si>
  <si>
    <t>Page12, Line 171, Educational Fund - State Library Grant</t>
  </si>
  <si>
    <t>Morris CHSD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</si>
</sst>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A6B2A8FC-1A8E-488E-BB42-AF33B1A3BD6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24032101016</v>
      </c>
      <c r="B13" s="2036"/>
      <c r="C13" s="2036"/>
      <c r="D13" s="2036"/>
      <c r="E13" s="2036"/>
      <c r="F13" s="2036"/>
      <c r="G13" s="2036"/>
      <c r="H13" s="2037"/>
      <c r="I13" s="31"/>
      <c r="J13" s="30"/>
      <c r="K13" s="28"/>
      <c r="L13" s="30"/>
      <c r="M13" s="30"/>
      <c r="N13" s="30"/>
      <c r="O13" s="30"/>
      <c r="P13" s="30"/>
      <c r="Q13" s="30"/>
      <c r="R13" s="30"/>
      <c r="S13" s="30"/>
      <c r="T13" s="2040" t="s">
        <v>2084</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2078</v>
      </c>
      <c r="B15" s="2038"/>
      <c r="C15" s="2038"/>
      <c r="D15" s="2038"/>
      <c r="E15" s="2038"/>
      <c r="F15" s="2038"/>
      <c r="G15" s="2038"/>
      <c r="H15" s="2039"/>
      <c r="T15" s="2044" t="s">
        <v>2085</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2133</v>
      </c>
      <c r="B17" s="1995"/>
      <c r="C17" s="1995"/>
      <c r="D17" s="1995"/>
      <c r="E17" s="1995"/>
      <c r="F17" s="1995"/>
      <c r="G17" s="1995"/>
      <c r="H17" s="2020"/>
      <c r="T17" s="2051" t="s">
        <v>2086</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2079</v>
      </c>
      <c r="B19" s="1980"/>
      <c r="C19" s="1980"/>
      <c r="D19" s="1980"/>
      <c r="E19" s="1980"/>
      <c r="F19" s="1980"/>
      <c r="G19" s="1980"/>
      <c r="H19" s="1960"/>
      <c r="I19" s="30"/>
      <c r="J19" s="99"/>
      <c r="K19" s="40"/>
      <c r="L19" s="38"/>
      <c r="M19" s="112" t="s">
        <v>333</v>
      </c>
      <c r="P19" s="27"/>
      <c r="Q19" s="27"/>
      <c r="R19" s="27"/>
      <c r="S19" s="31"/>
      <c r="T19" s="2034" t="s">
        <v>2087</v>
      </c>
      <c r="U19" s="1959"/>
      <c r="V19" s="1959"/>
      <c r="W19" s="1960"/>
      <c r="X19" s="2049" t="s">
        <v>2088</v>
      </c>
      <c r="Y19" s="2050"/>
      <c r="Z19" s="2047">
        <v>60450</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2080</v>
      </c>
      <c r="B21" s="1959"/>
      <c r="C21" s="1959"/>
      <c r="D21" s="1959"/>
      <c r="E21" s="1959"/>
      <c r="F21" s="1959"/>
      <c r="G21" s="1959"/>
      <c r="H21" s="1960"/>
      <c r="I21" s="2014" t="s">
        <v>699</v>
      </c>
      <c r="J21" s="2009"/>
      <c r="K21" s="2009"/>
      <c r="L21" s="2009"/>
      <c r="M21" s="2009"/>
      <c r="N21" s="2009"/>
      <c r="O21" s="2009"/>
      <c r="P21" s="2009"/>
      <c r="Q21" s="2009"/>
      <c r="R21" s="2009"/>
      <c r="S21" s="2015"/>
      <c r="T21" s="2058" t="s">
        <v>2089</v>
      </c>
      <c r="U21" s="2059"/>
      <c r="V21" s="2059"/>
      <c r="W21" s="2059"/>
      <c r="X21" s="2064" t="s">
        <v>2090</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2081</v>
      </c>
      <c r="B23" s="2012"/>
      <c r="C23" s="2012"/>
      <c r="D23" s="2012"/>
      <c r="E23" s="2012"/>
      <c r="F23" s="2012"/>
      <c r="G23" s="2012"/>
      <c r="H23" s="2013"/>
      <c r="T23" s="1994" t="s">
        <v>2091</v>
      </c>
      <c r="U23" s="2057"/>
      <c r="V23" s="2057"/>
      <c r="W23" s="2057"/>
      <c r="X23" s="2061">
        <v>43434</v>
      </c>
      <c r="Y23" s="2062"/>
      <c r="Z23" s="2062"/>
      <c r="AA23" s="2063"/>
    </row>
    <row r="24" spans="1:27" ht="14.1" customHeight="1" x14ac:dyDescent="0.2">
      <c r="A24" s="88" t="s">
        <v>698</v>
      </c>
      <c r="B24" s="49"/>
      <c r="C24" s="49"/>
      <c r="D24" s="49"/>
      <c r="E24" s="49"/>
      <c r="F24" s="49"/>
      <c r="G24" s="49"/>
      <c r="H24" s="61"/>
      <c r="J24" s="1981" t="str">
        <f>IF(B5="x",IF(AUDITCHECK!D29="AFR form Incomplete.","",IF(AUDITCHECK!D29="Deficit reduction plan is required.","School District must complete a deficit reduction plan in the 2018-2019 Budget",)),"")</f>
        <v>School District must complete a deficit reduction plan in the 2018-2019 Budget</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60450</v>
      </c>
      <c r="B25" s="1959"/>
      <c r="C25" s="1959"/>
      <c r="D25" s="1959"/>
      <c r="E25" s="1959"/>
      <c r="F25" s="1959"/>
      <c r="G25" s="1959"/>
      <c r="H25" s="1960"/>
      <c r="I25" s="113"/>
      <c r="J25" s="1983"/>
      <c r="K25" s="1983"/>
      <c r="L25" s="1983"/>
      <c r="M25" s="1983"/>
      <c r="N25" s="1983"/>
      <c r="O25" s="1983"/>
      <c r="P25" s="1983"/>
      <c r="Q25" s="1983"/>
      <c r="R25" s="1983"/>
      <c r="S25" s="1984"/>
      <c r="T25" s="2054" t="s">
        <v>2092</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2108</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2081</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2082</v>
      </c>
      <c r="B42" s="1978"/>
      <c r="C42" s="1979"/>
      <c r="D42" s="1977" t="s">
        <v>2083</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3884717</v>
      </c>
      <c r="C4" s="1546">
        <v>1249</v>
      </c>
      <c r="D4" s="1774">
        <f>B4-C4</f>
        <v>3883468</v>
      </c>
      <c r="E4" s="1546">
        <v>3939599</v>
      </c>
      <c r="F4" s="1774">
        <f>E4-C4</f>
        <v>3938350</v>
      </c>
    </row>
    <row r="5" spans="1:6" ht="13.7" customHeight="1" x14ac:dyDescent="0.2">
      <c r="A5" s="716" t="s">
        <v>925</v>
      </c>
      <c r="B5" s="1772">
        <f>'Revenues 9-14'!D5</f>
        <v>1055630</v>
      </c>
      <c r="C5" s="585">
        <v>340</v>
      </c>
      <c r="D5" s="1775">
        <f t="shared" ref="D5:D18" si="0">B5-C5</f>
        <v>1055290</v>
      </c>
      <c r="E5" s="585">
        <v>1070543</v>
      </c>
      <c r="F5" s="1775">
        <f>E5-C5</f>
        <v>1070203</v>
      </c>
    </row>
    <row r="6" spans="1:6" ht="13.7" customHeight="1" x14ac:dyDescent="0.2">
      <c r="A6" s="716" t="s">
        <v>431</v>
      </c>
      <c r="B6" s="1772">
        <f>'Revenues 9-14'!E5</f>
        <v>1648800</v>
      </c>
      <c r="C6" s="585">
        <v>564</v>
      </c>
      <c r="D6" s="1775">
        <f t="shared" si="0"/>
        <v>1648236</v>
      </c>
      <c r="E6" s="585">
        <v>1778643</v>
      </c>
      <c r="F6" s="1775">
        <f t="shared" ref="F6:F18" si="1">E6-C6</f>
        <v>1778079</v>
      </c>
    </row>
    <row r="7" spans="1:6" ht="13.7" customHeight="1" x14ac:dyDescent="0.2">
      <c r="A7" s="716" t="s">
        <v>157</v>
      </c>
      <c r="B7" s="1772">
        <f>'Revenues 9-14'!F5</f>
        <v>506703</v>
      </c>
      <c r="C7" s="585">
        <v>163</v>
      </c>
      <c r="D7" s="1775">
        <f t="shared" si="0"/>
        <v>506540</v>
      </c>
      <c r="E7" s="585">
        <v>513861</v>
      </c>
      <c r="F7" s="1775">
        <f t="shared" si="1"/>
        <v>513698</v>
      </c>
    </row>
    <row r="8" spans="1:6" ht="13.7" customHeight="1" x14ac:dyDescent="0.2">
      <c r="A8" s="716" t="s">
        <v>1241</v>
      </c>
      <c r="B8" s="1772">
        <f>'Revenues 9-14'!G5</f>
        <v>136974</v>
      </c>
      <c r="C8" s="585">
        <v>41</v>
      </c>
      <c r="D8" s="1775">
        <f t="shared" si="0"/>
        <v>136933</v>
      </c>
      <c r="E8" s="585">
        <v>128422</v>
      </c>
      <c r="F8" s="1775">
        <f t="shared" si="1"/>
        <v>128381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211126</v>
      </c>
      <c r="C10" s="585">
        <v>68</v>
      </c>
      <c r="D10" s="1775">
        <f t="shared" si="0"/>
        <v>211058</v>
      </c>
      <c r="E10" s="585">
        <v>214109</v>
      </c>
      <c r="F10" s="1775">
        <f t="shared" si="1"/>
        <v>214041</v>
      </c>
    </row>
    <row r="11" spans="1:6" x14ac:dyDescent="0.2">
      <c r="A11" s="716" t="s">
        <v>429</v>
      </c>
      <c r="B11" s="1772">
        <f>'Revenues 9-14'!J5</f>
        <v>331344</v>
      </c>
      <c r="C11" s="585">
        <v>109</v>
      </c>
      <c r="D11" s="1775">
        <f t="shared" si="0"/>
        <v>331235</v>
      </c>
      <c r="E11" s="585">
        <v>343987</v>
      </c>
      <c r="F11" s="1775">
        <f t="shared" si="1"/>
        <v>343878</v>
      </c>
    </row>
    <row r="12" spans="1:6" ht="13.7" customHeight="1" x14ac:dyDescent="0.2">
      <c r="A12" s="716" t="s">
        <v>159</v>
      </c>
      <c r="B12" s="1772">
        <f>'Revenues 9-14'!K5</f>
        <v>88378</v>
      </c>
      <c r="C12" s="585">
        <v>29</v>
      </c>
      <c r="D12" s="1775">
        <f t="shared" si="0"/>
        <v>88349</v>
      </c>
      <c r="E12" s="585">
        <v>91767</v>
      </c>
      <c r="F12" s="1775">
        <f t="shared" si="1"/>
        <v>91738</v>
      </c>
    </row>
    <row r="13" spans="1:6" ht="13.7" customHeight="1" x14ac:dyDescent="0.2">
      <c r="A13" s="716" t="s">
        <v>993</v>
      </c>
      <c r="B13" s="1772">
        <f>SUM('Revenues 9-14'!C6:D6)</f>
        <v>132546</v>
      </c>
      <c r="C13" s="585">
        <v>44</v>
      </c>
      <c r="D13" s="1775">
        <f t="shared" si="0"/>
        <v>132502</v>
      </c>
      <c r="E13" s="585">
        <v>137629</v>
      </c>
      <c r="F13" s="1775">
        <f t="shared" si="1"/>
        <v>137585</v>
      </c>
    </row>
    <row r="14" spans="1:6" ht="13.7" customHeight="1" x14ac:dyDescent="0.2">
      <c r="A14" s="716" t="s">
        <v>430</v>
      </c>
      <c r="B14" s="1772">
        <f>SUM('Revenues 9-14'!C7:D7,'Revenues 9-14'!F7:H7)</f>
        <v>84450</v>
      </c>
      <c r="C14" s="585">
        <v>27</v>
      </c>
      <c r="D14" s="1775">
        <f t="shared" si="0"/>
        <v>84423</v>
      </c>
      <c r="E14" s="585">
        <v>85643</v>
      </c>
      <c r="F14" s="1775">
        <f t="shared" si="1"/>
        <v>85616</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198790</v>
      </c>
      <c r="C16" s="585">
        <v>58</v>
      </c>
      <c r="D16" s="1775">
        <f t="shared" si="0"/>
        <v>198732</v>
      </c>
      <c r="E16" s="585">
        <v>183491</v>
      </c>
      <c r="F16" s="1775">
        <f t="shared" si="1"/>
        <v>183433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8279458</v>
      </c>
      <c r="C19" s="1773">
        <f>SUM(C4:C18)</f>
        <v>2692</v>
      </c>
      <c r="D19" s="1773">
        <f>SUM(D4:D18)</f>
        <v>8276766</v>
      </c>
      <c r="E19" s="1773">
        <f>SUM(E4:E18)</f>
        <v>8487694</v>
      </c>
      <c r="F19" s="1773">
        <f>SUM(F4:F18)</f>
        <v>8485002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41" colorId="8" zoomScale="110" zoomScaleNormal="110" workbookViewId="0">
      <selection activeCell="J49" sqref="J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8" t="s">
        <v>2036</v>
      </c>
      <c r="D2" s="724" t="s">
        <v>2043</v>
      </c>
      <c r="E2" s="724" t="s">
        <v>2044</v>
      </c>
      <c r="F2" s="1908" t="s">
        <v>2037</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2093</v>
      </c>
      <c r="B31" s="734">
        <v>40990</v>
      </c>
      <c r="C31" s="735">
        <v>3465000</v>
      </c>
      <c r="D31" s="736">
        <v>3</v>
      </c>
      <c r="E31" s="735">
        <v>2460000</v>
      </c>
      <c r="F31" s="735"/>
      <c r="G31" s="735"/>
      <c r="H31" s="735">
        <v>325000</v>
      </c>
      <c r="I31" s="1778">
        <f>((E31+F31)-H31)+G31</f>
        <v>2135000</v>
      </c>
      <c r="J31" s="735">
        <v>2130912</v>
      </c>
      <c r="K31" s="737"/>
    </row>
    <row r="32" spans="1:11" ht="12" customHeight="1" x14ac:dyDescent="0.2">
      <c r="A32" s="733" t="s">
        <v>2094</v>
      </c>
      <c r="B32" s="734">
        <v>42402</v>
      </c>
      <c r="C32" s="735">
        <v>1690000</v>
      </c>
      <c r="D32" s="736">
        <v>1</v>
      </c>
      <c r="E32" s="735">
        <v>1495000</v>
      </c>
      <c r="F32" s="735"/>
      <c r="G32" s="735"/>
      <c r="H32" s="735">
        <v>1495000</v>
      </c>
      <c r="I32" s="1778">
        <f>((E32+F32)-H32)+G32</f>
        <v>0</v>
      </c>
      <c r="J32" s="735"/>
      <c r="K32" s="737"/>
    </row>
    <row r="33" spans="1:11" ht="12" customHeight="1" x14ac:dyDescent="0.2">
      <c r="A33" s="733" t="s">
        <v>2095</v>
      </c>
      <c r="B33" s="734">
        <v>42814</v>
      </c>
      <c r="C33" s="735">
        <v>1690000</v>
      </c>
      <c r="D33" s="736">
        <v>1</v>
      </c>
      <c r="E33" s="735">
        <v>1690000</v>
      </c>
      <c r="F33" s="735"/>
      <c r="G33" s="735"/>
      <c r="H33" s="735">
        <v>40000</v>
      </c>
      <c r="I33" s="1778">
        <f t="shared" ref="I33:I48" si="1">((E33+F33)-H33)+G33</f>
        <v>1650000</v>
      </c>
      <c r="J33" s="735">
        <v>1650000</v>
      </c>
      <c r="K33" s="737"/>
    </row>
    <row r="34" spans="1:11" ht="12" customHeight="1" x14ac:dyDescent="0.2">
      <c r="A34" s="733" t="s">
        <v>2096</v>
      </c>
      <c r="B34" s="734">
        <v>43138</v>
      </c>
      <c r="C34" s="735">
        <v>1695000</v>
      </c>
      <c r="D34" s="736">
        <v>1</v>
      </c>
      <c r="E34" s="735"/>
      <c r="F34" s="735">
        <v>1695000</v>
      </c>
      <c r="G34" s="735"/>
      <c r="H34" s="735"/>
      <c r="I34" s="1778">
        <f t="shared" si="1"/>
        <v>1695000</v>
      </c>
      <c r="J34" s="735">
        <v>1695000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8540000</v>
      </c>
      <c r="D49" s="746"/>
      <c r="E49" s="1778">
        <f t="shared" ref="E49:J49" si="2">SUM(E31:E48)</f>
        <v>5645000</v>
      </c>
      <c r="F49" s="1778">
        <f t="shared" si="2"/>
        <v>1695000</v>
      </c>
      <c r="G49" s="1778">
        <f t="shared" si="2"/>
        <v>0</v>
      </c>
      <c r="H49" s="1778">
        <f t="shared" si="2"/>
        <v>1860000</v>
      </c>
      <c r="I49" s="1778">
        <f t="shared" si="2"/>
        <v>5480000</v>
      </c>
      <c r="J49" s="1778">
        <f t="shared" si="2"/>
        <v>5475912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K25" sqref="K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84450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27407</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40752</v>
      </c>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84450</v>
      </c>
      <c r="I12" s="1780">
        <f>SUM(I5:I11)</f>
        <v>0</v>
      </c>
      <c r="J12" s="1780">
        <f>SUM(J5:J11)</f>
        <v>0</v>
      </c>
      <c r="K12" s="1780">
        <f>SUM(K5:K11)</f>
        <v>68159</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84450</v>
      </c>
      <c r="I14" s="772"/>
      <c r="J14" s="774"/>
      <c r="K14" s="766">
        <v>68159</v>
      </c>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84450</v>
      </c>
      <c r="I23" s="1780">
        <f>SUM(I14:I16,I21,I22)</f>
        <v>0</v>
      </c>
      <c r="J23" s="1780">
        <f>SUM(J14:J16,J21,J22)</f>
        <v>0</v>
      </c>
      <c r="K23" s="1780">
        <f>SUM(K14:K16,K21,K22)</f>
        <v>68159</v>
      </c>
    </row>
    <row r="24" spans="1:11" ht="14.25" thickTop="1" thickBot="1" x14ac:dyDescent="0.25">
      <c r="A24" s="2265" t="s">
        <v>2024</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K16" sqref="K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62042</v>
      </c>
      <c r="D5" s="842"/>
      <c r="E5" s="842"/>
      <c r="F5" s="1782">
        <f>(C5+D5)-E5</f>
        <v>62042</v>
      </c>
      <c r="G5" s="838"/>
      <c r="H5" s="843"/>
      <c r="I5" s="843"/>
      <c r="J5" s="843"/>
      <c r="K5" s="794"/>
      <c r="L5" s="1791">
        <f>F5-K5</f>
        <v>62042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18606923</v>
      </c>
      <c r="D8" s="845">
        <v>251358</v>
      </c>
      <c r="E8" s="845"/>
      <c r="F8" s="1782">
        <f>(C8+D8)-E8</f>
        <v>18858281</v>
      </c>
      <c r="G8" s="844">
        <v>50</v>
      </c>
      <c r="H8" s="766">
        <v>10370760</v>
      </c>
      <c r="I8" s="766">
        <v>429117</v>
      </c>
      <c r="J8" s="766"/>
      <c r="K8" s="1791">
        <f>(H8+I8)-J8</f>
        <v>10799877</v>
      </c>
      <c r="L8" s="1791">
        <f>F8-K8</f>
        <v>8058404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719061</v>
      </c>
      <c r="D10" s="847">
        <v>33870</v>
      </c>
      <c r="E10" s="847"/>
      <c r="F10" s="1786">
        <f>(C10+D10)-E10</f>
        <v>752931</v>
      </c>
      <c r="G10" s="844">
        <v>20</v>
      </c>
      <c r="H10" s="848">
        <v>473915</v>
      </c>
      <c r="I10" s="848">
        <v>25758</v>
      </c>
      <c r="J10" s="848"/>
      <c r="K10" s="1791">
        <f>(H10+I10)-J10</f>
        <v>499673</v>
      </c>
      <c r="L10" s="1791">
        <f>F10-K10</f>
        <v>253258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523958</v>
      </c>
      <c r="D12" s="845">
        <v>22192</v>
      </c>
      <c r="E12" s="845"/>
      <c r="F12" s="1782">
        <f>(C12+D12)-E12</f>
        <v>546150</v>
      </c>
      <c r="G12" s="844">
        <v>10</v>
      </c>
      <c r="H12" s="766">
        <v>481831</v>
      </c>
      <c r="I12" s="766">
        <v>14712</v>
      </c>
      <c r="J12" s="766"/>
      <c r="K12" s="1791">
        <f>(H12+I12)-J12</f>
        <v>496543</v>
      </c>
      <c r="L12" s="1791">
        <f>F12-K12</f>
        <v>49607</v>
      </c>
    </row>
    <row r="13" spans="1:14" ht="14.25" thickTop="1" thickBot="1" x14ac:dyDescent="0.25">
      <c r="A13" s="849" t="s">
        <v>1184</v>
      </c>
      <c r="B13" s="841">
        <v>252</v>
      </c>
      <c r="C13" s="845">
        <v>4764151</v>
      </c>
      <c r="D13" s="845">
        <v>126262</v>
      </c>
      <c r="E13" s="845"/>
      <c r="F13" s="1782">
        <f>(C13+D13)-E13</f>
        <v>4890413</v>
      </c>
      <c r="G13" s="844">
        <v>5</v>
      </c>
      <c r="H13" s="766">
        <v>4453696</v>
      </c>
      <c r="I13" s="766">
        <v>156635</v>
      </c>
      <c r="J13" s="766"/>
      <c r="K13" s="1791">
        <f>(H13+I13)-J13</f>
        <v>4610331</v>
      </c>
      <c r="L13" s="1791">
        <f>F13-K13</f>
        <v>280082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93010</v>
      </c>
      <c r="E15" s="845"/>
      <c r="F15" s="1782">
        <f>(C15+D15)-E15</f>
        <v>93010</v>
      </c>
      <c r="G15" s="850" t="s">
        <v>917</v>
      </c>
      <c r="H15" s="782"/>
      <c r="I15" s="782"/>
      <c r="J15" s="782"/>
      <c r="K15" s="782"/>
      <c r="L15" s="1791">
        <f>F15-K15</f>
        <v>93010</v>
      </c>
    </row>
    <row r="16" spans="1:14" ht="15" customHeight="1" thickTop="1" thickBot="1" x14ac:dyDescent="0.25">
      <c r="A16" s="1787" t="s">
        <v>664</v>
      </c>
      <c r="B16" s="1788">
        <v>200</v>
      </c>
      <c r="C16" s="1782">
        <f>SUM(C3,C5:C6,C8:C10,C12:C15)</f>
        <v>24676135</v>
      </c>
      <c r="D16" s="1782">
        <f>SUM(D3,D5:D6,D8:D10,D12:D15)</f>
        <v>526692</v>
      </c>
      <c r="E16" s="1782">
        <f>SUM(E3,E5:E6,E8:E10,E12:E15)</f>
        <v>0</v>
      </c>
      <c r="F16" s="1782">
        <f>SUM(F3,F5:F6,F8:F10,F12:F15)</f>
        <v>25202827</v>
      </c>
      <c r="G16" s="844"/>
      <c r="H16" s="1782">
        <f>SUM(H3,H6,H8:H10,H12:H14,)</f>
        <v>15780202</v>
      </c>
      <c r="I16" s="1782">
        <f>SUM(I3,I6,I8:I10,I12:I14,)</f>
        <v>626222</v>
      </c>
      <c r="J16" s="1782">
        <f>SUM(J3,J6,J8:J10,J12:J14,)</f>
        <v>0</v>
      </c>
      <c r="K16" s="1782">
        <f>(H16+I16)-J16</f>
        <v>16406424</v>
      </c>
      <c r="L16" s="1782">
        <f>F16-K16</f>
        <v>8796403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626222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10665419</v>
      </c>
      <c r="G8" s="866"/>
    </row>
    <row r="9" spans="1:7" x14ac:dyDescent="0.2">
      <c r="A9" s="870" t="s">
        <v>480</v>
      </c>
      <c r="B9" s="871" t="s">
        <v>1988</v>
      </c>
      <c r="C9" s="872"/>
      <c r="D9" s="870" t="s">
        <v>522</v>
      </c>
      <c r="E9" s="869"/>
      <c r="F9" s="1934">
        <f>'Expenditures 15-22'!K151</f>
        <v>1743084</v>
      </c>
      <c r="G9" s="873"/>
    </row>
    <row r="10" spans="1:7" x14ac:dyDescent="0.2">
      <c r="A10" s="870" t="s">
        <v>520</v>
      </c>
      <c r="B10" s="871" t="s">
        <v>1989</v>
      </c>
      <c r="C10" s="872"/>
      <c r="D10" s="870" t="s">
        <v>522</v>
      </c>
      <c r="E10" s="869"/>
      <c r="F10" s="1934">
        <f>'Expenditures 15-22'!K174</f>
        <v>2037320</v>
      </c>
      <c r="G10" s="873"/>
    </row>
    <row r="11" spans="1:7" x14ac:dyDescent="0.2">
      <c r="A11" s="870" t="s">
        <v>481</v>
      </c>
      <c r="B11" s="871" t="s">
        <v>1990</v>
      </c>
      <c r="C11" s="872"/>
      <c r="D11" s="870" t="s">
        <v>522</v>
      </c>
      <c r="E11" s="869"/>
      <c r="F11" s="1934">
        <f>'Expenditures 15-22'!K210</f>
        <v>652261</v>
      </c>
      <c r="G11" s="873"/>
    </row>
    <row r="12" spans="1:7" x14ac:dyDescent="0.2">
      <c r="A12" s="870" t="s">
        <v>482</v>
      </c>
      <c r="B12" s="871" t="s">
        <v>1991</v>
      </c>
      <c r="C12" s="872"/>
      <c r="D12" s="870" t="s">
        <v>522</v>
      </c>
      <c r="E12" s="869"/>
      <c r="F12" s="1934">
        <f>'Expenditures 15-22'!K295</f>
        <v>293885</v>
      </c>
      <c r="G12" s="873"/>
    </row>
    <row r="13" spans="1:7" x14ac:dyDescent="0.2">
      <c r="A13" s="870" t="s">
        <v>108</v>
      </c>
      <c r="B13" s="871" t="s">
        <v>1992</v>
      </c>
      <c r="C13" s="872"/>
      <c r="D13" s="870" t="s">
        <v>522</v>
      </c>
      <c r="E13" s="869"/>
      <c r="F13" s="1934">
        <f>'Expenditures 15-22'!K342</f>
        <v>330120</v>
      </c>
      <c r="G13" s="874"/>
    </row>
    <row r="14" spans="1:7" ht="12" customHeight="1" thickBot="1" x14ac:dyDescent="0.25">
      <c r="A14" s="1792"/>
      <c r="B14" s="1793"/>
      <c r="C14" s="1794"/>
      <c r="D14" s="1795" t="s">
        <v>522</v>
      </c>
      <c r="E14" s="1796" t="s">
        <v>1015</v>
      </c>
      <c r="F14" s="1797">
        <f>SUM(F8:F13)</f>
        <v>15722089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34755</v>
      </c>
      <c r="G52" s="866"/>
    </row>
    <row r="53" spans="1:7" x14ac:dyDescent="0.2">
      <c r="A53" s="870" t="s">
        <v>479</v>
      </c>
      <c r="B53" s="870" t="s">
        <v>1551</v>
      </c>
      <c r="C53" s="890">
        <f>'Expenditures 15-22'!B102</f>
        <v>4000</v>
      </c>
      <c r="D53" s="889" t="str">
        <f>'Expenditures 15-22'!A102</f>
        <v>Total Payments to Other Govt Units</v>
      </c>
      <c r="E53" s="869"/>
      <c r="F53" s="1938">
        <f>'Expenditures 15-22'!K102</f>
        <v>2114776</v>
      </c>
      <c r="G53" s="866"/>
    </row>
    <row r="54" spans="1:7" x14ac:dyDescent="0.2">
      <c r="A54" s="870" t="s">
        <v>479</v>
      </c>
      <c r="B54" s="870" t="s">
        <v>1552</v>
      </c>
      <c r="C54" s="890" t="s">
        <v>1039</v>
      </c>
      <c r="D54" s="886" t="s">
        <v>1157</v>
      </c>
      <c r="E54" s="869"/>
      <c r="F54" s="1938">
        <f>'Expenditures 15-22'!G114</f>
        <v>105944</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94991</v>
      </c>
      <c r="G57" s="866"/>
    </row>
    <row r="58" spans="1:7" x14ac:dyDescent="0.2">
      <c r="A58" s="870" t="s">
        <v>480</v>
      </c>
      <c r="B58" s="870" t="s">
        <v>1994</v>
      </c>
      <c r="C58" s="887" t="s">
        <v>1039</v>
      </c>
      <c r="D58" s="886" t="s">
        <v>1157</v>
      </c>
      <c r="E58" s="869"/>
      <c r="F58" s="1940">
        <f>'Expenditures 15-22'!G151</f>
        <v>97698</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1860000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567437</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22192</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4897793</v>
      </c>
      <c r="G76" s="866"/>
    </row>
    <row r="77" spans="1:8" s="894" customFormat="1" ht="12" customHeight="1" thickTop="1" thickBot="1" x14ac:dyDescent="0.25">
      <c r="A77" s="1801"/>
      <c r="B77" s="1798"/>
      <c r="C77" s="1794"/>
      <c r="D77" s="1799" t="s">
        <v>2011</v>
      </c>
      <c r="E77" s="1796"/>
      <c r="F77" s="1802">
        <f>(F14-F76)</f>
        <v>10824296</v>
      </c>
      <c r="G77" s="870"/>
    </row>
    <row r="78" spans="1:8" s="894" customFormat="1" ht="12" customHeight="1" thickTop="1" x14ac:dyDescent="0.2">
      <c r="A78" s="1803"/>
      <c r="B78" s="1798"/>
      <c r="C78" s="1794"/>
      <c r="D78" s="1799" t="s">
        <v>2057</v>
      </c>
      <c r="E78" s="1796"/>
      <c r="F78" s="899">
        <v>838.67</v>
      </c>
      <c r="G78" s="900"/>
      <c r="H78" s="870"/>
    </row>
    <row r="79" spans="1:8" s="894" customFormat="1" ht="12" customHeight="1" thickBot="1" x14ac:dyDescent="0.25">
      <c r="A79" s="1804"/>
      <c r="B79" s="1798"/>
      <c r="C79" s="1794"/>
      <c r="D79" s="1799" t="s">
        <v>2012</v>
      </c>
      <c r="E79" s="1796" t="s">
        <v>1015</v>
      </c>
      <c r="F79" s="1805">
        <f>IF(F78&gt;0,F77/F78," Complete Line 78")</f>
        <v>12906.501961438946</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223626</v>
      </c>
      <c r="G94" s="913"/>
    </row>
    <row r="95" spans="1:7" x14ac:dyDescent="0.2">
      <c r="A95" s="909" t="s">
        <v>142</v>
      </c>
      <c r="B95" s="909" t="s">
        <v>177</v>
      </c>
      <c r="C95" s="911">
        <v>1700</v>
      </c>
      <c r="D95" s="919" t="str">
        <f>'Revenues 9-14'!A82</f>
        <v>Total District/School Activity Income</v>
      </c>
      <c r="E95" s="907"/>
      <c r="F95" s="1811">
        <f>SUM('Revenues 9-14'!C82,'Revenues 9-14'!D82)</f>
        <v>66102</v>
      </c>
      <c r="G95" s="913"/>
    </row>
    <row r="96" spans="1:7" x14ac:dyDescent="0.2">
      <c r="A96" s="909" t="s">
        <v>479</v>
      </c>
      <c r="B96" s="909" t="s">
        <v>178</v>
      </c>
      <c r="C96" s="911">
        <f>'Revenues 9-14'!B84</f>
        <v>1811</v>
      </c>
      <c r="D96" s="912" t="str">
        <f>'Revenues 9-14'!A84</f>
        <v>Rentals - Regular Textbooks</v>
      </c>
      <c r="E96" s="907"/>
      <c r="F96" s="1811">
        <f>'Revenues 9-14'!C84</f>
        <v>152535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102730</v>
      </c>
      <c r="G103" s="913"/>
    </row>
    <row r="104" spans="1:7" x14ac:dyDescent="0.2">
      <c r="A104" s="909" t="s">
        <v>479</v>
      </c>
      <c r="B104" s="909" t="s">
        <v>841</v>
      </c>
      <c r="C104" s="911">
        <f>'Revenues 9-14'!B106</f>
        <v>1993</v>
      </c>
      <c r="D104" s="912" t="str">
        <f>'Revenues 9-14'!A106</f>
        <v>Other Local Fees (Describe &amp; Itemize)</v>
      </c>
      <c r="E104" s="907"/>
      <c r="F104" s="1811">
        <f>('Revenues 9-14'!C106)</f>
        <v>17509</v>
      </c>
      <c r="G104" s="913"/>
    </row>
    <row r="105" spans="1:7" x14ac:dyDescent="0.2">
      <c r="A105" s="909" t="s">
        <v>524</v>
      </c>
      <c r="B105" s="909" t="s">
        <v>842</v>
      </c>
      <c r="C105" s="914">
        <v>3100</v>
      </c>
      <c r="D105" s="920" t="str">
        <f>'Revenues 9-14'!A131</f>
        <v>Total Special Education</v>
      </c>
      <c r="E105" s="907"/>
      <c r="F105" s="1811">
        <f>SUM('Revenues 9-14'!C131:D131,'Revenues 9-14'!F131)</f>
        <v>453402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434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40752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251924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94633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5672</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48802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115493</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21580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25768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19976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1642438</v>
      </c>
    </row>
    <row r="179" spans="1:7" ht="12" customHeight="1" x14ac:dyDescent="0.2">
      <c r="A179" s="1792"/>
      <c r="B179" s="1806"/>
      <c r="C179" s="1807"/>
      <c r="D179" s="1808" t="s">
        <v>2014</v>
      </c>
      <c r="E179" s="1809"/>
      <c r="F179" s="1811">
        <f>'PCTC-OEPP 27-28'!F77-F178</f>
        <v>9181858</v>
      </c>
    </row>
    <row r="180" spans="1:7" ht="12" customHeight="1" x14ac:dyDescent="0.2">
      <c r="A180" s="1792"/>
      <c r="B180" s="1806"/>
      <c r="C180" s="1807"/>
      <c r="D180" s="1808" t="s">
        <v>1924</v>
      </c>
      <c r="E180" s="1809"/>
      <c r="F180" s="1811">
        <f>'Cap Outlay Deprec 26'!I18</f>
        <v>626222</v>
      </c>
    </row>
    <row r="181" spans="1:7" ht="12" customHeight="1" x14ac:dyDescent="0.2">
      <c r="A181" s="1792"/>
      <c r="B181" s="1806"/>
      <c r="C181" s="1807"/>
      <c r="D181" s="1808" t="s">
        <v>2015</v>
      </c>
      <c r="E181" s="1809"/>
      <c r="F181" s="1811">
        <f>F179+F180</f>
        <v>9808080</v>
      </c>
    </row>
    <row r="182" spans="1:7" ht="12" customHeight="1" x14ac:dyDescent="0.2">
      <c r="A182" s="1792"/>
      <c r="B182" s="1812"/>
      <c r="C182" s="1807"/>
      <c r="D182" s="1808" t="str">
        <f>D78</f>
        <v>9 Month ADA from District Average Daily Attendance/Prior General State Aid Inquiry 2017-2018</v>
      </c>
      <c r="E182" s="1809"/>
      <c r="F182" s="1813">
        <f>'PCTC-OEPP 27-28'!F78</f>
        <v>838.67</v>
      </c>
      <c r="G182" s="931"/>
    </row>
    <row r="183" spans="1:7" ht="12" customHeight="1" thickBot="1" x14ac:dyDescent="0.25">
      <c r="A183" s="1792"/>
      <c r="B183" s="1812"/>
      <c r="C183" s="1807"/>
      <c r="D183" s="1808" t="s">
        <v>2016</v>
      </c>
      <c r="E183" s="1809" t="s">
        <v>1626</v>
      </c>
      <c r="F183" s="1814">
        <f>F181/F182</f>
        <v>11694.802484886786</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32" sqref="D3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2109</v>
      </c>
      <c r="B17" s="1956" t="s">
        <v>2110</v>
      </c>
      <c r="C17" s="1957" t="s">
        <v>2111</v>
      </c>
      <c r="D17" s="1867">
        <v>5160</v>
      </c>
      <c r="E17" s="1562">
        <f t="shared" ref="E17:E141" si="1">IF(D17&lt;=25000,D17,IF(D17&gt;25000,25000,0))</f>
        <v>5160</v>
      </c>
      <c r="F17" s="1815">
        <f t="shared" si="0"/>
        <v>5160</v>
      </c>
      <c r="G17" s="1816">
        <f>IF(F17=0,0,D17-F17)</f>
        <v>0</v>
      </c>
      <c r="H17" s="1669"/>
    </row>
    <row r="18" spans="1:8" x14ac:dyDescent="0.25">
      <c r="A18" s="1955" t="s">
        <v>2112</v>
      </c>
      <c r="B18" s="1956" t="s">
        <v>2127</v>
      </c>
      <c r="C18" s="1957" t="s">
        <v>2113</v>
      </c>
      <c r="D18" s="1867">
        <v>5500</v>
      </c>
      <c r="E18" s="1562">
        <f t="shared" ref="E18:E140" si="2">IF(D18&lt;=25000,D18,IF(D18&gt;25000,25000,0))</f>
        <v>5500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5500</v>
      </c>
      <c r="G18" s="1816">
        <f t="shared" ref="G18:G140" si="4">IF(F18=0,0,D18-F18)</f>
        <v>0</v>
      </c>
    </row>
    <row r="19" spans="1:8" x14ac:dyDescent="0.25">
      <c r="A19" s="1955" t="s">
        <v>2112</v>
      </c>
      <c r="B19" s="1956" t="s">
        <v>2127</v>
      </c>
      <c r="C19" s="1957" t="s">
        <v>2114</v>
      </c>
      <c r="D19" s="1867">
        <v>2691</v>
      </c>
      <c r="E19" s="1562">
        <f t="shared" si="2"/>
        <v>2691</v>
      </c>
      <c r="F19" s="1815">
        <f t="shared" si="3"/>
        <v>2691</v>
      </c>
      <c r="G19" s="1816">
        <f t="shared" si="4"/>
        <v>0</v>
      </c>
    </row>
    <row r="20" spans="1:8" x14ac:dyDescent="0.25">
      <c r="A20" s="1955" t="s">
        <v>2112</v>
      </c>
      <c r="B20" s="1956" t="s">
        <v>2127</v>
      </c>
      <c r="C20" s="1957" t="s">
        <v>2115</v>
      </c>
      <c r="D20" s="1867">
        <v>4851</v>
      </c>
      <c r="E20" s="1562">
        <f t="shared" si="2"/>
        <v>4851</v>
      </c>
      <c r="F20" s="1815">
        <f t="shared" si="3"/>
        <v>4851</v>
      </c>
      <c r="G20" s="1816">
        <f t="shared" si="4"/>
        <v>0</v>
      </c>
    </row>
    <row r="21" spans="1:8" x14ac:dyDescent="0.25">
      <c r="A21" s="1955" t="s">
        <v>2112</v>
      </c>
      <c r="B21" s="1956" t="s">
        <v>2127</v>
      </c>
      <c r="C21" s="1957" t="s">
        <v>2116</v>
      </c>
      <c r="D21" s="1867">
        <f>16800+16944</f>
        <v>33744</v>
      </c>
      <c r="E21" s="1562">
        <f t="shared" si="2"/>
        <v>25000</v>
      </c>
      <c r="F21" s="1815">
        <f t="shared" si="3"/>
        <v>25000</v>
      </c>
      <c r="G21" s="1816">
        <f t="shared" si="4"/>
        <v>8744</v>
      </c>
    </row>
    <row r="22" spans="1:8" x14ac:dyDescent="0.25">
      <c r="A22" s="1955" t="s">
        <v>2112</v>
      </c>
      <c r="B22" s="1956" t="s">
        <v>2127</v>
      </c>
      <c r="C22" s="1957" t="s">
        <v>2117</v>
      </c>
      <c r="D22" s="1867">
        <f>17917+18276</f>
        <v>36193</v>
      </c>
      <c r="E22" s="1562">
        <f t="shared" si="2"/>
        <v>25000</v>
      </c>
      <c r="F22" s="1815">
        <f t="shared" si="3"/>
        <v>25000</v>
      </c>
      <c r="G22" s="1816">
        <f t="shared" si="4"/>
        <v>11193</v>
      </c>
    </row>
    <row r="23" spans="1:8" x14ac:dyDescent="0.25">
      <c r="A23" s="1955" t="s">
        <v>2112</v>
      </c>
      <c r="B23" s="1956" t="s">
        <v>2127</v>
      </c>
      <c r="C23" s="1957" t="s">
        <v>2118</v>
      </c>
      <c r="D23" s="1867">
        <v>17099</v>
      </c>
      <c r="E23" s="1562">
        <f t="shared" si="2"/>
        <v>17099</v>
      </c>
      <c r="F23" s="1815">
        <f t="shared" si="3"/>
        <v>17099</v>
      </c>
      <c r="G23" s="1816">
        <f t="shared" si="4"/>
        <v>0</v>
      </c>
    </row>
    <row r="24" spans="1:8" x14ac:dyDescent="0.25">
      <c r="A24" s="1955" t="s">
        <v>2112</v>
      </c>
      <c r="B24" s="1956" t="s">
        <v>2127</v>
      </c>
      <c r="C24" s="1957" t="s">
        <v>2119</v>
      </c>
      <c r="D24" s="1867">
        <v>3736</v>
      </c>
      <c r="E24" s="1562">
        <f t="shared" si="2"/>
        <v>3736</v>
      </c>
      <c r="F24" s="1815">
        <f t="shared" si="3"/>
        <v>3736</v>
      </c>
      <c r="G24" s="1816">
        <f t="shared" si="4"/>
        <v>0</v>
      </c>
    </row>
    <row r="25" spans="1:8" x14ac:dyDescent="0.25">
      <c r="A25" s="1955" t="s">
        <v>2112</v>
      </c>
      <c r="B25" s="1956" t="s">
        <v>2127</v>
      </c>
      <c r="C25" s="1957" t="s">
        <v>2120</v>
      </c>
      <c r="D25" s="1867">
        <f>8000+1000</f>
        <v>9000</v>
      </c>
      <c r="E25" s="1562">
        <f t="shared" si="2"/>
        <v>9000</v>
      </c>
      <c r="F25" s="1815">
        <f t="shared" si="3"/>
        <v>9000</v>
      </c>
      <c r="G25" s="1816">
        <f t="shared" si="4"/>
        <v>0</v>
      </c>
    </row>
    <row r="26" spans="1:8" x14ac:dyDescent="0.25">
      <c r="A26" s="1955" t="s">
        <v>2112</v>
      </c>
      <c r="B26" s="1956" t="s">
        <v>2127</v>
      </c>
      <c r="C26" s="1957" t="s">
        <v>2121</v>
      </c>
      <c r="D26" s="1867">
        <v>5000</v>
      </c>
      <c r="E26" s="1562">
        <f t="shared" si="2"/>
        <v>5000</v>
      </c>
      <c r="F26" s="1815">
        <f t="shared" si="3"/>
        <v>5000</v>
      </c>
      <c r="G26" s="1816">
        <f t="shared" si="4"/>
        <v>0</v>
      </c>
    </row>
    <row r="27" spans="1:8" x14ac:dyDescent="0.25">
      <c r="A27" s="1955" t="s">
        <v>2112</v>
      </c>
      <c r="B27" s="1956" t="s">
        <v>2127</v>
      </c>
      <c r="C27" s="1957" t="s">
        <v>2122</v>
      </c>
      <c r="D27" s="1867">
        <v>4340</v>
      </c>
      <c r="E27" s="1562">
        <f t="shared" si="2"/>
        <v>4340</v>
      </c>
      <c r="F27" s="1815">
        <f t="shared" si="3"/>
        <v>4340</v>
      </c>
      <c r="G27" s="1816">
        <f t="shared" si="4"/>
        <v>0</v>
      </c>
    </row>
    <row r="28" spans="1:8" x14ac:dyDescent="0.25">
      <c r="A28" s="1955" t="s">
        <v>2112</v>
      </c>
      <c r="B28" s="1956" t="s">
        <v>2127</v>
      </c>
      <c r="C28" s="1957" t="s">
        <v>2123</v>
      </c>
      <c r="D28" s="1867">
        <v>1950</v>
      </c>
      <c r="E28" s="1562">
        <f t="shared" si="2"/>
        <v>1950</v>
      </c>
      <c r="F28" s="1815">
        <f t="shared" si="3"/>
        <v>1950</v>
      </c>
      <c r="G28" s="1816">
        <f t="shared" si="4"/>
        <v>0</v>
      </c>
    </row>
    <row r="29" spans="1:8" x14ac:dyDescent="0.25">
      <c r="A29" s="1955" t="s">
        <v>2112</v>
      </c>
      <c r="B29" s="1956" t="s">
        <v>2127</v>
      </c>
      <c r="C29" s="1957" t="s">
        <v>2124</v>
      </c>
      <c r="D29" s="1867">
        <v>2856</v>
      </c>
      <c r="E29" s="1562">
        <f t="shared" si="2"/>
        <v>2856</v>
      </c>
      <c r="F29" s="1815">
        <f t="shared" si="3"/>
        <v>2856</v>
      </c>
      <c r="G29" s="1816">
        <f t="shared" si="4"/>
        <v>0</v>
      </c>
    </row>
    <row r="30" spans="1:8" x14ac:dyDescent="0.25">
      <c r="A30" s="1955" t="s">
        <v>2112</v>
      </c>
      <c r="B30" s="1956" t="s">
        <v>2127</v>
      </c>
      <c r="C30" s="1957" t="s">
        <v>2125</v>
      </c>
      <c r="D30" s="1867">
        <f>1860+700</f>
        <v>2560</v>
      </c>
      <c r="E30" s="1562">
        <f t="shared" si="2"/>
        <v>2560</v>
      </c>
      <c r="F30" s="1815">
        <f t="shared" si="3"/>
        <v>2560</v>
      </c>
      <c r="G30" s="1816">
        <f t="shared" si="4"/>
        <v>0</v>
      </c>
    </row>
    <row r="31" spans="1:8" x14ac:dyDescent="0.25">
      <c r="A31" s="1955" t="s">
        <v>2126</v>
      </c>
      <c r="B31" s="1956" t="s">
        <v>2128</v>
      </c>
      <c r="C31" s="1957" t="s">
        <v>2129</v>
      </c>
      <c r="D31" s="1867">
        <f>17359+27097+28406+26889+21687+22977+25508+23002+29105</f>
        <v>222030</v>
      </c>
      <c r="E31" s="1562">
        <f t="shared" si="2"/>
        <v>25000</v>
      </c>
      <c r="F31" s="1815">
        <f t="shared" si="3"/>
        <v>25000</v>
      </c>
      <c r="G31" s="1816">
        <f t="shared" si="4"/>
        <v>197030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356710</v>
      </c>
      <c r="E141" s="1563">
        <f t="shared" si="1"/>
        <v>25000</v>
      </c>
      <c r="F141" s="1817">
        <f>SUM(F17:F140)</f>
        <v>139743</v>
      </c>
      <c r="G141" s="1818">
        <f>SUM(G17:G140)</f>
        <v>216967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+'Revenues 9-14'!C201</f>
        <v>0</v>
      </c>
      <c r="F10" s="975"/>
      <c r="G10" s="976"/>
      <c r="H10" s="162"/>
      <c r="I10" s="162"/>
    </row>
    <row r="11" spans="1:9" s="669" customFormat="1" ht="22.5" customHeight="1" x14ac:dyDescent="0.2">
      <c r="A11" s="2304" t="s">
        <v>1944</v>
      </c>
      <c r="B11" s="2305"/>
      <c r="C11" s="2305"/>
      <c r="D11" s="2306"/>
      <c r="E11" s="978">
        <v>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6682016</v>
      </c>
      <c r="F19" s="1822"/>
      <c r="G19" s="1824">
        <f>'Expenditures 15-22'!K33-SUM('Expenditures 15-22'!G33,'Expenditures 15-22'!I33)+'Expenditures 15-22'!D229</f>
        <v>6682016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688891</v>
      </c>
      <c r="F21" s="1825"/>
      <c r="G21" s="1828">
        <f>'Expenditures 15-22'!K42-SUM('Expenditures 15-22'!G42,'Expenditures 15-22'!I42)+'Expenditures 15-22'!K120-SUM('Expenditures 15-22'!G120,'Expenditures 15-22'!I120)+'Expenditures 15-22'!K180-SUM('Expenditures 15-22'!G180,'Expenditures 15-22'!I180)+'Expenditures 15-22'!D238</f>
        <v>688891</v>
      </c>
      <c r="H21" s="988"/>
      <c r="I21" s="162"/>
    </row>
    <row r="22" spans="1:9" s="669" customFormat="1" ht="12" customHeight="1" x14ac:dyDescent="0.2">
      <c r="A22" s="995" t="s">
        <v>585</v>
      </c>
      <c r="B22" s="996"/>
      <c r="C22" s="994">
        <v>2200</v>
      </c>
      <c r="D22" s="1825"/>
      <c r="E22" s="1827">
        <f>'Expenditures 15-22'!K47-SUM('Expenditures 15-22'!G47,'Expenditures 15-22'!I47)+'Expenditures 15-22'!D243</f>
        <v>220369</v>
      </c>
      <c r="F22" s="1825"/>
      <c r="G22" s="1828">
        <f>'Expenditures 15-22'!K47-SUM('Expenditures 15-22'!G47,'Expenditures 15-22'!I47)+'Expenditures 15-22'!D243</f>
        <v>220369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653818</v>
      </c>
      <c r="F23" s="1825"/>
      <c r="G23" s="1827">
        <f>'Expenditures 15-22'!K53-SUM('Expenditures 15-22'!G53,'Expenditures 15-22'!I53)+'Expenditures 15-22'!D257+'Expenditures 15-22'!K330-SUM('Expenditures 15-22'!G330,'Expenditures 15-22'!I330)</f>
        <v>653818</v>
      </c>
      <c r="H23" s="988"/>
      <c r="I23" s="162"/>
    </row>
    <row r="24" spans="1:9" s="669" customFormat="1" ht="12" customHeight="1" x14ac:dyDescent="0.2">
      <c r="A24" s="995" t="s">
        <v>587</v>
      </c>
      <c r="B24" s="996"/>
      <c r="C24" s="994">
        <v>2400</v>
      </c>
      <c r="D24" s="1825"/>
      <c r="E24" s="1827">
        <f>'Expenditures 15-22'!K57-SUM('Expenditures 15-22'!G57,'Expenditures 15-22'!I57)+'Expenditures 15-22'!D261</f>
        <v>360869</v>
      </c>
      <c r="F24" s="1825"/>
      <c r="G24" s="1828">
        <f>'Expenditures 15-22'!K57-SUM('Expenditures 15-22'!G57,'Expenditures 15-22'!I57)+'Expenditures 15-22'!D261</f>
        <v>360869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72602</v>
      </c>
      <c r="E27" s="1827">
        <f>E8</f>
        <v>0</v>
      </c>
      <c r="F27" s="1827">
        <f>'Expenditures 15-22'!K60-SUM('Expenditures 15-22'!G60,'Expenditures 15-22'!I60)+'Expenditures 15-22'!D264-E8</f>
        <v>72602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1369361</v>
      </c>
      <c r="F28" s="1829">
        <f>'Expenditures 15-22'!K61-SUM('Expenditures 15-22'!G61,'Expenditures 15-22'!I61)+'Expenditures 15-22'!K124-SUM('Expenditures 15-22'!G124,'Expenditures 15-22'!I124)+'Expenditures 15-22'!D266-E9</f>
        <v>1369361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62632</v>
      </c>
      <c r="F29" s="1825"/>
      <c r="G29" s="1828">
        <f>'Expenditures 15-22'!K62-SUM('Expenditures 15-22'!G62,'Expenditures 15-22'!I62)+'Expenditures 15-22'!K125-SUM('Expenditures 15-22'!G125,'Expenditures 15-22'!I125)+'Expenditures 15-22'!K182-SUM('Expenditures 15-22'!G182,'Expenditures 15-22'!I182)+'Expenditures 15-22'!D267</f>
        <v>62632</v>
      </c>
      <c r="H29" s="986"/>
    </row>
    <row r="30" spans="1:9" ht="12" customHeight="1" x14ac:dyDescent="0.2">
      <c r="A30" s="995" t="s">
        <v>102</v>
      </c>
      <c r="B30" s="998"/>
      <c r="C30" s="994">
        <v>2560</v>
      </c>
      <c r="D30" s="1825"/>
      <c r="E30" s="1827">
        <f>'Expenditures 15-22'!K63-SUM('Expenditures 15-22'!G63,'Expenditures 15-22'!I63)+'Expenditures 15-22'!D268-E10</f>
        <v>239537</v>
      </c>
      <c r="F30" s="1825"/>
      <c r="G30" s="1827">
        <f>'Expenditures 15-22'!K63-SUM('Expenditures 15-22'!G63,'Expenditures 15-22'!I63)+'Expenditures 15-22'!D268-E10</f>
        <v>239537</v>
      </c>
    </row>
    <row r="31" spans="1:9" ht="12" customHeight="1" x14ac:dyDescent="0.2">
      <c r="A31" s="995" t="s">
        <v>103</v>
      </c>
      <c r="B31" s="998"/>
      <c r="C31" s="994">
        <v>2570</v>
      </c>
      <c r="D31" s="1827">
        <f>'Expenditures 15-22'!K64-SUM('Expenditures 15-22'!G64,'Expenditures 15-22'!I64)+'Expenditures 15-22'!D269-E12</f>
        <v>1074</v>
      </c>
      <c r="E31" s="1827">
        <f>E12</f>
        <v>0</v>
      </c>
      <c r="F31" s="1827">
        <f>'Expenditures 15-22'!K64-SUM('Expenditures 15-22'!G64,'Expenditures 15-22'!I64)+'Expenditures 15-22'!D269-E12</f>
        <v>1074</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34755</v>
      </c>
      <c r="F39" s="1825"/>
      <c r="G39" s="1827">
        <f>'Expenditures 15-22'!K75-SUM('Expenditures 15-22'!G75,'Expenditures 15-22'!I75)+'Expenditures 15-22'!K130-SUM('Expenditures 15-22'!G130,'Expenditures 15-22'!I130)+'Expenditures 15-22'!K185-SUM('Expenditures 15-22'!G185,'Expenditures 15-22'!I185)+'Expenditures 15-22'!D280</f>
        <v>34755</v>
      </c>
    </row>
    <row r="40" spans="1:7" ht="12" customHeight="1" x14ac:dyDescent="0.2">
      <c r="A40" s="991" t="s">
        <v>1930</v>
      </c>
      <c r="B40" s="992"/>
      <c r="C40" s="994"/>
      <c r="D40" s="1825"/>
      <c r="E40" s="1829">
        <f>-'Contracts Paid in CY 29'!G141</f>
        <v>-216967</v>
      </c>
      <c r="F40" s="1825"/>
      <c r="G40" s="1829">
        <f>-'Contracts Paid in CY 29'!G141</f>
        <v>-216967</v>
      </c>
    </row>
    <row r="41" spans="1:7" ht="12" customHeight="1" x14ac:dyDescent="0.2">
      <c r="A41" s="999" t="s">
        <v>158</v>
      </c>
      <c r="B41" s="1000"/>
      <c r="C41" s="1001"/>
      <c r="D41" s="1829">
        <f>SUM(D19:D39)</f>
        <v>73676</v>
      </c>
      <c r="E41" s="1829">
        <f>SUM(E19:E40)</f>
        <v>10095281</v>
      </c>
      <c r="F41" s="1829">
        <f>SUM(F19:F39)</f>
        <v>1443037</v>
      </c>
      <c r="G41" s="1829">
        <f>SUM(G19:G40)</f>
        <v>8725920</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73676</v>
      </c>
      <c r="F43" s="1830" t="s">
        <v>495</v>
      </c>
      <c r="G43" s="1831">
        <f>F41</f>
        <v>1443037</v>
      </c>
    </row>
    <row r="44" spans="1:7" ht="12" customHeight="1" x14ac:dyDescent="0.2">
      <c r="A44" s="988"/>
      <c r="B44" s="162"/>
      <c r="C44" s="1002"/>
      <c r="D44" s="1830" t="s">
        <v>494</v>
      </c>
      <c r="E44" s="1831">
        <f>E41</f>
        <v>10095281</v>
      </c>
      <c r="F44" s="1830" t="s">
        <v>494</v>
      </c>
      <c r="G44" s="1831">
        <f>G41</f>
        <v>8725920</v>
      </c>
    </row>
    <row r="45" spans="1:7" ht="12" customHeight="1" x14ac:dyDescent="0.2">
      <c r="A45" s="988"/>
      <c r="B45" s="162"/>
      <c r="C45" s="162"/>
      <c r="D45" s="1832" t="s">
        <v>1063</v>
      </c>
      <c r="E45" s="1833">
        <f>(E43/E44)</f>
        <v>7.2980633228535196E-3</v>
      </c>
      <c r="F45" s="1832" t="s">
        <v>1063</v>
      </c>
      <c r="G45" s="1833">
        <f>(G43/G44)</f>
        <v>0.16537362249482004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10" sqref="C10"/>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1" t="s">
        <v>1446</v>
      </c>
      <c r="B1" s="2321"/>
      <c r="C1" s="2321"/>
      <c r="D1" s="2321"/>
      <c r="E1" s="2321"/>
      <c r="F1" s="2321"/>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2" t="s">
        <v>1627</v>
      </c>
      <c r="B5" s="2323"/>
      <c r="C5" s="2324"/>
      <c r="D5" s="2324"/>
      <c r="E5" s="2324"/>
      <c r="F5" s="2324"/>
    </row>
    <row r="6" spans="1:10" ht="12" customHeight="1" x14ac:dyDescent="0.25">
      <c r="A6" s="1874"/>
      <c r="B6" s="1875"/>
      <c r="C6" s="2325" t="str">
        <f>COVER!A17</f>
        <v>Morris CHSD 101</v>
      </c>
      <c r="D6" s="2325"/>
      <c r="E6" s="2325"/>
      <c r="F6" s="1876"/>
    </row>
    <row r="7" spans="1:10" ht="11.25" customHeight="1" thickBot="1" x14ac:dyDescent="0.3">
      <c r="A7" s="1874"/>
      <c r="B7" s="1875"/>
      <c r="C7" s="2326">
        <f>COVER!A13</f>
        <v>24032101016</v>
      </c>
      <c r="D7" s="2326"/>
      <c r="E7" s="2326"/>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t="s">
        <v>2077</v>
      </c>
      <c r="D9" s="1881" t="s">
        <v>2077</v>
      </c>
      <c r="E9" s="1882" t="s">
        <v>2077</v>
      </c>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t="s">
        <v>2097</v>
      </c>
      <c r="D22" s="1889" t="s">
        <v>2097</v>
      </c>
      <c r="E22" s="1892"/>
      <c r="F22" s="1891" t="s">
        <v>2098</v>
      </c>
      <c r="H22" s="1902">
        <f t="shared" si="0"/>
        <v>5</v>
      </c>
      <c r="I22" s="1902">
        <f t="shared" si="1"/>
        <v>5</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2097</v>
      </c>
      <c r="D26" s="1889" t="s">
        <v>2097</v>
      </c>
      <c r="E26" s="1892"/>
      <c r="F26" s="1891" t="s">
        <v>2099</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2097</v>
      </c>
      <c r="D28" s="1889" t="s">
        <v>2097</v>
      </c>
      <c r="E28" s="1892"/>
      <c r="F28" s="1891" t="s">
        <v>2100</v>
      </c>
      <c r="H28" s="1902">
        <f t="shared" si="0"/>
        <v>5</v>
      </c>
      <c r="I28" s="1902">
        <f t="shared" si="1"/>
        <v>5</v>
      </c>
      <c r="J28" s="1902">
        <f t="shared" si="2"/>
        <v>0</v>
      </c>
    </row>
    <row r="29" spans="1:12" ht="12" customHeight="1" x14ac:dyDescent="0.2">
      <c r="A29" s="1887" t="s">
        <v>1618</v>
      </c>
      <c r="B29" s="1888"/>
      <c r="C29" s="1889" t="s">
        <v>2097</v>
      </c>
      <c r="D29" s="1889" t="s">
        <v>2097</v>
      </c>
      <c r="E29" s="1892"/>
      <c r="F29" s="1891" t="s">
        <v>2101</v>
      </c>
      <c r="H29" s="1902">
        <f t="shared" si="0"/>
        <v>5</v>
      </c>
      <c r="I29" s="1902">
        <f t="shared" si="1"/>
        <v>5</v>
      </c>
      <c r="J29" s="1902">
        <f t="shared" si="2"/>
        <v>0</v>
      </c>
    </row>
    <row r="30" spans="1:12" ht="12" customHeight="1" x14ac:dyDescent="0.2">
      <c r="A30" s="1887" t="s">
        <v>1619</v>
      </c>
      <c r="B30" s="1888"/>
      <c r="C30" s="1889" t="s">
        <v>2097</v>
      </c>
      <c r="D30" s="1889" t="s">
        <v>2097</v>
      </c>
      <c r="E30" s="1892"/>
      <c r="F30" s="1891" t="s">
        <v>2098</v>
      </c>
      <c r="H30" s="1902">
        <f t="shared" si="0"/>
        <v>5</v>
      </c>
      <c r="I30" s="1902">
        <f t="shared" si="1"/>
        <v>5</v>
      </c>
      <c r="J30" s="1902">
        <f t="shared" si="2"/>
        <v>0</v>
      </c>
    </row>
    <row r="31" spans="1:12" ht="12" customHeight="1" x14ac:dyDescent="0.2">
      <c r="A31" s="1887" t="s">
        <v>1620</v>
      </c>
      <c r="B31" s="1888"/>
      <c r="C31" s="1889" t="s">
        <v>2097</v>
      </c>
      <c r="D31" s="1889" t="s">
        <v>2097</v>
      </c>
      <c r="E31" s="1892"/>
      <c r="F31" s="1891" t="s">
        <v>2102</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t="s">
        <v>2097</v>
      </c>
      <c r="E33" s="1892"/>
      <c r="F33" s="1891" t="s">
        <v>2103</v>
      </c>
      <c r="H33" s="1902">
        <f t="shared" si="0"/>
        <v>0</v>
      </c>
      <c r="I33" s="1902">
        <f t="shared" si="1"/>
        <v>5</v>
      </c>
      <c r="J33" s="1902">
        <f t="shared" si="2"/>
        <v>0</v>
      </c>
    </row>
    <row r="34" spans="1:11" ht="12" customHeight="1" x14ac:dyDescent="0.25">
      <c r="A34" s="1894"/>
      <c r="B34" s="1894"/>
      <c r="C34" s="1894"/>
      <c r="D34" s="1894"/>
      <c r="E34" s="1894"/>
      <c r="F34" s="1894"/>
      <c r="H34" s="1902">
        <f>SUM(H11:H32)</f>
        <v>30</v>
      </c>
      <c r="I34" s="1902">
        <f>SUM(I11:I32)</f>
        <v>30</v>
      </c>
      <c r="J34" s="1902">
        <f>SUM(J11:J32)</f>
        <v>0</v>
      </c>
      <c r="K34" s="1902">
        <f>SUM(H34:J34)</f>
        <v>60</v>
      </c>
    </row>
    <row r="35" spans="1:11" ht="12" customHeight="1" x14ac:dyDescent="0.2">
      <c r="A35" s="1895" t="s">
        <v>1459</v>
      </c>
      <c r="B35" s="1896"/>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7"/>
      <c r="B39" s="1897"/>
      <c r="C39" s="1897"/>
      <c r="D39" s="1897"/>
      <c r="E39" s="1897"/>
      <c r="F39" s="1897"/>
    </row>
    <row r="40" spans="1:11" s="1894" customFormat="1" ht="12" customHeight="1" x14ac:dyDescent="0.25">
      <c r="A40" s="1898" t="s">
        <v>1458</v>
      </c>
      <c r="B40" s="1899"/>
      <c r="C40" s="2316"/>
      <c r="D40" s="2316"/>
      <c r="E40" s="2316"/>
      <c r="F40" s="2317"/>
      <c r="H40" s="1903"/>
      <c r="I40" s="1903"/>
      <c r="J40" s="1903"/>
      <c r="K40" s="1903"/>
    </row>
    <row r="41" spans="1:11" s="1894" customFormat="1" ht="12" customHeight="1" x14ac:dyDescent="0.25">
      <c r="A41" s="2318"/>
      <c r="B41" s="2319"/>
      <c r="C41" s="2319"/>
      <c r="D41" s="2319"/>
      <c r="E41" s="2319"/>
      <c r="F41" s="2320"/>
      <c r="H41" s="1903"/>
      <c r="I41" s="1903"/>
      <c r="J41" s="1903"/>
      <c r="K41" s="1903"/>
    </row>
    <row r="42" spans="1:11" s="1894" customFormat="1" ht="12" customHeight="1" x14ac:dyDescent="0.25">
      <c r="A42" s="2318"/>
      <c r="B42" s="2319"/>
      <c r="C42" s="2319"/>
      <c r="D42" s="2319"/>
      <c r="E42" s="2319"/>
      <c r="F42" s="2320"/>
      <c r="H42" s="1903"/>
      <c r="I42" s="1903"/>
      <c r="J42" s="1903"/>
      <c r="K42" s="1903"/>
    </row>
    <row r="43" spans="1:11" s="1894" customFormat="1" ht="15" x14ac:dyDescent="0.25">
      <c r="A43" s="2307"/>
      <c r="B43" s="2308"/>
      <c r="C43" s="2308"/>
      <c r="D43" s="2308"/>
      <c r="E43" s="2308"/>
      <c r="F43" s="2309"/>
      <c r="H43" s="1903"/>
      <c r="I43" s="1903"/>
      <c r="J43" s="1903"/>
      <c r="K43" s="1903"/>
    </row>
    <row r="44" spans="1:11" s="1894" customFormat="1" ht="12" hidden="1" customHeight="1" x14ac:dyDescent="0.25">
      <c r="A44" s="2307"/>
      <c r="B44" s="2308"/>
      <c r="C44" s="2308"/>
      <c r="D44" s="2308"/>
      <c r="E44" s="2308"/>
      <c r="F44" s="230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Morris CHSD 101</v>
      </c>
      <c r="J6" s="2335"/>
      <c r="Q6" s="1686"/>
    </row>
    <row r="7" spans="1:17" x14ac:dyDescent="0.2">
      <c r="A7" s="2336" t="s">
        <v>924</v>
      </c>
      <c r="B7" s="2337"/>
      <c r="C7" s="2337"/>
      <c r="D7" s="2337"/>
      <c r="E7" s="2338"/>
      <c r="F7" s="1018"/>
      <c r="G7" s="1010"/>
      <c r="H7" s="1017" t="s">
        <v>390</v>
      </c>
      <c r="I7" s="2339">
        <f>COVER!A13</f>
        <v>24032101016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150322</v>
      </c>
      <c r="F12" s="1040"/>
      <c r="G12" s="1834">
        <f t="shared" ref="G12:G18" si="0">SUM(E12:F12)</f>
        <v>150322</v>
      </c>
      <c r="H12" s="1041">
        <v>121800</v>
      </c>
      <c r="I12" s="1040"/>
      <c r="J12" s="1834">
        <f t="shared" ref="J12:J18" si="1">SUM(H12:I12)</f>
        <v>121800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1074</v>
      </c>
      <c r="F16" s="1040"/>
      <c r="G16" s="1834">
        <f t="shared" si="0"/>
        <v>1074</v>
      </c>
      <c r="H16" s="1041">
        <v>1200</v>
      </c>
      <c r="I16" s="1040"/>
      <c r="J16" s="1834">
        <f t="shared" si="1"/>
        <v>1200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151396</v>
      </c>
      <c r="F19" s="1836">
        <f t="shared" si="2"/>
        <v>0</v>
      </c>
      <c r="G19" s="1836">
        <f t="shared" si="2"/>
        <v>151396</v>
      </c>
      <c r="H19" s="1836">
        <f t="shared" si="2"/>
        <v>123000</v>
      </c>
      <c r="I19" s="1836">
        <f t="shared" si="2"/>
        <v>0</v>
      </c>
      <c r="J19" s="1836">
        <f t="shared" si="2"/>
        <v>123000</v>
      </c>
    </row>
    <row r="20" spans="1:10" ht="13.5" thickTop="1" x14ac:dyDescent="0.2">
      <c r="A20" s="1036">
        <v>9</v>
      </c>
      <c r="B20" s="2346" t="s">
        <v>1703</v>
      </c>
      <c r="C20" s="2346"/>
      <c r="D20" s="2347"/>
      <c r="E20" s="1047"/>
      <c r="F20" s="1047"/>
      <c r="G20" s="1047"/>
      <c r="H20" s="1047"/>
      <c r="I20" s="1047"/>
      <c r="J20" s="1837">
        <f>IF(AND(G19&gt;0,J19&gt;0),(((J19-G19)/G19)),"Enter Budget Data")</f>
        <v>-0.18756109804750457</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2104</v>
      </c>
    </row>
    <row r="6" spans="1:2" x14ac:dyDescent="0.2">
      <c r="A6" s="1069">
        <v>2</v>
      </c>
      <c r="B6" s="329" t="s">
        <v>2105</v>
      </c>
    </row>
    <row r="7" spans="1:2" x14ac:dyDescent="0.2">
      <c r="A7" s="1069">
        <v>3</v>
      </c>
      <c r="B7" s="329" t="s">
        <v>2106</v>
      </c>
    </row>
    <row r="8" spans="1:2" x14ac:dyDescent="0.2">
      <c r="A8" s="1069">
        <v>4</v>
      </c>
      <c r="B8" s="329" t="s">
        <v>2132</v>
      </c>
    </row>
    <row r="9" spans="1:2" x14ac:dyDescent="0.2">
      <c r="A9" s="1069">
        <v>5</v>
      </c>
      <c r="B9" s="329" t="s">
        <v>2130</v>
      </c>
    </row>
    <row r="10" spans="1:2" x14ac:dyDescent="0.2">
      <c r="A10" s="1069">
        <v>6</v>
      </c>
      <c r="B10" s="329" t="s">
        <v>2131</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Morris CHSD 101</v>
      </c>
    </row>
    <row r="65" spans="2:2" x14ac:dyDescent="0.2">
      <c r="B65" s="1071">
        <f>COVER!A13</f>
        <v>24032101016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8</xdr:row>
                <xdr:rowOff>0</xdr:rowOff>
              </from>
              <to>
                <xdr:col>1</xdr:col>
                <xdr:colOff>790575</xdr:colOff>
                <xdr:row>12</xdr:row>
                <xdr:rowOff>38100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8928386</v>
      </c>
      <c r="C8" s="1838">
        <f>'Acct Summary 7-8'!D8</f>
        <v>1627235</v>
      </c>
      <c r="D8" s="1838">
        <f>'Acct Summary 7-8'!F8</f>
        <v>765906</v>
      </c>
      <c r="E8" s="1838">
        <f>'Acct Summary 7-8'!I8</f>
        <v>211126</v>
      </c>
      <c r="F8" s="1838">
        <f>SUM(B8:E8)</f>
        <v>11532653</v>
      </c>
    </row>
    <row r="9" spans="1:8" s="1080" customFormat="1" ht="14.25" customHeight="1" thickBot="1" x14ac:dyDescent="0.25">
      <c r="A9" s="1079" t="s">
        <v>1436</v>
      </c>
      <c r="B9" s="1839">
        <f>'Acct Summary 7-8'!C17</f>
        <v>10665419</v>
      </c>
      <c r="C9" s="1839">
        <f>'Acct Summary 7-8'!D17</f>
        <v>1743084</v>
      </c>
      <c r="D9" s="1839">
        <f>'Acct Summary 7-8'!F17</f>
        <v>652261</v>
      </c>
      <c r="E9" s="1838"/>
      <c r="F9" s="1838">
        <f>SUM(B9:E9)</f>
        <v>13060764</v>
      </c>
    </row>
    <row r="10" spans="1:8" s="1080" customFormat="1" ht="14.25" thickTop="1" thickBot="1" x14ac:dyDescent="0.25">
      <c r="A10" s="1081" t="s">
        <v>1437</v>
      </c>
      <c r="B10" s="1840">
        <f>(B8-B9)</f>
        <v>-1737033</v>
      </c>
      <c r="C10" s="1840">
        <f>(C8-C9)</f>
        <v>-115849</v>
      </c>
      <c r="D10" s="1840">
        <f>(D8-D9)</f>
        <v>113645</v>
      </c>
      <c r="E10" s="1839">
        <f>(E8-E9)</f>
        <v>211126</v>
      </c>
      <c r="F10" s="1841">
        <f>SUM(F8-F9)</f>
        <v>-1528111</v>
      </c>
    </row>
    <row r="11" spans="1:8" s="1080" customFormat="1" ht="14.25" thickTop="1" thickBot="1" x14ac:dyDescent="0.25">
      <c r="A11" s="1082" t="s">
        <v>1785</v>
      </c>
      <c r="B11" s="1842">
        <f>'Acct Summary 7-8'!C81</f>
        <v>1628569</v>
      </c>
      <c r="C11" s="1842">
        <f>'Acct Summary 7-8'!D81</f>
        <v>281925</v>
      </c>
      <c r="D11" s="1842">
        <f>'Acct Summary 7-8'!F81</f>
        <v>270806</v>
      </c>
      <c r="E11" s="1842">
        <f>'Acct Summary 7-8'!I81</f>
        <v>10404</v>
      </c>
      <c r="F11" s="1843">
        <f>SUM(B11:E11)</f>
        <v>2191704</v>
      </c>
    </row>
    <row r="12" spans="1:8" ht="16.5" customHeight="1" thickTop="1" x14ac:dyDescent="0.2">
      <c r="A12" s="1083"/>
      <c r="B12" s="1084"/>
      <c r="C12" s="2358"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24032101016</v>
      </c>
    </row>
    <row r="3" spans="1:2" x14ac:dyDescent="0.2">
      <c r="A3" t="s">
        <v>1013</v>
      </c>
      <c r="B3" s="138" t="str">
        <f>COVER!A15</f>
        <v>GRUNDY</v>
      </c>
    </row>
    <row r="4" spans="1:2" x14ac:dyDescent="0.2">
      <c r="A4" t="s">
        <v>1064</v>
      </c>
      <c r="B4" s="138" t="str">
        <f>COVER!A17</f>
        <v>Morris CHSD 101</v>
      </c>
    </row>
    <row r="5" spans="1:2" x14ac:dyDescent="0.2">
      <c r="A5" t="s">
        <v>728</v>
      </c>
      <c r="B5" s="138" t="str">
        <f>COVER!A38</f>
        <v>DR. JOSEPH WALDRON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1187084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1661062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32493</v>
      </c>
      <c r="C91" s="2" t="s">
        <v>594</v>
      </c>
      <c r="D91" s="2" t="str">
        <f t="shared" si="0"/>
        <v>Error?</v>
      </c>
    </row>
    <row r="92" spans="1:4" x14ac:dyDescent="0.2">
      <c r="A92" s="5">
        <v>31</v>
      </c>
      <c r="B92" s="138">
        <f>'Assets-Liab 5-6'!C39</f>
        <v>858835</v>
      </c>
      <c r="D92" s="2" t="str">
        <f t="shared" si="0"/>
        <v>Error?</v>
      </c>
    </row>
    <row r="93" spans="1:4" x14ac:dyDescent="0.2">
      <c r="A93" s="5">
        <v>32</v>
      </c>
      <c r="B93" s="138">
        <f>'Assets-Liab 5-6'!C41</f>
        <v>1661062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281925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281925</v>
      </c>
      <c r="D123" s="2" t="str">
        <f t="shared" si="0"/>
        <v>Error?</v>
      </c>
    </row>
    <row r="124" spans="1:4" x14ac:dyDescent="0.2">
      <c r="A124" s="5">
        <v>63</v>
      </c>
      <c r="B124" s="138">
        <f>'Assets-Liab 5-6'!D41</f>
        <v>281925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4088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4088</v>
      </c>
      <c r="D140" s="2" t="str">
        <f t="shared" si="1"/>
        <v>Error?</v>
      </c>
    </row>
    <row r="141" spans="1:4" x14ac:dyDescent="0.2">
      <c r="A141" s="5">
        <v>80</v>
      </c>
      <c r="B141" s="138">
        <f>'Assets-Liab 5-6'!E41</f>
        <v>4088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243003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270806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270806</v>
      </c>
      <c r="D170" s="2" t="str">
        <f t="shared" si="1"/>
        <v>Error?</v>
      </c>
    </row>
    <row r="171" spans="1:4" x14ac:dyDescent="0.2">
      <c r="A171" s="5">
        <v>110</v>
      </c>
      <c r="B171" s="138">
        <f>'Assets-Liab 5-6'!F41</f>
        <v>270806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276988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289010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243736</v>
      </c>
      <c r="D189" s="2" t="str">
        <f t="shared" si="1"/>
        <v>Error?</v>
      </c>
    </row>
    <row r="190" spans="1:4" x14ac:dyDescent="0.2">
      <c r="A190" s="5">
        <v>129</v>
      </c>
      <c r="B190" s="138">
        <f>'Assets-Liab 5-6'!G41</f>
        <v>289010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1553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1553</v>
      </c>
      <c r="D212" s="2" t="str">
        <f t="shared" si="2"/>
        <v>Error?</v>
      </c>
    </row>
    <row r="213" spans="1:4" x14ac:dyDescent="0.2">
      <c r="A213" s="12">
        <v>152</v>
      </c>
      <c r="B213" s="138">
        <f>'Assets-Liab 5-6'!H41</f>
        <v>1553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62042</v>
      </c>
      <c r="D273" s="2" t="str">
        <f t="shared" si="3"/>
        <v>Error?</v>
      </c>
    </row>
    <row r="274" spans="1:4" x14ac:dyDescent="0.2">
      <c r="A274" s="5">
        <v>213</v>
      </c>
      <c r="B274" s="138">
        <f>'Assets-Liab 5-6'!M17</f>
        <v>8058404</v>
      </c>
      <c r="D274" s="2" t="str">
        <f t="shared" si="3"/>
        <v>Error?</v>
      </c>
    </row>
    <row r="275" spans="1:4" x14ac:dyDescent="0.2">
      <c r="A275" s="5">
        <v>214</v>
      </c>
      <c r="B275" s="138">
        <f>'Assets-Liab 5-6'!M18</f>
        <v>253258</v>
      </c>
      <c r="D275" s="2" t="str">
        <f t="shared" si="3"/>
        <v>Error?</v>
      </c>
    </row>
    <row r="276" spans="1:4" x14ac:dyDescent="0.2">
      <c r="A276" s="5">
        <v>215</v>
      </c>
      <c r="B276" s="138">
        <f>'Assets-Liab 5-6'!M19</f>
        <v>329689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8796403</v>
      </c>
      <c r="C279" s="2" t="s">
        <v>594</v>
      </c>
      <c r="D279" s="2" t="str">
        <f t="shared" si="3"/>
        <v>Error?</v>
      </c>
    </row>
    <row r="280" spans="1:4" x14ac:dyDescent="0.2">
      <c r="A280" s="5">
        <v>219</v>
      </c>
      <c r="B280" s="138">
        <f>'Assets-Liab 5-6'!M40</f>
        <v>8796403</v>
      </c>
      <c r="D280" s="2" t="str">
        <f t="shared" si="3"/>
        <v>Error?</v>
      </c>
    </row>
    <row r="281" spans="1:4" x14ac:dyDescent="0.2">
      <c r="A281" s="5">
        <v>220</v>
      </c>
      <c r="B281" s="138">
        <f>'Assets-Liab 5-6'!M41</f>
        <v>8796403</v>
      </c>
      <c r="C281" s="2" t="s">
        <v>594</v>
      </c>
      <c r="D281" s="2" t="str">
        <f t="shared" si="3"/>
        <v>Error?</v>
      </c>
    </row>
    <row r="282" spans="1:4" x14ac:dyDescent="0.2">
      <c r="A282" s="5">
        <v>221</v>
      </c>
      <c r="B282" s="138">
        <f>'Assets-Liab 5-6'!N21</f>
        <v>4088</v>
      </c>
      <c r="D282" s="2" t="str">
        <f t="shared" si="3"/>
        <v>Error?</v>
      </c>
    </row>
    <row r="283" spans="1:4" x14ac:dyDescent="0.2">
      <c r="A283" s="5">
        <v>222</v>
      </c>
      <c r="B283" s="138">
        <f>'Assets-Liab 5-6'!N22</f>
        <v>5475912</v>
      </c>
      <c r="D283" s="2" t="str">
        <f t="shared" si="3"/>
        <v>Error?</v>
      </c>
    </row>
    <row r="284" spans="1:4" x14ac:dyDescent="0.2">
      <c r="A284" s="5">
        <v>223</v>
      </c>
      <c r="B284" s="138">
        <f>'Assets-Liab 5-6'!N23</f>
        <v>5480000</v>
      </c>
      <c r="C284" s="2" t="s">
        <v>594</v>
      </c>
      <c r="D284" s="2" t="str">
        <f t="shared" si="3"/>
        <v>Error?</v>
      </c>
    </row>
    <row r="285" spans="1:4" x14ac:dyDescent="0.2">
      <c r="A285" s="5">
        <v>224</v>
      </c>
      <c r="B285" s="138">
        <f>'Assets-Liab 5-6'!N36</f>
        <v>5480000</v>
      </c>
      <c r="D285" s="2" t="str">
        <f t="shared" si="3"/>
        <v>Error?</v>
      </c>
    </row>
    <row r="286" spans="1:4" x14ac:dyDescent="0.2">
      <c r="A286" s="10">
        <v>225</v>
      </c>
      <c r="D286" s="2" t="str">
        <f t="shared" si="3"/>
        <v>OK</v>
      </c>
    </row>
    <row r="287" spans="1:4" x14ac:dyDescent="0.2">
      <c r="A287" s="5">
        <v>226</v>
      </c>
      <c r="B287" s="138">
        <f>'Assets-Liab 5-6'!N37</f>
        <v>5480000</v>
      </c>
      <c r="C287" s="2" t="s">
        <v>594</v>
      </c>
      <c r="D287" s="2" t="str">
        <f t="shared" si="3"/>
        <v>Error?</v>
      </c>
    </row>
    <row r="288" spans="1:4" x14ac:dyDescent="0.2">
      <c r="A288" s="5">
        <v>227</v>
      </c>
      <c r="B288" s="138">
        <f>'Assets-Liab 5-6'!N41</f>
        <v>5480000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1695000</v>
      </c>
      <c r="D651" s="2" t="str">
        <f t="shared" si="9"/>
        <v>Error?</v>
      </c>
    </row>
    <row r="652" spans="1:4" x14ac:dyDescent="0.2">
      <c r="A652" s="5">
        <v>591</v>
      </c>
      <c r="B652" s="138">
        <f>'Acct Summary 7-8'!I34</f>
        <v>57037</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2479005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53812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260607</v>
      </c>
      <c r="D717" s="2" t="str">
        <f t="shared" si="10"/>
        <v>Error?</v>
      </c>
    </row>
    <row r="718" spans="1:4" x14ac:dyDescent="0.2">
      <c r="A718" s="5">
        <v>657</v>
      </c>
      <c r="B718" s="138">
        <f>'Expenditures 15-22'!C14</f>
        <v>436521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3687582</v>
      </c>
      <c r="C720" s="2" t="s">
        <v>594</v>
      </c>
      <c r="D720" s="2" t="str">
        <f t="shared" si="10"/>
        <v>Error?</v>
      </c>
    </row>
    <row r="721" spans="1:4" x14ac:dyDescent="0.2">
      <c r="A721" s="5">
        <v>660</v>
      </c>
      <c r="B721" s="138">
        <f>'Expenditures 15-22'!C36</f>
        <v>6660</v>
      </c>
      <c r="D721" s="2" t="str">
        <f t="shared" si="10"/>
        <v>Error?</v>
      </c>
    </row>
    <row r="722" spans="1:4" x14ac:dyDescent="0.2">
      <c r="A722" s="5">
        <v>661</v>
      </c>
      <c r="B722" s="138">
        <f>'Expenditures 15-22'!C37</f>
        <v>401049</v>
      </c>
      <c r="D722" s="2" t="str">
        <f t="shared" si="10"/>
        <v>Error?</v>
      </c>
    </row>
    <row r="723" spans="1:4" x14ac:dyDescent="0.2">
      <c r="A723" s="5">
        <v>662</v>
      </c>
      <c r="B723" s="138">
        <f>'Expenditures 15-22'!C38</f>
        <v>78370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486079</v>
      </c>
      <c r="C727" s="2" t="s">
        <v>594</v>
      </c>
      <c r="D727" s="2" t="str">
        <f t="shared" si="10"/>
        <v>Error?</v>
      </c>
    </row>
    <row r="728" spans="1:4" x14ac:dyDescent="0.2">
      <c r="A728" s="5">
        <v>667</v>
      </c>
      <c r="B728" s="138">
        <f>'Expenditures 15-22'!C44</f>
        <v>13054</v>
      </c>
      <c r="D728" s="2" t="str">
        <f t="shared" si="10"/>
        <v>Error?</v>
      </c>
    </row>
    <row r="729" spans="1:4" x14ac:dyDescent="0.2">
      <c r="A729" s="5">
        <v>668</v>
      </c>
      <c r="B729" s="138">
        <f>'Expenditures 15-22'!C45</f>
        <v>111840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124894</v>
      </c>
      <c r="C731" s="2" t="s">
        <v>594</v>
      </c>
      <c r="D731" s="2" t="str">
        <f t="shared" si="10"/>
        <v>Error?</v>
      </c>
    </row>
    <row r="732" spans="1:4" x14ac:dyDescent="0.2">
      <c r="A732" s="5">
        <v>671</v>
      </c>
      <c r="B732" s="138">
        <f>'Expenditures 15-22'!C49</f>
        <v>60470</v>
      </c>
      <c r="D732" s="2" t="str">
        <f t="shared" si="10"/>
        <v>Error?</v>
      </c>
    </row>
    <row r="733" spans="1:4" x14ac:dyDescent="0.2">
      <c r="A733" s="5">
        <v>672</v>
      </c>
      <c r="B733" s="138">
        <f>'Expenditures 15-22'!C50</f>
        <v>109906</v>
      </c>
      <c r="D733" s="2" t="str">
        <f t="shared" si="10"/>
        <v>Error?</v>
      </c>
    </row>
    <row r="734" spans="1:4" x14ac:dyDescent="0.2">
      <c r="A734" s="5">
        <v>673</v>
      </c>
      <c r="B734" s="138">
        <f>'Expenditures 15-22'!C53</f>
        <v>180370</v>
      </c>
      <c r="C734" s="2" t="s">
        <v>594</v>
      </c>
      <c r="D734" s="2" t="str">
        <f t="shared" si="10"/>
        <v>Error?</v>
      </c>
    </row>
    <row r="735" spans="1:4" x14ac:dyDescent="0.2">
      <c r="A735" s="5">
        <v>674</v>
      </c>
      <c r="B735" s="138">
        <f>'Expenditures 15-22'!C55</f>
        <v>222538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222538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40708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15225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55933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1069814</v>
      </c>
      <c r="C755" s="2" t="s">
        <v>594</v>
      </c>
      <c r="D755" s="2" t="str">
        <f t="shared" si="10"/>
        <v>Error?</v>
      </c>
    </row>
    <row r="756" spans="1:4" x14ac:dyDescent="0.2">
      <c r="A756" s="5">
        <v>695</v>
      </c>
      <c r="B756" s="138">
        <f>'Expenditures 15-22'!C75</f>
        <v>24591</v>
      </c>
      <c r="D756" s="2" t="str">
        <f t="shared" si="10"/>
        <v>Error?</v>
      </c>
    </row>
    <row r="757" spans="1:4" x14ac:dyDescent="0.2">
      <c r="A757" s="5">
        <v>696</v>
      </c>
      <c r="B757" s="138">
        <f>'Expenditures 15-22'!C114</f>
        <v>4781987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860853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22828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95051</v>
      </c>
      <c r="D775" s="2" t="str">
        <f t="shared" si="11"/>
        <v>Error?</v>
      </c>
    </row>
    <row r="776" spans="1:4" x14ac:dyDescent="0.2">
      <c r="A776" s="5">
        <v>715</v>
      </c>
      <c r="B776" s="138">
        <f>'Expenditures 15-22'!D14</f>
        <v>71267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1244487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139397</v>
      </c>
      <c r="D780" s="2" t="str">
        <f t="shared" si="11"/>
        <v>Error?</v>
      </c>
    </row>
    <row r="781" spans="1:4" x14ac:dyDescent="0.2">
      <c r="A781" s="5">
        <v>720</v>
      </c>
      <c r="B781" s="138">
        <f>'Expenditures 15-22'!D38</f>
        <v>25885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165282</v>
      </c>
      <c r="C785" s="2" t="s">
        <v>594</v>
      </c>
      <c r="D785" s="2" t="str">
        <f t="shared" si="11"/>
        <v>Error?</v>
      </c>
    </row>
    <row r="786" spans="1:4" x14ac:dyDescent="0.2">
      <c r="A786" s="5">
        <v>725</v>
      </c>
      <c r="B786" s="138">
        <f>'Expenditures 15-22'!D44</f>
        <v>86</v>
      </c>
      <c r="D786" s="2" t="str">
        <f t="shared" si="11"/>
        <v>Error?</v>
      </c>
    </row>
    <row r="787" spans="1:4" x14ac:dyDescent="0.2">
      <c r="A787" s="5">
        <v>726</v>
      </c>
      <c r="B787" s="138">
        <f>'Expenditures 15-22'!D45</f>
        <v>30072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30158</v>
      </c>
      <c r="C789" s="2" t="s">
        <v>594</v>
      </c>
      <c r="D789" s="2" t="str">
        <f t="shared" si="11"/>
        <v>Error?</v>
      </c>
    </row>
    <row r="790" spans="1:4" x14ac:dyDescent="0.2">
      <c r="A790" s="5">
        <v>729</v>
      </c>
      <c r="B790" s="138">
        <f>'Expenditures 15-22'!D49</f>
        <v>15843</v>
      </c>
      <c r="D790" s="2" t="str">
        <f t="shared" si="11"/>
        <v>Error?</v>
      </c>
    </row>
    <row r="791" spans="1:4" x14ac:dyDescent="0.2">
      <c r="A791" s="5">
        <v>730</v>
      </c>
      <c r="B791" s="138">
        <f>'Expenditures 15-22'!D50</f>
        <v>35622</v>
      </c>
      <c r="D791" s="2" t="str">
        <f t="shared" si="11"/>
        <v>Error?</v>
      </c>
    </row>
    <row r="792" spans="1:4" x14ac:dyDescent="0.2">
      <c r="A792" s="5">
        <v>731</v>
      </c>
      <c r="B792" s="138">
        <f>'Expenditures 15-22'!D53</f>
        <v>55561</v>
      </c>
      <c r="C792" s="2" t="s">
        <v>594</v>
      </c>
      <c r="D792" s="2" t="str">
        <f t="shared" si="11"/>
        <v>Error?</v>
      </c>
    </row>
    <row r="793" spans="1:4" x14ac:dyDescent="0.2">
      <c r="A793" s="5">
        <v>732</v>
      </c>
      <c r="B793" s="138">
        <f>'Expenditures 15-22'!D55</f>
        <v>70489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70489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15100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15100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336590</v>
      </c>
      <c r="C813" s="2" t="s">
        <v>594</v>
      </c>
      <c r="D813" s="2" t="str">
        <f t="shared" si="11"/>
        <v>Error?</v>
      </c>
    </row>
    <row r="814" spans="1:4" x14ac:dyDescent="0.2">
      <c r="A814" s="5">
        <v>753</v>
      </c>
      <c r="B814" s="138">
        <f>'Expenditures 15-22'!D75</f>
        <v>2013</v>
      </c>
      <c r="D814" s="2" t="str">
        <f t="shared" si="11"/>
        <v>Error?</v>
      </c>
    </row>
    <row r="815" spans="1:4" x14ac:dyDescent="0.2">
      <c r="A815" s="5">
        <v>754</v>
      </c>
      <c r="B815" s="138">
        <f>'Expenditures 15-22'!D114</f>
        <v>1583090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171503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446915</v>
      </c>
      <c r="D833" s="2" t="str">
        <f t="shared" si="12"/>
        <v>Error?</v>
      </c>
    </row>
    <row r="834" spans="1:4" x14ac:dyDescent="0.2">
      <c r="A834" s="5">
        <v>773</v>
      </c>
      <c r="B834" s="138">
        <f>'Expenditures 15-22'!E14</f>
        <v>105872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1479979</v>
      </c>
      <c r="C836" s="2" t="s">
        <v>594</v>
      </c>
      <c r="D836" s="2" t="str">
        <f t="shared" si="12"/>
        <v>Error?</v>
      </c>
    </row>
    <row r="837" spans="1:4" x14ac:dyDescent="0.2">
      <c r="A837" s="5">
        <v>776</v>
      </c>
      <c r="B837" s="138">
        <f>'Expenditures 15-22'!E36</f>
        <v>1250</v>
      </c>
      <c r="D837" s="2" t="str">
        <f t="shared" si="12"/>
        <v>Error?</v>
      </c>
    </row>
    <row r="838" spans="1:4" x14ac:dyDescent="0.2">
      <c r="A838" s="5">
        <v>777</v>
      </c>
      <c r="B838" s="138">
        <f>'Expenditures 15-22'!E37</f>
        <v>19134</v>
      </c>
      <c r="D838" s="2" t="str">
        <f t="shared" si="12"/>
        <v>Error?</v>
      </c>
    </row>
    <row r="839" spans="1:4" x14ac:dyDescent="0.2">
      <c r="A839" s="5">
        <v>778</v>
      </c>
      <c r="B839" s="138">
        <f>'Expenditures 15-22'!E38</f>
        <v>135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20519</v>
      </c>
      <c r="C843" s="2" t="s">
        <v>594</v>
      </c>
      <c r="D843" s="2" t="str">
        <f t="shared" si="12"/>
        <v>Error?</v>
      </c>
    </row>
    <row r="844" spans="1:4" x14ac:dyDescent="0.2">
      <c r="A844" s="5">
        <v>783</v>
      </c>
      <c r="B844" s="138">
        <f>'Expenditures 15-22'!E44</f>
        <v>2738</v>
      </c>
      <c r="D844" s="2" t="str">
        <f t="shared" si="12"/>
        <v>Error?</v>
      </c>
    </row>
    <row r="845" spans="1:4" x14ac:dyDescent="0.2">
      <c r="A845" s="5">
        <v>784</v>
      </c>
      <c r="B845" s="138">
        <f>'Expenditures 15-22'!E45</f>
        <v>31168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33906</v>
      </c>
      <c r="C847" s="2" t="s">
        <v>594</v>
      </c>
      <c r="D847" s="2" t="str">
        <f t="shared" si="12"/>
        <v>Error?</v>
      </c>
    </row>
    <row r="848" spans="1:4" x14ac:dyDescent="0.2">
      <c r="A848" s="5">
        <v>787</v>
      </c>
      <c r="B848" s="138">
        <f>'Expenditures 15-22'!E49</f>
        <v>55508</v>
      </c>
      <c r="D848" s="2" t="str">
        <f t="shared" si="12"/>
        <v>Error?</v>
      </c>
    </row>
    <row r="849" spans="1:4" x14ac:dyDescent="0.2">
      <c r="A849" s="5">
        <v>788</v>
      </c>
      <c r="B849" s="138">
        <f>'Expenditures 15-22'!E50</f>
        <v>1693</v>
      </c>
      <c r="D849" s="2" t="str">
        <f t="shared" si="12"/>
        <v>Error?</v>
      </c>
    </row>
    <row r="850" spans="1:4" x14ac:dyDescent="0.2">
      <c r="A850" s="5">
        <v>789</v>
      </c>
      <c r="B850" s="138">
        <f>'Expenditures 15-22'!E53</f>
        <v>57201</v>
      </c>
      <c r="C850" s="2" t="s">
        <v>594</v>
      </c>
      <c r="D850" s="2" t="str">
        <f t="shared" si="12"/>
        <v>Error?</v>
      </c>
    </row>
    <row r="851" spans="1:4" x14ac:dyDescent="0.2">
      <c r="A851" s="5">
        <v>790</v>
      </c>
      <c r="B851" s="138">
        <f>'Expenditures 15-22'!E55</f>
        <v>17507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17507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5288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222031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227319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356452</v>
      </c>
      <c r="C871" s="2" t="s">
        <v>594</v>
      </c>
      <c r="D871" s="2" t="str">
        <f t="shared" si="12"/>
        <v>Error?</v>
      </c>
    </row>
    <row r="872" spans="1:4" x14ac:dyDescent="0.2">
      <c r="A872" s="5">
        <v>811</v>
      </c>
      <c r="B872" s="138">
        <f>'Expenditures 15-22'!E75</f>
        <v>4652</v>
      </c>
      <c r="D872" s="2" t="str">
        <f t="shared" si="12"/>
        <v>Error?</v>
      </c>
    </row>
    <row r="873" spans="1:4" x14ac:dyDescent="0.2">
      <c r="A873" s="5">
        <v>812</v>
      </c>
      <c r="B873" s="138">
        <f>'Expenditures 15-22'!E114</f>
        <v>2801764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82122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11902</v>
      </c>
      <c r="D891" s="2" t="str">
        <f t="shared" si="12"/>
        <v>Error?</v>
      </c>
    </row>
    <row r="892" spans="1:4" x14ac:dyDescent="0.2">
      <c r="A892" s="5">
        <v>831</v>
      </c>
      <c r="B892" s="138">
        <f>'Expenditures 15-22'!F14</f>
        <v>38772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172530</v>
      </c>
      <c r="C894" s="2" t="s">
        <v>594</v>
      </c>
      <c r="D894" s="2" t="str">
        <f t="shared" si="12"/>
        <v>Error?</v>
      </c>
    </row>
    <row r="895" spans="1:4" x14ac:dyDescent="0.2">
      <c r="A895" s="5">
        <v>834</v>
      </c>
      <c r="B895" s="138">
        <f>'Expenditures 15-22'!F36</f>
        <v>1513</v>
      </c>
      <c r="D895" s="2" t="str">
        <f t="shared" ref="D895:D958" si="13">IF(ISBLANK(B895),"OK",IF(A895-B895=0,"OK","Error?"))</f>
        <v>Error?</v>
      </c>
    </row>
    <row r="896" spans="1:4" x14ac:dyDescent="0.2">
      <c r="A896" s="5">
        <v>835</v>
      </c>
      <c r="B896" s="138">
        <f>'Expenditures 15-22'!F37</f>
        <v>366</v>
      </c>
      <c r="D896" s="2" t="str">
        <f t="shared" si="13"/>
        <v>Error?</v>
      </c>
    </row>
    <row r="897" spans="1:4" x14ac:dyDescent="0.2">
      <c r="A897" s="5">
        <v>836</v>
      </c>
      <c r="B897" s="138">
        <f>'Expenditures 15-22'!F38</f>
        <v>1674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3553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7534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7534</v>
      </c>
      <c r="C905" s="2" t="s">
        <v>594</v>
      </c>
      <c r="D905" s="2" t="str">
        <f t="shared" si="13"/>
        <v>Error?</v>
      </c>
    </row>
    <row r="906" spans="1:4" x14ac:dyDescent="0.2">
      <c r="A906" s="5">
        <v>845</v>
      </c>
      <c r="B906" s="138">
        <f>'Expenditures 15-22'!F49</f>
        <v>3614</v>
      </c>
      <c r="D906" s="2" t="str">
        <f t="shared" si="13"/>
        <v>Error?</v>
      </c>
    </row>
    <row r="907" spans="1:4" x14ac:dyDescent="0.2">
      <c r="A907" s="5">
        <v>846</v>
      </c>
      <c r="B907" s="138">
        <f>'Expenditures 15-22'!F50</f>
        <v>1250</v>
      </c>
      <c r="D907" s="2" t="str">
        <f t="shared" si="13"/>
        <v>Error?</v>
      </c>
    </row>
    <row r="908" spans="1:4" x14ac:dyDescent="0.2">
      <c r="A908" s="5">
        <v>847</v>
      </c>
      <c r="B908" s="138">
        <f>'Expenditures 15-22'!F53</f>
        <v>4864</v>
      </c>
      <c r="C908" s="2" t="s">
        <v>594</v>
      </c>
      <c r="D908" s="2" t="str">
        <f t="shared" si="13"/>
        <v>Error?</v>
      </c>
    </row>
    <row r="909" spans="1:4" x14ac:dyDescent="0.2">
      <c r="A909" s="5">
        <v>848</v>
      </c>
      <c r="B909" s="138">
        <f>'Expenditures 15-22'!F55</f>
        <v>27128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27128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1264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273</v>
      </c>
      <c r="D916" s="2" t="str">
        <f t="shared" si="13"/>
        <v>Error?</v>
      </c>
    </row>
    <row r="917" spans="1:4" x14ac:dyDescent="0.2">
      <c r="A917" s="5">
        <v>856</v>
      </c>
      <c r="B917" s="138">
        <f>'Expenditures 15-22'!F64</f>
        <v>1074</v>
      </c>
      <c r="D917" s="2" t="str">
        <f t="shared" si="13"/>
        <v>Error?</v>
      </c>
    </row>
    <row r="918" spans="1:4" x14ac:dyDescent="0.2">
      <c r="A918" s="10">
        <v>857</v>
      </c>
      <c r="D918" s="2" t="str">
        <f t="shared" si="13"/>
        <v>OK</v>
      </c>
    </row>
    <row r="919" spans="1:4" x14ac:dyDescent="0.2">
      <c r="A919" s="5">
        <v>858</v>
      </c>
      <c r="B919" s="138">
        <f>'Expenditures 15-22'!F65</f>
        <v>2611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45690</v>
      </c>
      <c r="C929" s="2" t="s">
        <v>594</v>
      </c>
      <c r="D929" s="2" t="str">
        <f t="shared" si="13"/>
        <v>Error?</v>
      </c>
    </row>
    <row r="930" spans="1:4" x14ac:dyDescent="0.2">
      <c r="A930" s="5">
        <v>869</v>
      </c>
      <c r="B930" s="138">
        <f>'Expenditures 15-22'!F75</f>
        <v>1950</v>
      </c>
      <c r="D930" s="2" t="str">
        <f t="shared" si="13"/>
        <v>Error?</v>
      </c>
    </row>
    <row r="931" spans="1:4" x14ac:dyDescent="0.2">
      <c r="A931" s="5">
        <v>870</v>
      </c>
      <c r="B931" s="138">
        <f>'Expenditures 15-22'!F114</f>
        <v>220170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53393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10431</v>
      </c>
      <c r="D949" s="2" t="str">
        <f t="shared" si="13"/>
        <v>Error?</v>
      </c>
    </row>
    <row r="950" spans="1:4" x14ac:dyDescent="0.2">
      <c r="A950" s="5">
        <v>889</v>
      </c>
      <c r="B950" s="138">
        <f>'Expenditures 15-22'!G14</f>
        <v>14462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98476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1510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1510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1510</v>
      </c>
      <c r="C987" s="2" t="s">
        <v>594</v>
      </c>
      <c r="D987" s="2" t="str">
        <f t="shared" si="14"/>
        <v>Error?</v>
      </c>
    </row>
    <row r="988" spans="1:4" x14ac:dyDescent="0.2">
      <c r="A988" s="5">
        <v>927</v>
      </c>
      <c r="B988" s="138">
        <f>'Expenditures 15-22'!G75</f>
        <v>5958</v>
      </c>
      <c r="D988" s="2" t="str">
        <f t="shared" si="14"/>
        <v>Error?</v>
      </c>
    </row>
    <row r="989" spans="1:4" x14ac:dyDescent="0.2">
      <c r="A989" s="5">
        <v>928</v>
      </c>
      <c r="B989" s="138">
        <f>'Expenditures 15-22'!G114</f>
        <v>105944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8234</v>
      </c>
      <c r="D1022" s="2" t="str">
        <f t="shared" si="14"/>
        <v>Error?</v>
      </c>
    </row>
    <row r="1023" spans="1:4" x14ac:dyDescent="0.2">
      <c r="A1023" s="5">
        <v>962</v>
      </c>
      <c r="B1023" s="138">
        <f>'Expenditures 15-22'!H50</f>
        <v>1851</v>
      </c>
      <c r="D1023" s="2" t="str">
        <f t="shared" ref="D1023:D1086" si="15">IF(ISBLANK(B1023),"OK",IF(A1023-B1023=0,"OK","Error?"))</f>
        <v>Error?</v>
      </c>
    </row>
    <row r="1024" spans="1:4" x14ac:dyDescent="0.2">
      <c r="A1024" s="5">
        <v>963</v>
      </c>
      <c r="B1024" s="138">
        <f>'Expenditures 15-22'!H53</f>
        <v>10085</v>
      </c>
      <c r="C1024" s="2" t="s">
        <v>594</v>
      </c>
      <c r="D1024" s="2" t="str">
        <f t="shared" si="15"/>
        <v>Error?</v>
      </c>
    </row>
    <row r="1025" spans="1:4" x14ac:dyDescent="0.2">
      <c r="A1025" s="5">
        <v>964</v>
      </c>
      <c r="B1025" s="138">
        <f>'Expenditures 15-22'!H55</f>
        <v>6735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6735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16820</v>
      </c>
      <c r="C1045" s="2" t="s">
        <v>594</v>
      </c>
      <c r="D1045" s="2" t="str">
        <f t="shared" si="15"/>
        <v>Error?</v>
      </c>
    </row>
    <row r="1046" spans="1:4" x14ac:dyDescent="0.2">
      <c r="A1046" s="5">
        <v>985</v>
      </c>
      <c r="B1046" s="138">
        <f>'Expenditures 15-22'!H75</f>
        <v>1549</v>
      </c>
      <c r="D1046" s="2" t="str">
        <f t="shared" si="15"/>
        <v>Error?</v>
      </c>
    </row>
    <row r="1047" spans="1:4" x14ac:dyDescent="0.2">
      <c r="A1047" s="5">
        <v>986</v>
      </c>
      <c r="B1047" s="138">
        <f>'Expenditures 15-22'!H102</f>
        <v>1154095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1172464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3646876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76640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824906</v>
      </c>
      <c r="C1105" s="2" t="s">
        <v>594</v>
      </c>
      <c r="D1105" s="2" t="str">
        <f t="shared" si="16"/>
        <v>Error?</v>
      </c>
    </row>
    <row r="1106" spans="1:4" x14ac:dyDescent="0.2">
      <c r="A1106" s="5">
        <v>1045</v>
      </c>
      <c r="B1106" s="138">
        <f>'Expenditures 15-22'!K14</f>
        <v>666894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6683054</v>
      </c>
      <c r="C1108" s="2" t="s">
        <v>594</v>
      </c>
      <c r="D1108" s="2" t="str">
        <f t="shared" si="16"/>
        <v>Error?</v>
      </c>
    </row>
    <row r="1109" spans="1:4" x14ac:dyDescent="0.2">
      <c r="A1109" s="5">
        <v>1048</v>
      </c>
      <c r="B1109" s="138">
        <f>'Expenditures 15-22'!K36</f>
        <v>9423</v>
      </c>
      <c r="C1109" s="2" t="s">
        <v>594</v>
      </c>
      <c r="D1109" s="2" t="str">
        <f t="shared" si="16"/>
        <v>Error?</v>
      </c>
    </row>
    <row r="1110" spans="1:4" x14ac:dyDescent="0.2">
      <c r="A1110" s="5">
        <v>1049</v>
      </c>
      <c r="B1110" s="138">
        <f>'Expenditures 15-22'!K37</f>
        <v>559946</v>
      </c>
      <c r="C1110" s="2" t="s">
        <v>594</v>
      </c>
      <c r="D1110" s="2" t="str">
        <f t="shared" si="16"/>
        <v>Error?</v>
      </c>
    </row>
    <row r="1111" spans="1:4" x14ac:dyDescent="0.2">
      <c r="A1111" s="5">
        <v>1050</v>
      </c>
      <c r="B1111" s="138">
        <f>'Expenditures 15-22'!K38</f>
        <v>106064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675433</v>
      </c>
      <c r="C1115" s="2" t="s">
        <v>594</v>
      </c>
      <c r="D1115" s="2" t="str">
        <f t="shared" si="16"/>
        <v>Error?</v>
      </c>
    </row>
    <row r="1116" spans="1:4" x14ac:dyDescent="0.2">
      <c r="A1116" s="5">
        <v>1055</v>
      </c>
      <c r="B1116" s="138">
        <f>'Expenditures 15-22'!K44</f>
        <v>15878</v>
      </c>
      <c r="C1116" s="2" t="s">
        <v>594</v>
      </c>
      <c r="D1116" s="2" t="str">
        <f t="shared" si="16"/>
        <v>Error?</v>
      </c>
    </row>
    <row r="1117" spans="1:4" x14ac:dyDescent="0.2">
      <c r="A1117" s="5">
        <v>1056</v>
      </c>
      <c r="B1117" s="138">
        <f>'Expenditures 15-22'!K45</f>
        <v>182124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198002</v>
      </c>
      <c r="C1119" s="2" t="s">
        <v>594</v>
      </c>
      <c r="D1119" s="2" t="str">
        <f t="shared" si="16"/>
        <v>Error?</v>
      </c>
    </row>
    <row r="1120" spans="1:4" x14ac:dyDescent="0.2">
      <c r="A1120" s="5">
        <v>1059</v>
      </c>
      <c r="B1120" s="138">
        <f>'Expenditures 15-22'!K49</f>
        <v>143669</v>
      </c>
      <c r="C1120" s="2" t="s">
        <v>594</v>
      </c>
      <c r="D1120" s="2" t="str">
        <f t="shared" si="16"/>
        <v>Error?</v>
      </c>
    </row>
    <row r="1121" spans="1:4" x14ac:dyDescent="0.2">
      <c r="A1121" s="5">
        <v>1060</v>
      </c>
      <c r="B1121" s="138">
        <f>'Expenditures 15-22'!K50</f>
        <v>150322</v>
      </c>
      <c r="C1121" s="2" t="s">
        <v>594</v>
      </c>
      <c r="D1121" s="2" t="str">
        <f t="shared" si="16"/>
        <v>Error?</v>
      </c>
    </row>
    <row r="1122" spans="1:4" x14ac:dyDescent="0.2">
      <c r="A1122" s="5">
        <v>1061</v>
      </c>
      <c r="B1122" s="138">
        <f>'Expenditures 15-22'!K53</f>
        <v>308081</v>
      </c>
      <c r="C1122" s="2" t="s">
        <v>594</v>
      </c>
      <c r="D1122" s="2" t="str">
        <f t="shared" si="16"/>
        <v>Error?</v>
      </c>
    </row>
    <row r="1123" spans="1:4" x14ac:dyDescent="0.2">
      <c r="A1123" s="5">
        <v>1062</v>
      </c>
      <c r="B1123" s="138">
        <f>'Expenditures 15-22'!K55</f>
        <v>344397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344397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62360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237529</v>
      </c>
      <c r="C1130" s="2" t="s">
        <v>594</v>
      </c>
      <c r="D1130" s="2" t="str">
        <f t="shared" si="16"/>
        <v>Error?</v>
      </c>
    </row>
    <row r="1131" spans="1:4" x14ac:dyDescent="0.2">
      <c r="A1131" s="5">
        <v>1070</v>
      </c>
      <c r="B1131" s="138">
        <f>'Expenditures 15-22'!K64</f>
        <v>1074</v>
      </c>
      <c r="C1131" s="2" t="s">
        <v>594</v>
      </c>
      <c r="D1131" s="2" t="str">
        <f t="shared" si="16"/>
        <v>Error?</v>
      </c>
    </row>
    <row r="1132" spans="1:4" x14ac:dyDescent="0.2">
      <c r="A1132" s="10">
        <v>1071</v>
      </c>
      <c r="D1132" s="2" t="str">
        <f t="shared" si="16"/>
        <v>OK</v>
      </c>
    </row>
    <row r="1133" spans="1:4" x14ac:dyDescent="0.2">
      <c r="A1133" s="5">
        <v>1072</v>
      </c>
      <c r="B1133" s="138">
        <f>'Expenditures 15-22'!K65</f>
        <v>300963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1826876</v>
      </c>
      <c r="C1143" s="2" t="s">
        <v>594</v>
      </c>
      <c r="D1143" s="2" t="str">
        <f t="shared" si="16"/>
        <v>Error?</v>
      </c>
    </row>
    <row r="1144" spans="1:4" x14ac:dyDescent="0.2">
      <c r="A1144" s="5">
        <v>1083</v>
      </c>
      <c r="B1144" s="138">
        <f>'Expenditures 15-22'!K75</f>
        <v>40713</v>
      </c>
      <c r="C1144" s="2" t="s">
        <v>594</v>
      </c>
      <c r="D1144" s="2" t="str">
        <f t="shared" si="16"/>
        <v>Error?</v>
      </c>
    </row>
    <row r="1145" spans="1:4" x14ac:dyDescent="0.2">
      <c r="A1145" s="5">
        <v>1084</v>
      </c>
      <c r="B1145" s="138">
        <f>'Expenditures 15-22'!K102</f>
        <v>2114776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10665419</v>
      </c>
      <c r="C1152" s="2" t="s">
        <v>594</v>
      </c>
      <c r="D1152" s="2" t="str">
        <f t="shared" si="17"/>
        <v>Error?</v>
      </c>
    </row>
    <row r="1153" spans="1:4" x14ac:dyDescent="0.2">
      <c r="A1153" s="5">
        <v>1092</v>
      </c>
      <c r="B1153" s="138">
        <f>'Expenditures 15-22'!K115</f>
        <v>-1737033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510069</v>
      </c>
      <c r="D1221" s="2" t="str">
        <f t="shared" si="18"/>
        <v>Error?</v>
      </c>
    </row>
    <row r="1222" spans="1:4" x14ac:dyDescent="0.2">
      <c r="A1222" s="10">
        <v>1161</v>
      </c>
      <c r="D1222" s="2" t="str">
        <f t="shared" si="18"/>
        <v>OK</v>
      </c>
    </row>
    <row r="1223" spans="1:4" x14ac:dyDescent="0.2">
      <c r="A1223" s="5">
        <v>1162</v>
      </c>
      <c r="B1223" s="138">
        <f>'Expenditures 15-22'!C127</f>
        <v>510069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510069</v>
      </c>
      <c r="C1225" s="2" t="s">
        <v>594</v>
      </c>
      <c r="D1225" s="2" t="str">
        <f t="shared" si="18"/>
        <v>Error?</v>
      </c>
    </row>
    <row r="1226" spans="1:4" x14ac:dyDescent="0.2">
      <c r="A1226" s="5">
        <v>1165</v>
      </c>
      <c r="B1226" s="138">
        <f>'Expenditures 15-22'!C151</f>
        <v>510069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175219</v>
      </c>
      <c r="D1229" s="2" t="str">
        <f t="shared" si="18"/>
        <v>Error?</v>
      </c>
    </row>
    <row r="1230" spans="1:4" x14ac:dyDescent="0.2">
      <c r="A1230" s="10">
        <v>1169</v>
      </c>
      <c r="D1230" s="2" t="str">
        <f t="shared" si="18"/>
        <v>OK</v>
      </c>
    </row>
    <row r="1231" spans="1:4" x14ac:dyDescent="0.2">
      <c r="A1231" s="5">
        <v>1170</v>
      </c>
      <c r="B1231" s="138">
        <f>'Expenditures 15-22'!D127</f>
        <v>175219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175219</v>
      </c>
      <c r="C1233" s="2" t="s">
        <v>594</v>
      </c>
      <c r="D1233" s="2" t="str">
        <f t="shared" si="18"/>
        <v>Error?</v>
      </c>
    </row>
    <row r="1234" spans="1:4" x14ac:dyDescent="0.2">
      <c r="A1234" s="5">
        <v>1173</v>
      </c>
      <c r="B1234" s="138">
        <f>'Expenditures 15-22'!D151</f>
        <v>175219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295807</v>
      </c>
      <c r="D1236" s="2" t="str">
        <f t="shared" si="18"/>
        <v>Error?</v>
      </c>
    </row>
    <row r="1237" spans="1:4" x14ac:dyDescent="0.2">
      <c r="A1237" s="5">
        <v>1176</v>
      </c>
      <c r="B1237" s="138">
        <f>'Expenditures 15-22'!E124</f>
        <v>229821</v>
      </c>
      <c r="D1237" s="2" t="str">
        <f t="shared" si="18"/>
        <v>Error?</v>
      </c>
    </row>
    <row r="1238" spans="1:4" x14ac:dyDescent="0.2">
      <c r="A1238" s="10">
        <v>1177</v>
      </c>
      <c r="D1238" s="2" t="str">
        <f t="shared" si="18"/>
        <v>OK</v>
      </c>
    </row>
    <row r="1239" spans="1:4" x14ac:dyDescent="0.2">
      <c r="A1239" s="5">
        <v>1178</v>
      </c>
      <c r="B1239" s="138">
        <f>'Expenditures 15-22'!E127</f>
        <v>525628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525628</v>
      </c>
      <c r="C1241" s="2" t="s">
        <v>594</v>
      </c>
      <c r="D1241" s="2" t="str">
        <f t="shared" si="18"/>
        <v>Error?</v>
      </c>
    </row>
    <row r="1242" spans="1:4" x14ac:dyDescent="0.2">
      <c r="A1242" s="5">
        <v>1181</v>
      </c>
      <c r="B1242" s="138">
        <f>'Expenditures 15-22'!E151</f>
        <v>620619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339479</v>
      </c>
      <c r="D1245" s="2" t="str">
        <f t="shared" si="18"/>
        <v>Error?</v>
      </c>
    </row>
    <row r="1246" spans="1:4" x14ac:dyDescent="0.2">
      <c r="A1246" s="10">
        <v>1185</v>
      </c>
      <c r="D1246" s="2" t="str">
        <f t="shared" si="18"/>
        <v>OK</v>
      </c>
    </row>
    <row r="1247" spans="1:4" x14ac:dyDescent="0.2">
      <c r="A1247" s="5">
        <v>1186</v>
      </c>
      <c r="B1247" s="138">
        <f>'Expenditures 15-22'!F127</f>
        <v>339479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339479</v>
      </c>
      <c r="C1249" s="2" t="s">
        <v>594</v>
      </c>
      <c r="D1249" s="2" t="str">
        <f t="shared" si="18"/>
        <v>Error?</v>
      </c>
    </row>
    <row r="1250" spans="1:4" x14ac:dyDescent="0.2">
      <c r="A1250" s="5">
        <v>1189</v>
      </c>
      <c r="B1250" s="138">
        <f>'Expenditures 15-22'!F151</f>
        <v>339479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97698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97698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97698</v>
      </c>
      <c r="C1258" s="2" t="s">
        <v>594</v>
      </c>
      <c r="D1258" s="2" t="str">
        <f t="shared" si="18"/>
        <v>Error?</v>
      </c>
    </row>
    <row r="1259" spans="1:4" x14ac:dyDescent="0.2">
      <c r="A1259" s="5">
        <v>1198</v>
      </c>
      <c r="B1259" s="138">
        <f>'Expenditures 15-22'!G151</f>
        <v>97698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295807</v>
      </c>
      <c r="C1275" s="2" t="s">
        <v>594</v>
      </c>
      <c r="D1275" s="2" t="str">
        <f t="shared" si="18"/>
        <v>Error?</v>
      </c>
    </row>
    <row r="1276" spans="1:4" x14ac:dyDescent="0.2">
      <c r="A1276" s="5">
        <v>1215</v>
      </c>
      <c r="B1276" s="138">
        <f>'Expenditures 15-22'!K124</f>
        <v>1352286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1648093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1648093</v>
      </c>
      <c r="C1281" s="2" t="s">
        <v>594</v>
      </c>
      <c r="D1281" s="2" t="str">
        <f t="shared" si="19"/>
        <v>Error?</v>
      </c>
    </row>
    <row r="1282" spans="1:4" x14ac:dyDescent="0.2">
      <c r="A1282" s="5">
        <v>1221</v>
      </c>
      <c r="B1282" s="138">
        <f>'Expenditures 15-22'!K139</f>
        <v>94991</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1743084</v>
      </c>
      <c r="C1288" s="2" t="s">
        <v>594</v>
      </c>
      <c r="D1288" s="2" t="str">
        <f t="shared" si="19"/>
        <v>Error?</v>
      </c>
    </row>
    <row r="1289" spans="1:4" x14ac:dyDescent="0.2">
      <c r="A1289" s="5">
        <v>1228</v>
      </c>
      <c r="B1289" s="138">
        <f>'Expenditures 15-22'!K152</f>
        <v>-115849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177320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2037320</v>
      </c>
      <c r="C1317" s="2" t="s">
        <v>594</v>
      </c>
      <c r="D1317" s="2" t="str">
        <f t="shared" si="19"/>
        <v>Error?</v>
      </c>
    </row>
    <row r="1318" spans="1:4" x14ac:dyDescent="0.2">
      <c r="A1318" s="5">
        <v>1257</v>
      </c>
      <c r="B1318" s="138">
        <f>'Expenditures 15-22'!H174</f>
        <v>2037320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177320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1860000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2037320</v>
      </c>
      <c r="C1331" s="2" t="s">
        <v>594</v>
      </c>
      <c r="D1331" s="2" t="str">
        <f t="shared" si="19"/>
        <v>Error?</v>
      </c>
    </row>
    <row r="1332" spans="1:4" x14ac:dyDescent="0.2">
      <c r="A1332" s="5">
        <v>1271</v>
      </c>
      <c r="B1332" s="138">
        <f>'Expenditures 15-22'!K174</f>
        <v>2037320</v>
      </c>
      <c r="C1332" s="2" t="s">
        <v>594</v>
      </c>
      <c r="D1332" s="2" t="str">
        <f t="shared" si="19"/>
        <v>Error?</v>
      </c>
    </row>
    <row r="1333" spans="1:4" x14ac:dyDescent="0.2">
      <c r="A1333" s="5">
        <v>1272</v>
      </c>
      <c r="B1333" s="138">
        <f>'Expenditures 15-22'!K175</f>
        <v>1480</v>
      </c>
      <c r="C1333" s="2" t="s">
        <v>594</v>
      </c>
      <c r="D1333" s="2" t="str">
        <f t="shared" si="19"/>
        <v>Error?</v>
      </c>
    </row>
    <row r="1334" spans="1:4" x14ac:dyDescent="0.2">
      <c r="A1334" s="10">
        <v>1273</v>
      </c>
      <c r="D1334" s="2" t="str">
        <f t="shared" si="19"/>
        <v>OK</v>
      </c>
    </row>
    <row r="1335" spans="1:4" x14ac:dyDescent="0.2">
      <c r="A1335" s="5">
        <v>1274</v>
      </c>
      <c r="B1335" s="138">
        <f>'Expenditures 15-22'!C182</f>
        <v>5000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5000</v>
      </c>
      <c r="C1339" s="2" t="s">
        <v>594</v>
      </c>
      <c r="D1339" s="2" t="str">
        <f t="shared" si="19"/>
        <v>Error?</v>
      </c>
    </row>
    <row r="1340" spans="1:4" x14ac:dyDescent="0.2">
      <c r="A1340" s="5">
        <v>1279</v>
      </c>
      <c r="B1340" s="138">
        <f>'Expenditures 15-22'!C210</f>
        <v>5000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48037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48037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48037</v>
      </c>
      <c r="C1353" s="2" t="s">
        <v>594</v>
      </c>
      <c r="D1353" s="2" t="str">
        <f t="shared" si="20"/>
        <v>Error?</v>
      </c>
    </row>
    <row r="1354" spans="1:4" x14ac:dyDescent="0.2">
      <c r="A1354" s="5">
        <v>1293</v>
      </c>
      <c r="B1354" s="138">
        <f>'Expenditures 15-22'!F182</f>
        <v>9595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9595</v>
      </c>
      <c r="C1358" s="2" t="s">
        <v>594</v>
      </c>
      <c r="D1358" s="2" t="str">
        <f t="shared" si="20"/>
        <v>Error?</v>
      </c>
    </row>
    <row r="1359" spans="1:4" x14ac:dyDescent="0.2">
      <c r="A1359" s="5">
        <v>1298</v>
      </c>
      <c r="B1359" s="138">
        <f>'Expenditures 15-22'!F210</f>
        <v>9595</v>
      </c>
      <c r="C1359" s="2" t="s">
        <v>594</v>
      </c>
      <c r="D1359" s="2" t="str">
        <f t="shared" si="20"/>
        <v>Error?</v>
      </c>
    </row>
    <row r="1360" spans="1:4" x14ac:dyDescent="0.2">
      <c r="A1360" s="5">
        <v>1299</v>
      </c>
      <c r="B1360" s="138">
        <f>'Expenditures 15-22'!G182</f>
        <v>22192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22192</v>
      </c>
      <c r="C1364" s="2" t="s">
        <v>594</v>
      </c>
      <c r="D1364" s="2" t="str">
        <f t="shared" si="20"/>
        <v>Error?</v>
      </c>
    </row>
    <row r="1365" spans="1:4" x14ac:dyDescent="0.2">
      <c r="A1365" s="5">
        <v>1304</v>
      </c>
      <c r="B1365" s="138">
        <f>'Expenditures 15-22'!G210</f>
        <v>22192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567437</v>
      </c>
      <c r="C1376" s="2" t="s">
        <v>594</v>
      </c>
      <c r="D1376" s="2" t="str">
        <f t="shared" si="20"/>
        <v>Error?</v>
      </c>
    </row>
    <row r="1377" spans="1:4" x14ac:dyDescent="0.2">
      <c r="A1377" s="5">
        <v>1316</v>
      </c>
      <c r="B1377" s="138">
        <f>'Expenditures 15-22'!K182</f>
        <v>84824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84824</v>
      </c>
      <c r="C1381" s="2" t="s">
        <v>594</v>
      </c>
      <c r="D1381" s="2" t="str">
        <f t="shared" si="20"/>
        <v>Error?</v>
      </c>
    </row>
    <row r="1382" spans="1:4" x14ac:dyDescent="0.2">
      <c r="A1382" s="5">
        <v>1321</v>
      </c>
      <c r="B1382" s="138">
        <f>'Expenditures 15-22'!K196</f>
        <v>567437</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652261</v>
      </c>
      <c r="C1388" s="2" t="s">
        <v>594</v>
      </c>
      <c r="D1388" s="2" t="str">
        <f t="shared" si="20"/>
        <v>Error?</v>
      </c>
    </row>
    <row r="1389" spans="1:4" x14ac:dyDescent="0.2">
      <c r="A1389" s="5">
        <v>1328</v>
      </c>
      <c r="B1389" s="138">
        <f>'Expenditures 15-22'!K211</f>
        <v>113645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16752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97438</v>
      </c>
      <c r="C1410" s="2" t="s">
        <v>594</v>
      </c>
      <c r="D1410" s="2" t="str">
        <f t="shared" si="21"/>
        <v>Error?</v>
      </c>
    </row>
    <row r="1411" spans="1:4" x14ac:dyDescent="0.2">
      <c r="A1411" s="5">
        <v>1350</v>
      </c>
      <c r="B1411" s="138">
        <f>'Expenditures 15-22'!D232</f>
        <v>509</v>
      </c>
      <c r="D1411" s="2" t="str">
        <f t="shared" si="21"/>
        <v>Error?</v>
      </c>
    </row>
    <row r="1412" spans="1:4" x14ac:dyDescent="0.2">
      <c r="A1412" s="5">
        <v>1351</v>
      </c>
      <c r="B1412" s="138">
        <f>'Expenditures 15-22'!D233</f>
        <v>12949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13458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23877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23877</v>
      </c>
      <c r="C1421" s="2" t="s">
        <v>594</v>
      </c>
      <c r="D1421" s="2" t="str">
        <f t="shared" si="21"/>
        <v>Error?</v>
      </c>
    </row>
    <row r="1422" spans="1:4" x14ac:dyDescent="0.2">
      <c r="A1422" s="5">
        <v>1361</v>
      </c>
      <c r="B1422" s="138">
        <f>'Expenditures 15-22'!D245</f>
        <v>13179</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15617</v>
      </c>
      <c r="C1424" s="2" t="s">
        <v>594</v>
      </c>
      <c r="D1424" s="2" t="str">
        <f t="shared" si="21"/>
        <v>Error?</v>
      </c>
    </row>
    <row r="1425" spans="1:4" x14ac:dyDescent="0.2">
      <c r="A1425" s="5">
        <v>1364</v>
      </c>
      <c r="B1425" s="138">
        <f>'Expenditures 15-22'!D259</f>
        <v>16472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16472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10242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114773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2008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127023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196447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293885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16752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97438</v>
      </c>
      <c r="C1474" s="2" t="s">
        <v>594</v>
      </c>
      <c r="D1474" s="2" t="str">
        <f t="shared" si="22"/>
        <v>Error?</v>
      </c>
    </row>
    <row r="1475" spans="1:4" x14ac:dyDescent="0.2">
      <c r="A1475" s="5">
        <v>1414</v>
      </c>
      <c r="B1475" s="138">
        <f>'Expenditures 15-22'!K232</f>
        <v>509</v>
      </c>
      <c r="C1475" s="2" t="s">
        <v>594</v>
      </c>
      <c r="D1475" s="2" t="str">
        <f t="shared" si="22"/>
        <v>Error?</v>
      </c>
    </row>
    <row r="1476" spans="1:4" x14ac:dyDescent="0.2">
      <c r="A1476" s="5">
        <v>1415</v>
      </c>
      <c r="B1476" s="138">
        <f>'Expenditures 15-22'!K233</f>
        <v>12949</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13458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23877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23877</v>
      </c>
      <c r="C1485" s="2" t="s">
        <v>594</v>
      </c>
      <c r="D1485" s="2" t="str">
        <f t="shared" si="22"/>
        <v>Error?</v>
      </c>
    </row>
    <row r="1486" spans="1:4" x14ac:dyDescent="0.2">
      <c r="A1486" s="5">
        <v>1425</v>
      </c>
      <c r="B1486" s="138">
        <f>'Expenditures 15-22'!K245</f>
        <v>13179</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15617</v>
      </c>
      <c r="C1488" s="2" t="s">
        <v>594</v>
      </c>
      <c r="D1488" s="2" t="str">
        <f t="shared" si="22"/>
        <v>Error?</v>
      </c>
    </row>
    <row r="1489" spans="1:4" x14ac:dyDescent="0.2">
      <c r="A1489" s="5">
        <v>1428</v>
      </c>
      <c r="B1489" s="138">
        <f>'Expenditures 15-22'!K259</f>
        <v>16472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16472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10242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114773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2008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127023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196447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293885</v>
      </c>
      <c r="C1517" s="2" t="s">
        <v>594</v>
      </c>
      <c r="D1517" s="2" t="str">
        <f t="shared" si="22"/>
        <v>Error?</v>
      </c>
    </row>
    <row r="1518" spans="1:4" x14ac:dyDescent="0.2">
      <c r="A1518" s="5">
        <v>1457</v>
      </c>
      <c r="B1518" s="138">
        <f>'Expenditures 15-22'!K296</f>
        <v>51879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1447602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1628569</v>
      </c>
      <c r="C1630" s="2" t="s">
        <v>594</v>
      </c>
      <c r="D1630" s="2" t="str">
        <f t="shared" si="24"/>
        <v>Error?</v>
      </c>
    </row>
    <row r="1631" spans="1:4" x14ac:dyDescent="0.2">
      <c r="A1631" s="5">
        <v>1570</v>
      </c>
      <c r="B1631" s="138">
        <f>'Acct Summary 7-8'!D79</f>
        <v>197774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281925</v>
      </c>
      <c r="C1644" s="2" t="s">
        <v>594</v>
      </c>
      <c r="D1644" s="2" t="str">
        <f t="shared" si="24"/>
        <v>Error?</v>
      </c>
    </row>
    <row r="1645" spans="1:4" x14ac:dyDescent="0.2">
      <c r="A1645" s="5">
        <v>1584</v>
      </c>
      <c r="B1645" s="138">
        <f>'Acct Summary 7-8'!E79</f>
        <v>2608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4088</v>
      </c>
      <c r="C1658" s="2" t="s">
        <v>594</v>
      </c>
      <c r="D1658" s="2" t="str">
        <f t="shared" si="24"/>
        <v>Error?</v>
      </c>
    </row>
    <row r="1659" spans="1:4" x14ac:dyDescent="0.2">
      <c r="A1659" s="5">
        <v>1598</v>
      </c>
      <c r="B1659" s="138">
        <f>'Acct Summary 7-8'!F79</f>
        <v>357161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270806</v>
      </c>
      <c r="C1672" s="2" t="s">
        <v>594</v>
      </c>
      <c r="D1672" s="2" t="str">
        <f t="shared" si="25"/>
        <v>Error?</v>
      </c>
    </row>
    <row r="1673" spans="1:4" x14ac:dyDescent="0.2">
      <c r="A1673" s="5">
        <v>1612</v>
      </c>
      <c r="B1673" s="138">
        <f>'Acct Summary 7-8'!G79</f>
        <v>237131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289010</v>
      </c>
      <c r="C1686" s="2" t="s">
        <v>594</v>
      </c>
      <c r="D1686" s="2" t="str">
        <f t="shared" si="25"/>
        <v>Error?</v>
      </c>
    </row>
    <row r="1687" spans="1:4" x14ac:dyDescent="0.2">
      <c r="A1687" s="5">
        <v>1626</v>
      </c>
      <c r="B1687" s="138">
        <f>'Acct Summary 7-8'!H79</f>
        <v>1553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1553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3884717</v>
      </c>
      <c r="C1744" s="2" t="s">
        <v>594</v>
      </c>
      <c r="D1744" s="2" t="str">
        <f t="shared" si="26"/>
        <v>Error?</v>
      </c>
    </row>
    <row r="1745" spans="1:5" x14ac:dyDescent="0.2">
      <c r="A1745" s="5">
        <v>1684</v>
      </c>
      <c r="B1745" s="138">
        <f>'Tax Sched 23'!B5</f>
        <v>1055630</v>
      </c>
      <c r="C1745" s="2" t="s">
        <v>594</v>
      </c>
      <c r="D1745" s="2" t="str">
        <f t="shared" si="26"/>
        <v>Error?</v>
      </c>
    </row>
    <row r="1746" spans="1:5" x14ac:dyDescent="0.2">
      <c r="A1746" s="5">
        <v>1685</v>
      </c>
      <c r="B1746" s="138">
        <f>'Tax Sched 23'!B6</f>
        <v>1648800</v>
      </c>
      <c r="C1746" s="2" t="s">
        <v>594</v>
      </c>
      <c r="D1746" s="2" t="str">
        <f t="shared" si="26"/>
        <v>Error?</v>
      </c>
    </row>
    <row r="1747" spans="1:5" x14ac:dyDescent="0.2">
      <c r="A1747" s="5">
        <v>1686</v>
      </c>
      <c r="B1747" s="138">
        <f>'Tax Sched 23'!B7</f>
        <v>506703</v>
      </c>
      <c r="C1747" s="2" t="s">
        <v>594</v>
      </c>
      <c r="D1747" s="2" t="str">
        <f t="shared" si="26"/>
        <v>Error?</v>
      </c>
    </row>
    <row r="1748" spans="1:5" x14ac:dyDescent="0.2">
      <c r="A1748" s="5">
        <v>1687</v>
      </c>
      <c r="B1748" s="138">
        <f>'Tax Sched 23'!B8</f>
        <v>136974</v>
      </c>
      <c r="C1748" s="2" t="s">
        <v>594</v>
      </c>
      <c r="D1748" s="2" t="str">
        <f t="shared" si="26"/>
        <v>Error?</v>
      </c>
    </row>
    <row r="1749" spans="1:5" x14ac:dyDescent="0.2">
      <c r="A1749" s="5">
        <v>1688</v>
      </c>
      <c r="B1749" s="138">
        <f>'Tax Sched 23'!B10</f>
        <v>211126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331344</v>
      </c>
      <c r="C1752" s="2" t="s">
        <v>594</v>
      </c>
      <c r="D1752" s="2" t="str">
        <f t="shared" si="26"/>
        <v>Error?</v>
      </c>
    </row>
    <row r="1753" spans="1:5" x14ac:dyDescent="0.2">
      <c r="A1753" s="5">
        <v>1692</v>
      </c>
      <c r="B1753" s="138">
        <f>'Tax Sched 23'!B12</f>
        <v>88378</v>
      </c>
      <c r="C1753" s="2" t="s">
        <v>594</v>
      </c>
      <c r="D1753" s="2" t="str">
        <f t="shared" si="26"/>
        <v>Error?</v>
      </c>
    </row>
    <row r="1754" spans="1:5" x14ac:dyDescent="0.2">
      <c r="A1754" s="5">
        <v>1693</v>
      </c>
      <c r="B1754" s="138">
        <f>'Tax Sched 23'!B14</f>
        <v>84450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8279458</v>
      </c>
      <c r="C1759" s="2" t="s">
        <v>594</v>
      </c>
      <c r="D1759" s="2" t="str">
        <f t="shared" si="26"/>
        <v>Error?</v>
      </c>
    </row>
    <row r="1760" spans="1:5" x14ac:dyDescent="0.2">
      <c r="A1760" s="5">
        <v>1699</v>
      </c>
      <c r="B1760" s="138">
        <f>'Tax Sched 23'!D4</f>
        <v>3883468</v>
      </c>
      <c r="C1760" s="2" t="s">
        <v>594</v>
      </c>
      <c r="D1760" s="2" t="str">
        <f t="shared" si="26"/>
        <v>Error?</v>
      </c>
    </row>
    <row r="1761" spans="1:5" x14ac:dyDescent="0.2">
      <c r="A1761" s="5">
        <v>1700</v>
      </c>
      <c r="B1761" s="138">
        <f>'Tax Sched 23'!D5</f>
        <v>1055290</v>
      </c>
      <c r="C1761" s="2" t="s">
        <v>594</v>
      </c>
      <c r="D1761" s="2" t="str">
        <f t="shared" si="26"/>
        <v>Error?</v>
      </c>
    </row>
    <row r="1762" spans="1:5" s="8" customFormat="1" x14ac:dyDescent="0.2">
      <c r="A1762" s="5">
        <v>1701</v>
      </c>
      <c r="B1762" s="138">
        <f>'Tax Sched 23'!D6</f>
        <v>1648236</v>
      </c>
      <c r="C1762" s="2" t="s">
        <v>594</v>
      </c>
      <c r="D1762" s="2" t="str">
        <f t="shared" si="26"/>
        <v>Error?</v>
      </c>
      <c r="E1762" s="9"/>
    </row>
    <row r="1763" spans="1:5" x14ac:dyDescent="0.2">
      <c r="A1763" s="5">
        <v>1702</v>
      </c>
      <c r="B1763" s="138">
        <f>'Tax Sched 23'!D7</f>
        <v>506540</v>
      </c>
      <c r="C1763" s="2" t="s">
        <v>594</v>
      </c>
      <c r="D1763" s="2" t="str">
        <f t="shared" si="26"/>
        <v>Error?</v>
      </c>
    </row>
    <row r="1764" spans="1:5" x14ac:dyDescent="0.2">
      <c r="A1764" s="5">
        <v>1703</v>
      </c>
      <c r="B1764" s="138">
        <f>'Tax Sched 23'!D8</f>
        <v>136933</v>
      </c>
      <c r="C1764" s="2" t="s">
        <v>594</v>
      </c>
      <c r="D1764" s="2" t="str">
        <f t="shared" si="26"/>
        <v>Error?</v>
      </c>
    </row>
    <row r="1765" spans="1:5" x14ac:dyDescent="0.2">
      <c r="A1765" s="5">
        <v>1704</v>
      </c>
      <c r="B1765" s="138">
        <f>'Tax Sched 23'!D10</f>
        <v>211058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331235</v>
      </c>
      <c r="C1768" s="2" t="s">
        <v>594</v>
      </c>
      <c r="D1768" s="2" t="str">
        <f t="shared" si="26"/>
        <v>Error?</v>
      </c>
    </row>
    <row r="1769" spans="1:5" x14ac:dyDescent="0.2">
      <c r="A1769" s="5">
        <v>1708</v>
      </c>
      <c r="B1769" s="138">
        <f>'Tax Sched 23'!D12</f>
        <v>88349</v>
      </c>
      <c r="C1769" s="2" t="s">
        <v>594</v>
      </c>
      <c r="D1769" s="2" t="str">
        <f t="shared" si="26"/>
        <v>Error?</v>
      </c>
    </row>
    <row r="1770" spans="1:5" x14ac:dyDescent="0.2">
      <c r="A1770" s="5">
        <v>1709</v>
      </c>
      <c r="B1770" s="138">
        <f>'Tax Sched 23'!D14</f>
        <v>84423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8276766</v>
      </c>
      <c r="C1775" s="2" t="s">
        <v>594</v>
      </c>
      <c r="D1775" s="2" t="str">
        <f t="shared" si="26"/>
        <v>Error?</v>
      </c>
    </row>
    <row r="1776" spans="1:5" x14ac:dyDescent="0.2">
      <c r="A1776" s="5">
        <v>1715</v>
      </c>
      <c r="B1776" s="138">
        <f>'Tax Sched 23'!C4</f>
        <v>1249</v>
      </c>
      <c r="D1776" s="2" t="str">
        <f t="shared" si="26"/>
        <v>Error?</v>
      </c>
    </row>
    <row r="1777" spans="1:4" x14ac:dyDescent="0.2">
      <c r="A1777" s="5">
        <v>1716</v>
      </c>
      <c r="B1777" s="138">
        <f>'Tax Sched 23'!C5</f>
        <v>340</v>
      </c>
      <c r="D1777" s="2" t="str">
        <f t="shared" si="26"/>
        <v>Error?</v>
      </c>
    </row>
    <row r="1778" spans="1:4" x14ac:dyDescent="0.2">
      <c r="A1778" s="5">
        <v>1717</v>
      </c>
      <c r="B1778" s="138">
        <f>'Tax Sched 23'!C6</f>
        <v>564</v>
      </c>
      <c r="D1778" s="2" t="str">
        <f t="shared" si="26"/>
        <v>Error?</v>
      </c>
    </row>
    <row r="1779" spans="1:4" x14ac:dyDescent="0.2">
      <c r="A1779" s="5">
        <v>1718</v>
      </c>
      <c r="B1779" s="138">
        <f>'Tax Sched 23'!C7</f>
        <v>163</v>
      </c>
      <c r="D1779" s="2" t="str">
        <f t="shared" si="26"/>
        <v>Error?</v>
      </c>
    </row>
    <row r="1780" spans="1:4" x14ac:dyDescent="0.2">
      <c r="A1780" s="5">
        <v>1719</v>
      </c>
      <c r="B1780" s="138">
        <f>'Tax Sched 23'!C8</f>
        <v>41</v>
      </c>
      <c r="D1780" s="2" t="str">
        <f t="shared" si="26"/>
        <v>Error?</v>
      </c>
    </row>
    <row r="1781" spans="1:4" x14ac:dyDescent="0.2">
      <c r="A1781" s="5">
        <v>1720</v>
      </c>
      <c r="B1781" s="138">
        <f>'Tax Sched 23'!C10</f>
        <v>68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109</v>
      </c>
      <c r="D1784" s="2" t="str">
        <f t="shared" si="26"/>
        <v>Error?</v>
      </c>
    </row>
    <row r="1785" spans="1:4" x14ac:dyDescent="0.2">
      <c r="A1785" s="5">
        <v>1724</v>
      </c>
      <c r="B1785" s="138">
        <f>'Tax Sched 23'!C12</f>
        <v>29</v>
      </c>
      <c r="D1785" s="2" t="str">
        <f t="shared" si="26"/>
        <v>Error?</v>
      </c>
    </row>
    <row r="1786" spans="1:4" x14ac:dyDescent="0.2">
      <c r="A1786" s="5">
        <v>1725</v>
      </c>
      <c r="B1786" s="138">
        <f>'Tax Sched 23'!C14</f>
        <v>27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2692</v>
      </c>
      <c r="C1791" s="2" t="s">
        <v>594</v>
      </c>
      <c r="D1791" s="2" t="str">
        <f t="shared" ref="D1791:D1854" si="27">IF(ISBLANK(B1791),"OK",IF(A1791-B1791=0,"OK","Error?"))</f>
        <v>Error?</v>
      </c>
    </row>
    <row r="1792" spans="1:4" x14ac:dyDescent="0.2">
      <c r="A1792" s="5">
        <v>1731</v>
      </c>
      <c r="B1792" s="138">
        <f>'Tax Sched 23'!F4</f>
        <v>3938350</v>
      </c>
      <c r="C1792" s="2" t="s">
        <v>594</v>
      </c>
      <c r="D1792" s="2" t="str">
        <f t="shared" si="27"/>
        <v>Error?</v>
      </c>
    </row>
    <row r="1793" spans="1:4" x14ac:dyDescent="0.2">
      <c r="A1793" s="5">
        <v>1732</v>
      </c>
      <c r="B1793" s="138">
        <f>'Tax Sched 23'!F5</f>
        <v>1070203</v>
      </c>
      <c r="C1793" s="2" t="s">
        <v>594</v>
      </c>
      <c r="D1793" s="2" t="str">
        <f t="shared" si="27"/>
        <v>Error?</v>
      </c>
    </row>
    <row r="1794" spans="1:4" x14ac:dyDescent="0.2">
      <c r="A1794" s="5">
        <v>1733</v>
      </c>
      <c r="B1794" s="138">
        <f>'Tax Sched 23'!F6</f>
        <v>1778079</v>
      </c>
      <c r="C1794" s="2" t="s">
        <v>594</v>
      </c>
      <c r="D1794" s="2" t="str">
        <f t="shared" si="27"/>
        <v>Error?</v>
      </c>
    </row>
    <row r="1795" spans="1:4" x14ac:dyDescent="0.2">
      <c r="A1795" s="5">
        <v>1734</v>
      </c>
      <c r="B1795" s="138">
        <f>'Tax Sched 23'!F7</f>
        <v>513698</v>
      </c>
      <c r="C1795" s="2" t="s">
        <v>594</v>
      </c>
      <c r="D1795" s="2" t="str">
        <f t="shared" si="27"/>
        <v>Error?</v>
      </c>
    </row>
    <row r="1796" spans="1:4" x14ac:dyDescent="0.2">
      <c r="A1796" s="5">
        <v>1735</v>
      </c>
      <c r="B1796" s="138">
        <f>'Tax Sched 23'!F8</f>
        <v>128381</v>
      </c>
      <c r="C1796" s="2" t="s">
        <v>594</v>
      </c>
      <c r="D1796" s="2" t="str">
        <f t="shared" si="27"/>
        <v>Error?</v>
      </c>
    </row>
    <row r="1797" spans="1:4" x14ac:dyDescent="0.2">
      <c r="A1797" s="5">
        <v>1736</v>
      </c>
      <c r="B1797" s="138">
        <f>'Tax Sched 23'!F10</f>
        <v>214041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343878</v>
      </c>
      <c r="C1800" s="2" t="s">
        <v>594</v>
      </c>
      <c r="D1800" s="2" t="str">
        <f t="shared" si="27"/>
        <v>Error?</v>
      </c>
    </row>
    <row r="1801" spans="1:4" x14ac:dyDescent="0.2">
      <c r="A1801" s="5">
        <v>1740</v>
      </c>
      <c r="B1801" s="138">
        <f>'Tax Sched 23'!F12</f>
        <v>91738</v>
      </c>
      <c r="C1801" s="2" t="s">
        <v>594</v>
      </c>
      <c r="D1801" s="2" t="str">
        <f t="shared" si="27"/>
        <v>Error?</v>
      </c>
    </row>
    <row r="1802" spans="1:4" x14ac:dyDescent="0.2">
      <c r="A1802" s="5">
        <v>1741</v>
      </c>
      <c r="B1802" s="138">
        <f>'Tax Sched 23'!F14</f>
        <v>85616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8485002</v>
      </c>
      <c r="C1807" s="2" t="s">
        <v>594</v>
      </c>
      <c r="D1807" s="2" t="str">
        <f t="shared" si="27"/>
        <v>Error?</v>
      </c>
    </row>
    <row r="1808" spans="1:4" x14ac:dyDescent="0.2">
      <c r="A1808" s="5">
        <v>1747</v>
      </c>
      <c r="B1808" s="138">
        <f>'Tax Sched 23'!E4</f>
        <v>3939599</v>
      </c>
      <c r="D1808" s="2" t="str">
        <f t="shared" si="27"/>
        <v>Error?</v>
      </c>
    </row>
    <row r="1809" spans="1:4" x14ac:dyDescent="0.2">
      <c r="A1809" s="5">
        <v>1748</v>
      </c>
      <c r="B1809" s="138">
        <f>'Tax Sched 23'!E5</f>
        <v>1070543</v>
      </c>
      <c r="D1809" s="2" t="str">
        <f t="shared" si="27"/>
        <v>Error?</v>
      </c>
    </row>
    <row r="1810" spans="1:4" x14ac:dyDescent="0.2">
      <c r="A1810" s="5">
        <v>1749</v>
      </c>
      <c r="B1810" s="138">
        <f>'Tax Sched 23'!E6</f>
        <v>1778643</v>
      </c>
      <c r="D1810" s="2" t="str">
        <f t="shared" si="27"/>
        <v>Error?</v>
      </c>
    </row>
    <row r="1811" spans="1:4" x14ac:dyDescent="0.2">
      <c r="A1811" s="5">
        <v>1750</v>
      </c>
      <c r="B1811" s="138">
        <f>'Tax Sched 23'!E7</f>
        <v>513861</v>
      </c>
      <c r="D1811" s="2" t="str">
        <f t="shared" si="27"/>
        <v>Error?</v>
      </c>
    </row>
    <row r="1812" spans="1:4" x14ac:dyDescent="0.2">
      <c r="A1812" s="5">
        <v>1751</v>
      </c>
      <c r="B1812" s="138">
        <f>'Tax Sched 23'!E8</f>
        <v>128422</v>
      </c>
      <c r="D1812" s="2" t="str">
        <f t="shared" si="27"/>
        <v>Error?</v>
      </c>
    </row>
    <row r="1813" spans="1:4" x14ac:dyDescent="0.2">
      <c r="A1813" s="5">
        <v>1752</v>
      </c>
      <c r="B1813" s="138">
        <f>'Tax Sched 23'!E10</f>
        <v>214109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343987</v>
      </c>
      <c r="D1816" s="2" t="str">
        <f t="shared" si="27"/>
        <v>Error?</v>
      </c>
    </row>
    <row r="1817" spans="1:4" x14ac:dyDescent="0.2">
      <c r="A1817" s="5">
        <v>1756</v>
      </c>
      <c r="B1817" s="138">
        <f>'Tax Sched 23'!E12</f>
        <v>91767</v>
      </c>
      <c r="D1817" s="2" t="str">
        <f t="shared" si="27"/>
        <v>Error?</v>
      </c>
    </row>
    <row r="1818" spans="1:4" x14ac:dyDescent="0.2">
      <c r="A1818" s="5">
        <v>1757</v>
      </c>
      <c r="B1818" s="138">
        <f>'Tax Sched 23'!E14</f>
        <v>85643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8487694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5645000</v>
      </c>
      <c r="C1939" s="2" t="s">
        <v>594</v>
      </c>
      <c r="D1939" s="2" t="str">
        <f t="shared" si="29"/>
        <v>Error?</v>
      </c>
    </row>
    <row r="1940" spans="1:5" x14ac:dyDescent="0.2">
      <c r="A1940" s="5">
        <v>1879</v>
      </c>
      <c r="B1940" s="138">
        <f>'Short-Term Long-Term Debt 24'!F49</f>
        <v>1695000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84450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84450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84450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62042</v>
      </c>
      <c r="D2008" s="2" t="str">
        <f t="shared" si="30"/>
        <v>Error?</v>
      </c>
    </row>
    <row r="2009" spans="1:4" x14ac:dyDescent="0.2">
      <c r="A2009" s="5">
        <v>1948</v>
      </c>
      <c r="B2009" s="138">
        <f>'Cap Outlay Deprec 26'!C8</f>
        <v>18606923</v>
      </c>
      <c r="D2009" s="2" t="str">
        <f t="shared" si="30"/>
        <v>Error?</v>
      </c>
    </row>
    <row r="2010" spans="1:4" x14ac:dyDescent="0.2">
      <c r="A2010" s="5">
        <v>1949</v>
      </c>
      <c r="B2010" s="138">
        <f>'Cap Outlay Deprec 26'!C10</f>
        <v>719061</v>
      </c>
      <c r="D2010" s="2" t="str">
        <f t="shared" si="30"/>
        <v>Error?</v>
      </c>
    </row>
    <row r="2011" spans="1:4" x14ac:dyDescent="0.2">
      <c r="A2011" s="5">
        <v>1950</v>
      </c>
      <c r="B2011" s="138">
        <f>'Cap Outlay Deprec 26'!C12</f>
        <v>523958</v>
      </c>
      <c r="D2011" s="2" t="str">
        <f t="shared" si="30"/>
        <v>Error?</v>
      </c>
    </row>
    <row r="2012" spans="1:4" x14ac:dyDescent="0.2">
      <c r="A2012" s="5">
        <v>1951</v>
      </c>
      <c r="B2012" s="138">
        <f>'Cap Outlay Deprec 26'!C13</f>
        <v>4764151</v>
      </c>
      <c r="D2012" s="2" t="str">
        <f t="shared" si="30"/>
        <v>Error?</v>
      </c>
    </row>
    <row r="2013" spans="1:4" x14ac:dyDescent="0.2">
      <c r="A2013" s="5">
        <v>1952</v>
      </c>
      <c r="B2013" s="138">
        <f>'Cap Outlay Deprec 26'!C16</f>
        <v>24676135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251358</v>
      </c>
      <c r="D2015" s="2" t="str">
        <f t="shared" si="30"/>
        <v>Error?</v>
      </c>
    </row>
    <row r="2016" spans="1:4" x14ac:dyDescent="0.2">
      <c r="A2016" s="5">
        <v>1955</v>
      </c>
      <c r="B2016" s="138">
        <f>'Cap Outlay Deprec 26'!D10</f>
        <v>33870</v>
      </c>
      <c r="D2016" s="2" t="str">
        <f t="shared" si="30"/>
        <v>Error?</v>
      </c>
    </row>
    <row r="2017" spans="1:4" x14ac:dyDescent="0.2">
      <c r="A2017" s="5">
        <v>1956</v>
      </c>
      <c r="B2017" s="138">
        <f>'Cap Outlay Deprec 26'!D12</f>
        <v>22192</v>
      </c>
      <c r="D2017" s="2" t="str">
        <f t="shared" si="30"/>
        <v>Error?</v>
      </c>
    </row>
    <row r="2018" spans="1:4" x14ac:dyDescent="0.2">
      <c r="A2018" s="5">
        <v>1957</v>
      </c>
      <c r="B2018" s="138">
        <f>'Cap Outlay Deprec 26'!D13</f>
        <v>126262</v>
      </c>
      <c r="D2018" s="2" t="str">
        <f t="shared" si="30"/>
        <v>Error?</v>
      </c>
    </row>
    <row r="2019" spans="1:4" x14ac:dyDescent="0.2">
      <c r="A2019" s="5">
        <v>1958</v>
      </c>
      <c r="B2019" s="138">
        <f>'Cap Outlay Deprec 26'!D16</f>
        <v>526692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62042</v>
      </c>
      <c r="C2026" s="2" t="s">
        <v>594</v>
      </c>
      <c r="D2026" s="2" t="str">
        <f t="shared" si="30"/>
        <v>Error?</v>
      </c>
    </row>
    <row r="2027" spans="1:4" x14ac:dyDescent="0.2">
      <c r="A2027" s="5">
        <v>1966</v>
      </c>
      <c r="B2027" s="138">
        <f>'Cap Outlay Deprec 26'!F8</f>
        <v>18858281</v>
      </c>
      <c r="C2027" s="2" t="s">
        <v>594</v>
      </c>
      <c r="D2027" s="2" t="str">
        <f t="shared" si="30"/>
        <v>Error?</v>
      </c>
    </row>
    <row r="2028" spans="1:4" x14ac:dyDescent="0.2">
      <c r="A2028" s="5">
        <v>1967</v>
      </c>
      <c r="B2028" s="138">
        <f>'Cap Outlay Deprec 26'!F10</f>
        <v>752931</v>
      </c>
      <c r="C2028" s="2" t="s">
        <v>594</v>
      </c>
      <c r="D2028" s="2" t="str">
        <f t="shared" si="30"/>
        <v>Error?</v>
      </c>
    </row>
    <row r="2029" spans="1:4" x14ac:dyDescent="0.2">
      <c r="A2029" s="5">
        <v>1968</v>
      </c>
      <c r="B2029" s="138">
        <f>'Cap Outlay Deprec 26'!F12</f>
        <v>546150</v>
      </c>
      <c r="C2029" s="2" t="s">
        <v>594</v>
      </c>
      <c r="D2029" s="2" t="str">
        <f t="shared" si="30"/>
        <v>Error?</v>
      </c>
    </row>
    <row r="2030" spans="1:4" x14ac:dyDescent="0.2">
      <c r="A2030" s="5">
        <v>1969</v>
      </c>
      <c r="B2030" s="138">
        <f>'Cap Outlay Deprec 26'!F13</f>
        <v>4890413</v>
      </c>
      <c r="C2030" s="2" t="s">
        <v>594</v>
      </c>
      <c r="D2030" s="2" t="str">
        <f t="shared" si="30"/>
        <v>Error?</v>
      </c>
    </row>
    <row r="2031" spans="1:4" x14ac:dyDescent="0.2">
      <c r="A2031" s="5">
        <v>1970</v>
      </c>
      <c r="B2031" s="138">
        <f>'Cap Outlay Deprec 26'!F16</f>
        <v>25202827</v>
      </c>
      <c r="C2031" s="2" t="s">
        <v>594</v>
      </c>
      <c r="D2031" s="2" t="str">
        <f t="shared" si="30"/>
        <v>Error?</v>
      </c>
    </row>
    <row r="2032" spans="1:4" x14ac:dyDescent="0.2">
      <c r="A2032" s="10">
        <v>1971</v>
      </c>
      <c r="D2032" s="2" t="str">
        <f t="shared" si="30"/>
        <v>OK</v>
      </c>
    </row>
    <row r="2033" spans="1:4" x14ac:dyDescent="0.2">
      <c r="A2033" s="5">
        <v>1972</v>
      </c>
      <c r="B2033" s="138">
        <f>'Cap Outlay Deprec 26'!H8</f>
        <v>10370760</v>
      </c>
      <c r="D2033" s="2" t="str">
        <f t="shared" si="30"/>
        <v>Error?</v>
      </c>
    </row>
    <row r="2034" spans="1:4" x14ac:dyDescent="0.2">
      <c r="A2034" s="5">
        <v>1973</v>
      </c>
      <c r="B2034" s="138">
        <f>'Cap Outlay Deprec 26'!H10</f>
        <v>473915</v>
      </c>
      <c r="D2034" s="2" t="str">
        <f t="shared" si="30"/>
        <v>Error?</v>
      </c>
    </row>
    <row r="2035" spans="1:4" x14ac:dyDescent="0.2">
      <c r="A2035" s="5">
        <v>1974</v>
      </c>
      <c r="B2035" s="138">
        <f>'Cap Outlay Deprec 26'!H12</f>
        <v>481831</v>
      </c>
      <c r="D2035" s="2" t="str">
        <f t="shared" si="30"/>
        <v>Error?</v>
      </c>
    </row>
    <row r="2036" spans="1:4" x14ac:dyDescent="0.2">
      <c r="A2036" s="5">
        <v>1975</v>
      </c>
      <c r="B2036" s="138">
        <f>'Cap Outlay Deprec 26'!H13</f>
        <v>4453696</v>
      </c>
      <c r="D2036" s="2" t="str">
        <f t="shared" si="30"/>
        <v>Error?</v>
      </c>
    </row>
    <row r="2037" spans="1:4" x14ac:dyDescent="0.2">
      <c r="A2037" s="5">
        <v>1976</v>
      </c>
      <c r="B2037" s="138">
        <f>'Cap Outlay Deprec 26'!H16</f>
        <v>15780202</v>
      </c>
      <c r="C2037" s="2" t="s">
        <v>594</v>
      </c>
      <c r="D2037" s="2" t="str">
        <f t="shared" si="30"/>
        <v>Error?</v>
      </c>
    </row>
    <row r="2038" spans="1:4" x14ac:dyDescent="0.2">
      <c r="A2038" s="10">
        <v>1977</v>
      </c>
      <c r="D2038" s="2" t="str">
        <f t="shared" si="30"/>
        <v>OK</v>
      </c>
    </row>
    <row r="2039" spans="1:4" x14ac:dyDescent="0.2">
      <c r="A2039" s="5">
        <v>1978</v>
      </c>
      <c r="B2039" s="138">
        <f>'Cap Outlay Deprec 26'!I8</f>
        <v>429117</v>
      </c>
      <c r="D2039" s="2" t="str">
        <f t="shared" si="30"/>
        <v>Error?</v>
      </c>
    </row>
    <row r="2040" spans="1:4" x14ac:dyDescent="0.2">
      <c r="A2040" s="5">
        <v>1979</v>
      </c>
      <c r="B2040" s="138">
        <f>'Cap Outlay Deprec 26'!I10</f>
        <v>25758</v>
      </c>
      <c r="D2040" s="2" t="str">
        <f t="shared" si="30"/>
        <v>Error?</v>
      </c>
    </row>
    <row r="2041" spans="1:4" x14ac:dyDescent="0.2">
      <c r="A2041" s="5">
        <v>1980</v>
      </c>
      <c r="B2041" s="138">
        <f>'Cap Outlay Deprec 26'!I12</f>
        <v>14712</v>
      </c>
      <c r="D2041" s="2" t="str">
        <f t="shared" si="30"/>
        <v>Error?</v>
      </c>
    </row>
    <row r="2042" spans="1:4" x14ac:dyDescent="0.2">
      <c r="A2042" s="5">
        <v>1981</v>
      </c>
      <c r="B2042" s="138">
        <f>'Cap Outlay Deprec 26'!I13</f>
        <v>156635</v>
      </c>
      <c r="D2042" s="2" t="str">
        <f t="shared" si="30"/>
        <v>Error?</v>
      </c>
    </row>
    <row r="2043" spans="1:4" x14ac:dyDescent="0.2">
      <c r="A2043" s="5">
        <v>1982</v>
      </c>
      <c r="B2043" s="138">
        <f>'Cap Outlay Deprec 26'!I16</f>
        <v>626222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10799877</v>
      </c>
      <c r="C2051" s="2" t="s">
        <v>594</v>
      </c>
      <c r="D2051" s="2" t="str">
        <f t="shared" si="31"/>
        <v>Error?</v>
      </c>
    </row>
    <row r="2052" spans="1:4" x14ac:dyDescent="0.2">
      <c r="A2052" s="5">
        <v>1991</v>
      </c>
      <c r="B2052" s="138">
        <f>'Cap Outlay Deprec 26'!K10</f>
        <v>499673</v>
      </c>
      <c r="C2052" s="2" t="s">
        <v>594</v>
      </c>
      <c r="D2052" s="2" t="str">
        <f t="shared" si="31"/>
        <v>Error?</v>
      </c>
    </row>
    <row r="2053" spans="1:4" x14ac:dyDescent="0.2">
      <c r="A2053" s="5">
        <v>1992</v>
      </c>
      <c r="B2053" s="138">
        <f>'Cap Outlay Deprec 26'!K12</f>
        <v>496543</v>
      </c>
      <c r="C2053" s="2" t="s">
        <v>594</v>
      </c>
      <c r="D2053" s="2" t="str">
        <f t="shared" si="31"/>
        <v>Error?</v>
      </c>
    </row>
    <row r="2054" spans="1:4" x14ac:dyDescent="0.2">
      <c r="A2054" s="5">
        <v>1993</v>
      </c>
      <c r="B2054" s="138">
        <f>'Cap Outlay Deprec 26'!K13</f>
        <v>4610331</v>
      </c>
      <c r="C2054" s="2" t="s">
        <v>594</v>
      </c>
      <c r="D2054" s="2" t="str">
        <f t="shared" si="31"/>
        <v>Error?</v>
      </c>
    </row>
    <row r="2055" spans="1:4" x14ac:dyDescent="0.2">
      <c r="A2055" s="5">
        <v>1994</v>
      </c>
      <c r="B2055" s="138">
        <f>'Cap Outlay Deprec 26'!K16</f>
        <v>16406424</v>
      </c>
      <c r="C2055" s="2" t="s">
        <v>594</v>
      </c>
      <c r="D2055" s="2" t="str">
        <f t="shared" si="31"/>
        <v>Error?</v>
      </c>
    </row>
    <row r="2056" spans="1:4" x14ac:dyDescent="0.2">
      <c r="A2056" s="5">
        <v>1995</v>
      </c>
      <c r="B2056" s="138">
        <f>'Cap Outlay Deprec 26'!L5</f>
        <v>62042</v>
      </c>
      <c r="C2056" s="2" t="s">
        <v>594</v>
      </c>
      <c r="D2056" s="2" t="str">
        <f t="shared" si="31"/>
        <v>Error?</v>
      </c>
    </row>
    <row r="2057" spans="1:4" x14ac:dyDescent="0.2">
      <c r="A2057" s="5">
        <v>1996</v>
      </c>
      <c r="B2057" s="138">
        <f>'Cap Outlay Deprec 26'!L8</f>
        <v>8058404</v>
      </c>
      <c r="C2057" s="2" t="s">
        <v>594</v>
      </c>
      <c r="D2057" s="2" t="str">
        <f t="shared" si="31"/>
        <v>Error?</v>
      </c>
    </row>
    <row r="2058" spans="1:4" x14ac:dyDescent="0.2">
      <c r="A2058" s="5">
        <v>1997</v>
      </c>
      <c r="B2058" s="138">
        <f>'Cap Outlay Deprec 26'!L10</f>
        <v>253258</v>
      </c>
      <c r="C2058" s="2" t="s">
        <v>594</v>
      </c>
      <c r="D2058" s="2" t="str">
        <f t="shared" si="31"/>
        <v>Error?</v>
      </c>
    </row>
    <row r="2059" spans="1:4" x14ac:dyDescent="0.2">
      <c r="A2059" s="5">
        <v>1998</v>
      </c>
      <c r="B2059" s="138">
        <f>'Cap Outlay Deprec 26'!L12</f>
        <v>49607</v>
      </c>
      <c r="C2059" s="2" t="s">
        <v>594</v>
      </c>
      <c r="D2059" s="2" t="str">
        <f t="shared" si="31"/>
        <v>Error?</v>
      </c>
    </row>
    <row r="2060" spans="1:4" x14ac:dyDescent="0.2">
      <c r="A2060" s="5">
        <v>1999</v>
      </c>
      <c r="B2060" s="138">
        <f>'Cap Outlay Deprec 26'!L13</f>
        <v>280082</v>
      </c>
      <c r="C2060" s="2" t="s">
        <v>594</v>
      </c>
      <c r="D2060" s="2" t="str">
        <f t="shared" si="31"/>
        <v>Error?</v>
      </c>
    </row>
    <row r="2061" spans="1:4" x14ac:dyDescent="0.2">
      <c r="A2061" s="5">
        <v>2000</v>
      </c>
      <c r="B2061" s="138">
        <f>'Cap Outlay Deprec 26'!L16</f>
        <v>8796403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960681</v>
      </c>
      <c r="C2088" s="2" t="s">
        <v>594</v>
      </c>
      <c r="D2088" s="2" t="str">
        <f t="shared" si="31"/>
        <v>Error?</v>
      </c>
    </row>
    <row r="2089" spans="1:4" x14ac:dyDescent="0.2">
      <c r="A2089" s="5">
        <v>2028</v>
      </c>
      <c r="B2089" s="138">
        <f>'Expenditures 15-22'!K92</f>
        <v>1154095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94991</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1918000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769734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45274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6321360</v>
      </c>
      <c r="C2551" s="2" t="s">
        <v>594</v>
      </c>
      <c r="D2551" s="2" t="str">
        <f t="shared" si="38"/>
        <v>Error?</v>
      </c>
    </row>
    <row r="2552" spans="1:4" x14ac:dyDescent="0.2">
      <c r="A2552" s="10">
        <v>2491</v>
      </c>
      <c r="D2552" s="2" t="str">
        <f t="shared" si="38"/>
        <v>OK</v>
      </c>
    </row>
    <row r="2553" spans="1:4" x14ac:dyDescent="0.2">
      <c r="A2553" s="5">
        <v>2492</v>
      </c>
      <c r="B2553" s="138">
        <f>'Acct Summary 7-8'!C6</f>
        <v>2275102</v>
      </c>
      <c r="C2553" s="2" t="s">
        <v>594</v>
      </c>
      <c r="D2553" s="2" t="str">
        <f t="shared" si="38"/>
        <v>Error?</v>
      </c>
    </row>
    <row r="2554" spans="1:4" x14ac:dyDescent="0.2">
      <c r="A2554" s="5">
        <v>2493</v>
      </c>
      <c r="B2554" s="138">
        <f>'Acct Summary 7-8'!C7</f>
        <v>331924</v>
      </c>
      <c r="C2554" s="2" t="s">
        <v>594</v>
      </c>
      <c r="D2554" s="2" t="str">
        <f t="shared" si="38"/>
        <v>Error?</v>
      </c>
    </row>
    <row r="2555" spans="1:4" x14ac:dyDescent="0.2">
      <c r="A2555" s="5">
        <v>2494</v>
      </c>
      <c r="B2555" s="138">
        <f>'Acct Summary 7-8'!C8</f>
        <v>8928386</v>
      </c>
      <c r="C2555" s="2" t="s">
        <v>594</v>
      </c>
      <c r="D2555" s="2" t="str">
        <f t="shared" si="38"/>
        <v>Error?</v>
      </c>
    </row>
    <row r="2556" spans="1:4" x14ac:dyDescent="0.2">
      <c r="A2556" s="5">
        <v>2495</v>
      </c>
      <c r="B2556" s="138">
        <f>'Acct Summary 7-8'!C12</f>
        <v>6683054</v>
      </c>
      <c r="C2556" s="2" t="s">
        <v>594</v>
      </c>
      <c r="D2556" s="2" t="str">
        <f t="shared" si="38"/>
        <v>Error?</v>
      </c>
    </row>
    <row r="2557" spans="1:4" x14ac:dyDescent="0.2">
      <c r="A2557" s="5">
        <v>2496</v>
      </c>
      <c r="B2557" s="138">
        <f>'Acct Summary 7-8'!C13</f>
        <v>1826876</v>
      </c>
      <c r="C2557" s="2" t="s">
        <v>594</v>
      </c>
      <c r="D2557" s="2" t="str">
        <f t="shared" si="38"/>
        <v>Error?</v>
      </c>
    </row>
    <row r="2558" spans="1:4" x14ac:dyDescent="0.2">
      <c r="A2558" s="5">
        <v>2497</v>
      </c>
      <c r="B2558" s="138">
        <f>'Acct Summary 7-8'!C14</f>
        <v>40713</v>
      </c>
      <c r="C2558" s="2" t="s">
        <v>594</v>
      </c>
      <c r="D2558" s="2" t="str">
        <f t="shared" si="38"/>
        <v>Error?</v>
      </c>
    </row>
    <row r="2559" spans="1:4" x14ac:dyDescent="0.2">
      <c r="A2559" s="5">
        <v>2498</v>
      </c>
      <c r="B2559" s="138">
        <f>'Acct Summary 7-8'!C15</f>
        <v>2114776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10665419</v>
      </c>
      <c r="C2561" s="2" t="s">
        <v>594</v>
      </c>
      <c r="D2561" s="2" t="str">
        <f t="shared" si="39"/>
        <v>Error?</v>
      </c>
    </row>
    <row r="2562" spans="1:4" x14ac:dyDescent="0.2">
      <c r="A2562" s="5">
        <v>2501</v>
      </c>
      <c r="B2562" s="138">
        <f>'Acct Summary 7-8'!C20</f>
        <v>-1737033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1627235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1627235</v>
      </c>
      <c r="C2568" s="2" t="s">
        <v>594</v>
      </c>
      <c r="D2568" s="2" t="str">
        <f t="shared" si="39"/>
        <v>Error?</v>
      </c>
    </row>
    <row r="2569" spans="1:4" x14ac:dyDescent="0.2">
      <c r="A2569" s="5">
        <v>2508</v>
      </c>
      <c r="B2569" s="138">
        <f>'Acct Summary 7-8'!D13</f>
        <v>1648093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94991</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1743084</v>
      </c>
      <c r="C2573" s="2" t="s">
        <v>594</v>
      </c>
      <c r="D2573" s="2" t="str">
        <f t="shared" si="39"/>
        <v>Error?</v>
      </c>
    </row>
    <row r="2574" spans="1:4" x14ac:dyDescent="0.2">
      <c r="A2574" s="5">
        <v>2513</v>
      </c>
      <c r="B2574" s="138">
        <f>'Acct Summary 7-8'!D20</f>
        <v>-115849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513982</v>
      </c>
      <c r="C2591" s="2" t="s">
        <v>594</v>
      </c>
      <c r="D2591" s="2" t="str">
        <f t="shared" si="39"/>
        <v>Error?</v>
      </c>
    </row>
    <row r="2592" spans="1:4" x14ac:dyDescent="0.2">
      <c r="A2592" s="10">
        <v>2531</v>
      </c>
      <c r="D2592" s="2" t="str">
        <f t="shared" si="39"/>
        <v>OK</v>
      </c>
    </row>
    <row r="2593" spans="1:4" x14ac:dyDescent="0.2">
      <c r="A2593" s="5">
        <v>2532</v>
      </c>
      <c r="B2593" s="138">
        <f>'Acct Summary 7-8'!F6</f>
        <v>251924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765906</v>
      </c>
      <c r="C2595" s="2" t="s">
        <v>594</v>
      </c>
      <c r="D2595" s="2" t="str">
        <f t="shared" si="39"/>
        <v>Error?</v>
      </c>
    </row>
    <row r="2596" spans="1:4" x14ac:dyDescent="0.2">
      <c r="A2596" s="5">
        <v>2535</v>
      </c>
      <c r="B2596" s="138">
        <f>'Acct Summary 7-8'!F13</f>
        <v>84824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567437</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652261</v>
      </c>
      <c r="C2600" s="2" t="s">
        <v>594</v>
      </c>
      <c r="D2600" s="2" t="str">
        <f t="shared" si="39"/>
        <v>Error?</v>
      </c>
    </row>
    <row r="2601" spans="1:4" x14ac:dyDescent="0.2">
      <c r="A2601" s="5">
        <v>2540</v>
      </c>
      <c r="B2601" s="138">
        <f>'Acct Summary 7-8'!F20</f>
        <v>113645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345764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345764</v>
      </c>
      <c r="C2606" s="2" t="s">
        <v>594</v>
      </c>
      <c r="D2606" s="2" t="str">
        <f t="shared" si="39"/>
        <v>Error?</v>
      </c>
    </row>
    <row r="2607" spans="1:4" x14ac:dyDescent="0.2">
      <c r="A2607" s="5">
        <v>2546</v>
      </c>
      <c r="B2607" s="138">
        <f>'Acct Summary 7-8'!G12</f>
        <v>97438</v>
      </c>
      <c r="C2607" s="2" t="s">
        <v>594</v>
      </c>
      <c r="D2607" s="2" t="str">
        <f t="shared" si="39"/>
        <v>Error?</v>
      </c>
    </row>
    <row r="2608" spans="1:4" x14ac:dyDescent="0.2">
      <c r="A2608" s="5">
        <v>2547</v>
      </c>
      <c r="B2608" s="138">
        <f>'Acct Summary 7-8'!G13</f>
        <v>196447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293885</v>
      </c>
      <c r="C2612" s="2" t="s">
        <v>594</v>
      </c>
      <c r="D2612" s="2" t="str">
        <f t="shared" si="39"/>
        <v>Error?</v>
      </c>
    </row>
    <row r="2613" spans="1:4" x14ac:dyDescent="0.2">
      <c r="A2613" s="5">
        <v>2552</v>
      </c>
      <c r="B2613" s="138">
        <f>'Acct Summary 7-8'!G20</f>
        <v>51879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2038800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2038800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2037320</v>
      </c>
      <c r="C2634" s="2" t="s">
        <v>594</v>
      </c>
      <c r="D2634" s="2" t="str">
        <f t="shared" si="40"/>
        <v>Error?</v>
      </c>
    </row>
    <row r="2635" spans="1:4" x14ac:dyDescent="0.2">
      <c r="A2635" s="5">
        <v>2574</v>
      </c>
      <c r="B2635" s="138">
        <f>'Acct Summary 7-8'!E17</f>
        <v>2037320</v>
      </c>
      <c r="C2635" s="2" t="s">
        <v>594</v>
      </c>
      <c r="D2635" s="2" t="str">
        <f t="shared" si="40"/>
        <v>Error?</v>
      </c>
    </row>
    <row r="2636" spans="1:4" x14ac:dyDescent="0.2">
      <c r="A2636" s="5">
        <v>2575</v>
      </c>
      <c r="B2636" s="138">
        <f>'Acct Summary 7-8'!E20</f>
        <v>1480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960681</v>
      </c>
      <c r="C2789" s="2" t="s">
        <v>594</v>
      </c>
      <c r="D2789" s="2" t="str">
        <f t="shared" si="42"/>
        <v>Error?</v>
      </c>
    </row>
    <row r="2790" spans="1:4" x14ac:dyDescent="0.2">
      <c r="A2790" s="5">
        <v>2729</v>
      </c>
      <c r="B2790" s="138">
        <f>'Expenditures 15-22'!E102</f>
        <v>960681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567437</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567437</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567437</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93010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1255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10404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174836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10404</v>
      </c>
      <c r="D2912" s="2" t="str">
        <f t="shared" si="44"/>
        <v>Error?</v>
      </c>
    </row>
    <row r="2913" spans="1:4" x14ac:dyDescent="0.2">
      <c r="A2913" s="5">
        <v>2852</v>
      </c>
      <c r="B2913" s="138">
        <f>'Assets-Liab 5-6'!I41</f>
        <v>10404</v>
      </c>
      <c r="C2913" s="2" t="s">
        <v>594</v>
      </c>
      <c r="D2913" s="2" t="str">
        <f t="shared" si="44"/>
        <v>Error?</v>
      </c>
    </row>
    <row r="2914" spans="1:4" x14ac:dyDescent="0.2">
      <c r="A2914" s="5">
        <v>2853</v>
      </c>
      <c r="B2914" s="138">
        <f>'Assets-Liab 5-6'!L33</f>
        <v>174836</v>
      </c>
      <c r="D2914" s="2" t="str">
        <f t="shared" si="44"/>
        <v>Error?</v>
      </c>
    </row>
    <row r="2915" spans="1:4" x14ac:dyDescent="0.2">
      <c r="A2915" s="10">
        <v>2854</v>
      </c>
      <c r="D2915" s="2" t="str">
        <f t="shared" si="44"/>
        <v>OK</v>
      </c>
    </row>
    <row r="2916" spans="1:4" x14ac:dyDescent="0.2">
      <c r="A2916" s="5">
        <v>2855</v>
      </c>
      <c r="B2916" s="138">
        <f>'Assets-Liab 5-6'!L34</f>
        <v>174836</v>
      </c>
      <c r="C2916" s="2" t="s">
        <v>594</v>
      </c>
      <c r="D2916" s="2" t="str">
        <f t="shared" si="44"/>
        <v>Error?</v>
      </c>
    </row>
    <row r="2917" spans="1:4" x14ac:dyDescent="0.2">
      <c r="A2917" s="5">
        <v>2856</v>
      </c>
      <c r="B2917" s="138">
        <f>'Assets-Liab 5-6'!L41</f>
        <v>174836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960681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960681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94991</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257968</v>
      </c>
      <c r="D2995" s="2" t="str">
        <f t="shared" si="45"/>
        <v>Error?</v>
      </c>
    </row>
    <row r="2996" spans="1:4" x14ac:dyDescent="0.2">
      <c r="A2996" s="5">
        <v>2935</v>
      </c>
      <c r="B2996" s="138">
        <f>'Expenditures 15-22'!H189</f>
        <v>309469</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257968</v>
      </c>
      <c r="C3007" s="2" t="s">
        <v>594</v>
      </c>
      <c r="D3007" s="2" t="str">
        <f t="shared" ref="D3007:D3070" si="46">IF(ISBLANK(B3007),"OK",IF(A3007-B3007=0,"OK","Error?"))</f>
        <v>Error?</v>
      </c>
    </row>
    <row r="3008" spans="1:4" x14ac:dyDescent="0.2">
      <c r="A3008" s="5">
        <v>2947</v>
      </c>
      <c r="B3008" s="138">
        <f>'Expenditures 15-22'!K189</f>
        <v>309469</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39512</v>
      </c>
      <c r="D3055" s="2" t="str">
        <f t="shared" si="46"/>
        <v>Error?</v>
      </c>
    </row>
    <row r="3056" spans="1:4" x14ac:dyDescent="0.2">
      <c r="A3056" s="5">
        <v>2995</v>
      </c>
      <c r="B3056" s="138">
        <f>'Expenditures 15-22'!D10</f>
        <v>13532</v>
      </c>
      <c r="D3056" s="2" t="str">
        <f t="shared" si="46"/>
        <v>Error?</v>
      </c>
    </row>
    <row r="3057" spans="1:4" x14ac:dyDescent="0.2">
      <c r="A3057" s="5">
        <v>2996</v>
      </c>
      <c r="B3057" s="138">
        <f>'Expenditures 15-22'!E10</f>
        <v>210</v>
      </c>
      <c r="D3057" s="2" t="str">
        <f t="shared" si="46"/>
        <v>Error?</v>
      </c>
    </row>
    <row r="3058" spans="1:4" x14ac:dyDescent="0.2">
      <c r="A3058" s="5">
        <v>2997</v>
      </c>
      <c r="B3058" s="138">
        <f>'Expenditures 15-22'!F10</f>
        <v>29280</v>
      </c>
      <c r="D3058" s="2" t="str">
        <f t="shared" si="46"/>
        <v>Error?</v>
      </c>
    </row>
    <row r="3059" spans="1:4" x14ac:dyDescent="0.2">
      <c r="A3059" s="5">
        <v>2998</v>
      </c>
      <c r="B3059" s="138">
        <f>'Expenditures 15-22'!G10</f>
        <v>17540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100074</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211126</v>
      </c>
      <c r="C3225" s="2" t="s">
        <v>594</v>
      </c>
      <c r="D3225" s="2" t="str">
        <f t="shared" si="49"/>
        <v>Error?</v>
      </c>
    </row>
    <row r="3226" spans="1:4" x14ac:dyDescent="0.2">
      <c r="A3226" s="5">
        <v>3165</v>
      </c>
      <c r="B3226" s="138">
        <f>'Acct Summary 7-8'!I8</f>
        <v>211126</v>
      </c>
      <c r="C3226" s="2" t="s">
        <v>594</v>
      </c>
      <c r="D3226" s="2" t="str">
        <f t="shared" si="49"/>
        <v>Error?</v>
      </c>
    </row>
    <row r="3227" spans="1:4" x14ac:dyDescent="0.2">
      <c r="A3227" s="5">
        <v>3166</v>
      </c>
      <c r="B3227" s="138">
        <f>'Acct Summary 7-8'!I20</f>
        <v>211126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1918000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1918000</v>
      </c>
      <c r="C3232" s="2" t="s">
        <v>594</v>
      </c>
      <c r="D3232" s="2" t="str">
        <f t="shared" si="49"/>
        <v>Error?</v>
      </c>
    </row>
    <row r="3233" spans="1:4" x14ac:dyDescent="0.2">
      <c r="A3233" s="5">
        <v>3172</v>
      </c>
      <c r="B3233" s="138">
        <f>'Acct Summary 7-8'!C78</f>
        <v>180967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200000</v>
      </c>
      <c r="C3238" s="2" t="s">
        <v>594</v>
      </c>
      <c r="D3238" s="2" t="str">
        <f t="shared" si="49"/>
        <v>Error?</v>
      </c>
    </row>
    <row r="3239" spans="1:4" x14ac:dyDescent="0.2">
      <c r="A3239" s="5">
        <v>3178</v>
      </c>
      <c r="B3239" s="138">
        <f>'Acct Summary 7-8'!D78</f>
        <v>84151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200000</v>
      </c>
      <c r="C3254" s="2" t="s">
        <v>594</v>
      </c>
      <c r="D3254" s="2" t="str">
        <f t="shared" si="49"/>
        <v>Error?</v>
      </c>
    </row>
    <row r="3255" spans="1:4" x14ac:dyDescent="0.2">
      <c r="A3255" s="5">
        <v>3194</v>
      </c>
      <c r="B3255" s="138">
        <f>'Acct Summary 7-8'!F77</f>
        <v>-200000</v>
      </c>
      <c r="C3255" s="2" t="s">
        <v>594</v>
      </c>
      <c r="D3255" s="2" t="str">
        <f t="shared" si="49"/>
        <v>Error?</v>
      </c>
    </row>
    <row r="3256" spans="1:4" x14ac:dyDescent="0.2">
      <c r="A3256" s="5">
        <v>3195</v>
      </c>
      <c r="B3256" s="138">
        <f>'Acct Summary 7-8'!F78</f>
        <v>-86355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51879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1480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1752037</v>
      </c>
      <c r="C3317" s="2" t="s">
        <v>594</v>
      </c>
      <c r="D3317" s="2" t="str">
        <f t="shared" si="50"/>
        <v>Error?</v>
      </c>
    </row>
    <row r="3318" spans="1:4" x14ac:dyDescent="0.2">
      <c r="A3318" s="5">
        <v>3257</v>
      </c>
      <c r="B3318" s="138">
        <f>'Acct Summary 7-8'!I76</f>
        <v>1962656</v>
      </c>
      <c r="C3318" s="2" t="s">
        <v>594</v>
      </c>
      <c r="D3318" s="2" t="str">
        <f t="shared" si="50"/>
        <v>Error?</v>
      </c>
    </row>
    <row r="3319" spans="1:4" x14ac:dyDescent="0.2">
      <c r="A3319" s="5">
        <v>3258</v>
      </c>
      <c r="B3319" s="138">
        <f>'Acct Summary 7-8'!I77</f>
        <v>-210619</v>
      </c>
      <c r="C3319" s="2" t="s">
        <v>594</v>
      </c>
      <c r="D3319" s="2" t="str">
        <f t="shared" si="50"/>
        <v>Error?</v>
      </c>
    </row>
    <row r="3320" spans="1:4" x14ac:dyDescent="0.2">
      <c r="A3320" s="5">
        <v>3259</v>
      </c>
      <c r="B3320" s="138">
        <f>'Acct Summary 7-8'!I78</f>
        <v>507</v>
      </c>
      <c r="C3320" s="2" t="s">
        <v>594</v>
      </c>
      <c r="D3320" s="2" t="str">
        <f t="shared" si="50"/>
        <v>Error?</v>
      </c>
    </row>
    <row r="3321" spans="1:4" x14ac:dyDescent="0.2">
      <c r="A3321" s="5">
        <v>3260</v>
      </c>
      <c r="B3321" s="138">
        <f>'Acct Summary 7-8'!I79</f>
        <v>9897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10404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418125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180956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755479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10454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2650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1367664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74474</v>
      </c>
      <c r="D3387" s="2" t="str">
        <f t="shared" si="51"/>
        <v>Error?</v>
      </c>
    </row>
    <row r="3388" spans="1:4" x14ac:dyDescent="0.2">
      <c r="A3388" s="5">
        <v>3327</v>
      </c>
      <c r="B3388" s="138">
        <f>'Expenditures 15-22'!D217</f>
        <v>6212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74474</v>
      </c>
      <c r="C3390" s="2" t="s">
        <v>594</v>
      </c>
      <c r="D3390" s="2" t="str">
        <f t="shared" si="51"/>
        <v>Error?</v>
      </c>
    </row>
    <row r="3391" spans="1:4" x14ac:dyDescent="0.2">
      <c r="A3391" s="5">
        <v>3330</v>
      </c>
      <c r="B3391" s="138">
        <f>'Expenditures 15-22'!K217</f>
        <v>6212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473978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61925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4088</v>
      </c>
      <c r="D3417" s="2" t="str">
        <f t="shared" si="52"/>
        <v>Error?</v>
      </c>
    </row>
    <row r="3418" spans="1:4" x14ac:dyDescent="0.2">
      <c r="A3418" s="10">
        <v>3357</v>
      </c>
      <c r="D3418" s="2" t="str">
        <f t="shared" si="52"/>
        <v>OK</v>
      </c>
    </row>
    <row r="3419" spans="1:4" x14ac:dyDescent="0.2">
      <c r="A3419" s="5">
        <v>3358</v>
      </c>
      <c r="B3419" s="138">
        <f>'Assets-Liab 5-6'!F4</f>
        <v>27803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12022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1553</v>
      </c>
      <c r="D3425" s="2" t="str">
        <f t="shared" si="52"/>
        <v>Error?</v>
      </c>
    </row>
    <row r="3426" spans="1:4" x14ac:dyDescent="0.2">
      <c r="A3426" s="10">
        <v>3365</v>
      </c>
      <c r="D3426" s="2" t="str">
        <f t="shared" si="52"/>
        <v>OK</v>
      </c>
    </row>
    <row r="3427" spans="1:4" x14ac:dyDescent="0.2">
      <c r="A3427" s="5">
        <v>3366</v>
      </c>
      <c r="B3427" s="138">
        <f>'Assets-Liab 5-6'!I4</f>
        <v>9149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174836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198790</v>
      </c>
      <c r="C3446" s="2" t="s">
        <v>594</v>
      </c>
      <c r="D3446" s="2" t="str">
        <f t="shared" si="52"/>
        <v>Error?</v>
      </c>
    </row>
    <row r="3447" spans="1:4" x14ac:dyDescent="0.2">
      <c r="A3447" s="5">
        <v>3386</v>
      </c>
      <c r="B3447" s="138">
        <f>'Tax Sched 23'!D16</f>
        <v>198732</v>
      </c>
      <c r="C3447" s="2" t="s">
        <v>594</v>
      </c>
      <c r="D3447" s="2" t="str">
        <f t="shared" si="52"/>
        <v>Error?</v>
      </c>
    </row>
    <row r="3448" spans="1:4" x14ac:dyDescent="0.2">
      <c r="A3448" s="5">
        <v>3387</v>
      </c>
      <c r="B3448" s="138">
        <f>'Tax Sched 23'!C16</f>
        <v>58</v>
      </c>
      <c r="D3448" s="2" t="str">
        <f t="shared" si="52"/>
        <v>Error?</v>
      </c>
    </row>
    <row r="3449" spans="1:4" x14ac:dyDescent="0.2">
      <c r="A3449" s="5">
        <v>3388</v>
      </c>
      <c r="B3449" s="138">
        <f>'Tax Sched 23'!F16</f>
        <v>183433</v>
      </c>
      <c r="C3449" s="2" t="s">
        <v>594</v>
      </c>
      <c r="D3449" s="2" t="str">
        <f t="shared" si="52"/>
        <v>Error?</v>
      </c>
    </row>
    <row r="3450" spans="1:4" x14ac:dyDescent="0.2">
      <c r="A3450" s="5">
        <v>3389</v>
      </c>
      <c r="B3450" s="138">
        <f>'Tax Sched 23'!E16</f>
        <v>183491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93010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93010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93010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22374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30000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52374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52374</v>
      </c>
      <c r="D3567" s="2" t="str">
        <f t="shared" si="54"/>
        <v>Error?</v>
      </c>
    </row>
    <row r="3568" spans="1:4" x14ac:dyDescent="0.2">
      <c r="A3568" s="5">
        <v>3507</v>
      </c>
      <c r="B3568" s="138">
        <f>'Assets-Liab 5-6'!K41</f>
        <v>52374</v>
      </c>
      <c r="C3568" s="2" t="s">
        <v>594</v>
      </c>
      <c r="D3568" s="2" t="str">
        <f t="shared" si="54"/>
        <v>Error?</v>
      </c>
    </row>
    <row r="3569" spans="1:4" x14ac:dyDescent="0.2">
      <c r="A3569" s="5">
        <v>3508</v>
      </c>
      <c r="B3569" s="138">
        <f>'Acct Summary 7-8'!K4</f>
        <v>88378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88378</v>
      </c>
      <c r="C3571" s="2" t="s">
        <v>594</v>
      </c>
      <c r="D3571" s="2" t="str">
        <f t="shared" si="54"/>
        <v>Error?</v>
      </c>
    </row>
    <row r="3572" spans="1:4" x14ac:dyDescent="0.2">
      <c r="A3572" s="5">
        <v>3511</v>
      </c>
      <c r="B3572" s="138">
        <f>'Acct Summary 7-8'!K13</f>
        <v>60233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60233</v>
      </c>
      <c r="C3575" s="2" t="s">
        <v>594</v>
      </c>
      <c r="D3575" s="2" t="str">
        <f t="shared" si="54"/>
        <v>Error?</v>
      </c>
    </row>
    <row r="3576" spans="1:4" x14ac:dyDescent="0.2">
      <c r="A3576" s="5">
        <v>3515</v>
      </c>
      <c r="B3576" s="138">
        <f>'Acct Summary 7-8'!K20</f>
        <v>28145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28145</v>
      </c>
      <c r="C3588" s="2" t="s">
        <v>594</v>
      </c>
      <c r="D3588" s="2" t="str">
        <f t="shared" si="55"/>
        <v>Error?</v>
      </c>
    </row>
    <row r="3589" spans="1:4" x14ac:dyDescent="0.2">
      <c r="A3589" s="5">
        <v>3528</v>
      </c>
      <c r="B3589" s="138">
        <f>'Acct Summary 7-8'!K79</f>
        <v>24229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52374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2644</v>
      </c>
      <c r="D3632" s="2" t="str">
        <f t="shared" si="55"/>
        <v>Error?</v>
      </c>
    </row>
    <row r="3633" spans="1:4" x14ac:dyDescent="0.2">
      <c r="A3633" s="5">
        <v>3572</v>
      </c>
      <c r="B3633" s="138">
        <f>'Expenditures 15-22'!E350</f>
        <v>2644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2644</v>
      </c>
      <c r="C3635" s="2" t="s">
        <v>594</v>
      </c>
      <c r="D3635" s="2" t="str">
        <f t="shared" si="55"/>
        <v>Error?</v>
      </c>
    </row>
    <row r="3636" spans="1:4" x14ac:dyDescent="0.2">
      <c r="A3636" s="5">
        <v>3575</v>
      </c>
      <c r="B3636" s="138">
        <f>'Expenditures 15-22'!E367</f>
        <v>2644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57589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57589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57589</v>
      </c>
      <c r="C3649" s="2" t="s">
        <v>594</v>
      </c>
      <c r="D3649" s="2" t="str">
        <f t="shared" si="56"/>
        <v>Error?</v>
      </c>
    </row>
    <row r="3650" spans="1:4" x14ac:dyDescent="0.2">
      <c r="A3650" s="5">
        <v>3589</v>
      </c>
      <c r="B3650" s="138">
        <f>'Expenditures 15-22'!G367</f>
        <v>57589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57589</v>
      </c>
      <c r="C3668" s="2" t="s">
        <v>594</v>
      </c>
      <c r="D3668" s="2" t="str">
        <f t="shared" si="56"/>
        <v>Error?</v>
      </c>
    </row>
    <row r="3669" spans="1:4" x14ac:dyDescent="0.2">
      <c r="A3669" s="5">
        <v>3608</v>
      </c>
      <c r="B3669" s="138">
        <f>'Expenditures 15-22'!K349</f>
        <v>2644</v>
      </c>
      <c r="C3669" s="2" t="s">
        <v>594</v>
      </c>
      <c r="D3669" s="2" t="str">
        <f t="shared" si="56"/>
        <v>Error?</v>
      </c>
    </row>
    <row r="3670" spans="1:4" x14ac:dyDescent="0.2">
      <c r="A3670" s="5">
        <v>3609</v>
      </c>
      <c r="B3670" s="138">
        <f>'Expenditures 15-22'!K350</f>
        <v>60233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60233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60233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28145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132546</v>
      </c>
      <c r="C3725" s="2" t="s">
        <v>594</v>
      </c>
      <c r="D3725" s="2" t="str">
        <f t="shared" si="57"/>
        <v>Error?</v>
      </c>
    </row>
    <row r="3726" spans="1:4" x14ac:dyDescent="0.2">
      <c r="A3726" s="5">
        <v>3665</v>
      </c>
      <c r="B3726" s="138">
        <f>'Tax Sched 23'!D13</f>
        <v>132502</v>
      </c>
      <c r="C3726" s="2" t="s">
        <v>594</v>
      </c>
      <c r="D3726" s="2" t="str">
        <f t="shared" si="57"/>
        <v>Error?</v>
      </c>
    </row>
    <row r="3727" spans="1:4" x14ac:dyDescent="0.2">
      <c r="A3727" s="5">
        <v>3666</v>
      </c>
      <c r="B3727" s="138">
        <f>'Tax Sched 23'!C13</f>
        <v>44</v>
      </c>
      <c r="D3727" s="2" t="str">
        <f t="shared" si="57"/>
        <v>Error?</v>
      </c>
    </row>
    <row r="3728" spans="1:4" x14ac:dyDescent="0.2">
      <c r="A3728" s="5">
        <v>3667</v>
      </c>
      <c r="B3728" s="138">
        <f>'Tax Sched 23'!F13</f>
        <v>137585</v>
      </c>
      <c r="C3728" s="2" t="s">
        <v>594</v>
      </c>
      <c r="D3728" s="2" t="str">
        <f t="shared" si="57"/>
        <v>Error?</v>
      </c>
    </row>
    <row r="3729" spans="1:4" x14ac:dyDescent="0.2">
      <c r="A3729" s="5">
        <v>3668</v>
      </c>
      <c r="B3729" s="138">
        <f>'Tax Sched 23'!E13</f>
        <v>137629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584640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9513026</v>
      </c>
      <c r="C4122" s="2" t="s">
        <v>594</v>
      </c>
      <c r="D4122" s="2" t="str">
        <f t="shared" si="63"/>
        <v>Error?</v>
      </c>
    </row>
    <row r="4123" spans="1:4" x14ac:dyDescent="0.2">
      <c r="A4123" s="5">
        <v>4062</v>
      </c>
      <c r="B4123" s="138">
        <f>'Acct Summary 7-8'!D10</f>
        <v>1627235</v>
      </c>
      <c r="C4123" s="2" t="s">
        <v>594</v>
      </c>
      <c r="D4123" s="2" t="str">
        <f t="shared" si="63"/>
        <v>Error?</v>
      </c>
    </row>
    <row r="4124" spans="1:4" x14ac:dyDescent="0.2">
      <c r="A4124" s="5">
        <v>4063</v>
      </c>
      <c r="B4124" s="138">
        <f>'Acct Summary 7-8'!E10</f>
        <v>2038800</v>
      </c>
      <c r="C4124" s="2" t="s">
        <v>594</v>
      </c>
      <c r="D4124" s="2" t="str">
        <f t="shared" si="63"/>
        <v>Error?</v>
      </c>
    </row>
    <row r="4125" spans="1:4" x14ac:dyDescent="0.2">
      <c r="A4125" s="5">
        <v>4064</v>
      </c>
      <c r="B4125" s="138">
        <f>'Acct Summary 7-8'!F10</f>
        <v>765906</v>
      </c>
      <c r="C4125" s="2" t="s">
        <v>594</v>
      </c>
      <c r="D4125" s="2" t="str">
        <f t="shared" si="63"/>
        <v>Error?</v>
      </c>
    </row>
    <row r="4126" spans="1:4" x14ac:dyDescent="0.2">
      <c r="A4126" s="5">
        <v>4065</v>
      </c>
      <c r="B4126" s="138">
        <f>'Acct Summary 7-8'!G10</f>
        <v>345764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211126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88378</v>
      </c>
      <c r="C4130" s="2" t="s">
        <v>594</v>
      </c>
      <c r="D4130" s="2" t="str">
        <f t="shared" si="63"/>
        <v>Error?</v>
      </c>
    </row>
    <row r="4131" spans="1:4" x14ac:dyDescent="0.2">
      <c r="A4131" s="5">
        <v>4070</v>
      </c>
      <c r="B4131" s="138">
        <f>'Acct Summary 7-8'!C18</f>
        <v>584640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11250059</v>
      </c>
      <c r="C4136" s="2" t="s">
        <v>594</v>
      </c>
      <c r="D4136" s="2" t="str">
        <f t="shared" si="63"/>
        <v>Error?</v>
      </c>
    </row>
    <row r="4137" spans="1:4" x14ac:dyDescent="0.2">
      <c r="A4137" s="5">
        <v>4076</v>
      </c>
      <c r="B4137" s="138">
        <f>'Acct Summary 7-8'!D19</f>
        <v>1743084</v>
      </c>
      <c r="C4137" s="2" t="s">
        <v>594</v>
      </c>
      <c r="D4137" s="2" t="str">
        <f t="shared" si="63"/>
        <v>Error?</v>
      </c>
    </row>
    <row r="4138" spans="1:4" x14ac:dyDescent="0.2">
      <c r="A4138" s="5">
        <v>4077</v>
      </c>
      <c r="B4138" s="138">
        <f>'Acct Summary 7-8'!E19</f>
        <v>2037320</v>
      </c>
      <c r="C4138" s="2" t="s">
        <v>594</v>
      </c>
      <c r="D4138" s="2" t="str">
        <f t="shared" si="63"/>
        <v>Error?</v>
      </c>
    </row>
    <row r="4139" spans="1:4" x14ac:dyDescent="0.2">
      <c r="A4139" s="5">
        <v>4078</v>
      </c>
      <c r="B4139" s="138">
        <f>'Acct Summary 7-8'!F19</f>
        <v>652261</v>
      </c>
      <c r="C4139" s="2" t="s">
        <v>594</v>
      </c>
      <c r="D4139" s="2" t="str">
        <f t="shared" si="63"/>
        <v>Error?</v>
      </c>
    </row>
    <row r="4140" spans="1:4" x14ac:dyDescent="0.2">
      <c r="A4140" s="5">
        <v>4079</v>
      </c>
      <c r="B4140" s="138">
        <f>'Acct Summary 7-8'!G19</f>
        <v>293885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60233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5480000</v>
      </c>
      <c r="C4171" s="2" t="s">
        <v>594</v>
      </c>
      <c r="D4171" s="2" t="str">
        <f t="shared" si="64"/>
        <v>Error?</v>
      </c>
    </row>
    <row r="4172" spans="1:4" x14ac:dyDescent="0.2">
      <c r="A4172" s="5">
        <v>4111</v>
      </c>
      <c r="B4172" s="138">
        <f>'Short-Term Long-Term Debt 24'!J49</f>
        <v>5475912</v>
      </c>
      <c r="C4172" s="2" t="s">
        <v>594</v>
      </c>
      <c r="D4172" s="2" t="str">
        <f t="shared" si="64"/>
        <v>Error?</v>
      </c>
    </row>
    <row r="4173" spans="1:4" x14ac:dyDescent="0.2">
      <c r="A4173" s="5">
        <v>4112</v>
      </c>
      <c r="B4173" s="138">
        <f>'Short-Term Long-Term Debt 24'!H49</f>
        <v>1860000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94991</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94991</v>
      </c>
      <c r="C4202" s="2" t="s">
        <v>594</v>
      </c>
      <c r="D4202" s="2" t="str">
        <f t="shared" si="64"/>
        <v>Error?</v>
      </c>
    </row>
    <row r="4203" spans="1:4" x14ac:dyDescent="0.2">
      <c r="A4203" s="5">
        <v>4142</v>
      </c>
      <c r="B4203" s="138">
        <f>'Expenditures 15-22'!E139</f>
        <v>94991</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2191704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19976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5672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25768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102730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428217234</v>
      </c>
      <c r="D4995" s="2" t="str">
        <f t="shared" si="77"/>
        <v>Error?</v>
      </c>
    </row>
    <row r="4996" spans="1:4" x14ac:dyDescent="0.2">
      <c r="A4996" s="12">
        <v>4935</v>
      </c>
      <c r="B4996" s="138">
        <f>'FP Info 3'!H31</f>
        <v>29546989.146000002</v>
      </c>
      <c r="D4996" s="2" t="str">
        <f t="shared" si="77"/>
        <v>Error?</v>
      </c>
    </row>
    <row r="4997" spans="1:4" x14ac:dyDescent="0.2">
      <c r="A4997" s="12">
        <v>4936</v>
      </c>
      <c r="B4997" s="138">
        <f>'FP Info 3'!H37</f>
        <v>5480000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200000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200000</v>
      </c>
      <c r="D5024" s="2" t="str">
        <f t="shared" si="77"/>
        <v>Error?</v>
      </c>
    </row>
    <row r="5025" spans="1:4" x14ac:dyDescent="0.2">
      <c r="A5025" s="10">
        <v>4964</v>
      </c>
      <c r="C5025" s="2" t="s">
        <v>594</v>
      </c>
      <c r="D5025" s="2" t="str">
        <f t="shared" si="77"/>
        <v>OK</v>
      </c>
    </row>
    <row r="5026" spans="1:4" x14ac:dyDescent="0.2">
      <c r="A5026" s="5">
        <v>4965</v>
      </c>
      <c r="B5026" s="138">
        <f>'Revenues 9-14'!C6</f>
        <v>132546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3884717</v>
      </c>
      <c r="D5061" s="2" t="str">
        <f t="shared" si="78"/>
        <v>Error?</v>
      </c>
    </row>
    <row r="5062" spans="1:4" x14ac:dyDescent="0.2">
      <c r="A5062" s="10">
        <v>5001</v>
      </c>
      <c r="D5062" s="2" t="str">
        <f t="shared" si="78"/>
        <v>OK</v>
      </c>
    </row>
    <row r="5063" spans="1:4" x14ac:dyDescent="0.2">
      <c r="A5063" s="5">
        <v>5002</v>
      </c>
      <c r="B5063" s="138">
        <f>'Revenues 9-14'!C7</f>
        <v>84450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4101713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233169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233169</v>
      </c>
      <c r="C5071" s="2" t="s">
        <v>594</v>
      </c>
      <c r="D5071" s="2" t="str">
        <f t="shared" si="78"/>
        <v>Error?</v>
      </c>
    </row>
    <row r="5072" spans="1:4" x14ac:dyDescent="0.2">
      <c r="A5072" s="5">
        <v>5011</v>
      </c>
      <c r="B5072" s="138">
        <f>'Revenues 9-14'!C20</f>
        <v>22746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22746</v>
      </c>
      <c r="C5087" s="2" t="s">
        <v>594</v>
      </c>
      <c r="D5087" s="2" t="str">
        <f t="shared" si="78"/>
        <v>Error?</v>
      </c>
    </row>
    <row r="5088" spans="1:4" x14ac:dyDescent="0.2">
      <c r="A5088" s="5">
        <v>5027</v>
      </c>
      <c r="B5088" s="138">
        <f>'Revenues 9-14'!C65</f>
        <v>51835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51835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223626</v>
      </c>
      <c r="C5096" s="2" t="s">
        <v>594</v>
      </c>
      <c r="D5096" s="2" t="str">
        <f t="shared" si="78"/>
        <v>Error?</v>
      </c>
    </row>
    <row r="5097" spans="1:4" x14ac:dyDescent="0.2">
      <c r="A5097" s="5">
        <v>5036</v>
      </c>
      <c r="B5097" s="138">
        <f>'Revenues 9-14'!C77</f>
        <v>47438</v>
      </c>
      <c r="D5097" s="2" t="str">
        <f t="shared" si="78"/>
        <v>Error?</v>
      </c>
    </row>
    <row r="5098" spans="1:4" x14ac:dyDescent="0.2">
      <c r="A5098" s="5">
        <v>5037</v>
      </c>
      <c r="B5098" s="138">
        <f>'Revenues 9-14'!C78</f>
        <v>6541</v>
      </c>
      <c r="D5098" s="2" t="str">
        <f t="shared" si="78"/>
        <v>Error?</v>
      </c>
    </row>
    <row r="5099" spans="1:4" x14ac:dyDescent="0.2">
      <c r="A5099" s="5">
        <v>5038</v>
      </c>
      <c r="B5099" s="138">
        <f>'Revenues 9-14'!C79</f>
        <v>12123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66102</v>
      </c>
      <c r="C5102" s="2" t="s">
        <v>594</v>
      </c>
      <c r="D5102" s="2" t="str">
        <f t="shared" si="78"/>
        <v>Error?</v>
      </c>
    </row>
    <row r="5103" spans="1:4" x14ac:dyDescent="0.2">
      <c r="A5103" s="5">
        <v>5042</v>
      </c>
      <c r="B5103" s="138">
        <f>'Revenues 9-14'!C84</f>
        <v>152535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152535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4146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67000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17509</v>
      </c>
      <c r="D5118" s="2" t="str">
        <f t="shared" si="78"/>
        <v>Error?</v>
      </c>
    </row>
    <row r="5119" spans="1:4" x14ac:dyDescent="0.2">
      <c r="A5119" s="5">
        <v>5058</v>
      </c>
      <c r="B5119" s="138">
        <f>'Revenues 9-14'!C107</f>
        <v>69747</v>
      </c>
      <c r="D5119" s="2" t="str">
        <f t="shared" ref="D5119:D5182" si="79">IF(ISBLANK(B5119),"OK",IF(A5119-B5119=0,"OK","Error?"))</f>
        <v>Error?</v>
      </c>
    </row>
    <row r="5120" spans="1:4" x14ac:dyDescent="0.2">
      <c r="A5120" s="5">
        <v>5059</v>
      </c>
      <c r="B5120" s="138">
        <f>'Revenues 9-14'!C108</f>
        <v>1469634</v>
      </c>
      <c r="C5120" s="2" t="s">
        <v>594</v>
      </c>
      <c r="D5120" s="2" t="str">
        <f t="shared" si="79"/>
        <v>Error?</v>
      </c>
    </row>
    <row r="5121" spans="1:4" x14ac:dyDescent="0.2">
      <c r="A5121" s="5">
        <v>5060</v>
      </c>
      <c r="B5121" s="138">
        <f>'Revenues 9-14'!C109</f>
        <v>6321360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1779014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1779014</v>
      </c>
      <c r="C5132" s="2" t="s">
        <v>594</v>
      </c>
      <c r="D5132" s="2" t="str">
        <f t="shared" si="79"/>
        <v>Error?</v>
      </c>
    </row>
    <row r="5133" spans="1:4" x14ac:dyDescent="0.2">
      <c r="A5133" s="5">
        <v>5072</v>
      </c>
      <c r="B5133" s="138">
        <f>'Revenues 9-14'!C124</f>
        <v>320634</v>
      </c>
      <c r="D5133" s="2" t="str">
        <f t="shared" si="79"/>
        <v>Error?</v>
      </c>
    </row>
    <row r="5134" spans="1:4" x14ac:dyDescent="0.2">
      <c r="A5134" s="5">
        <v>5073</v>
      </c>
      <c r="B5134" s="138">
        <f>'Revenues 9-14'!C125</f>
        <v>58794</v>
      </c>
      <c r="D5134" s="2" t="str">
        <f t="shared" si="79"/>
        <v>Error?</v>
      </c>
    </row>
    <row r="5135" spans="1:4" x14ac:dyDescent="0.2">
      <c r="A5135" s="5">
        <v>5074</v>
      </c>
      <c r="B5135" s="138">
        <f>'Revenues 9-14'!C126</f>
        <v>48436</v>
      </c>
      <c r="D5135" s="2" t="str">
        <f t="shared" si="79"/>
        <v>Error?</v>
      </c>
    </row>
    <row r="5136" spans="1:4" x14ac:dyDescent="0.2">
      <c r="A5136" s="10">
        <v>5075</v>
      </c>
      <c r="D5136" s="2" t="str">
        <f t="shared" si="79"/>
        <v>OK</v>
      </c>
    </row>
    <row r="5137" spans="1:4" x14ac:dyDescent="0.2">
      <c r="A5137" s="5">
        <v>5076</v>
      </c>
      <c r="B5137" s="138">
        <f>'Revenues 9-14'!C127</f>
        <v>21128</v>
      </c>
      <c r="D5137" s="2" t="str">
        <f t="shared" si="79"/>
        <v>Error?</v>
      </c>
    </row>
    <row r="5138" spans="1:4" x14ac:dyDescent="0.2">
      <c r="A5138" s="10">
        <v>5077</v>
      </c>
      <c r="D5138" s="2" t="str">
        <f t="shared" si="79"/>
        <v>OK</v>
      </c>
    </row>
    <row r="5139" spans="1:4" x14ac:dyDescent="0.2">
      <c r="A5139" s="5">
        <v>5078</v>
      </c>
      <c r="B5139" s="138">
        <f>'Revenues 9-14'!C128</f>
        <v>2173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2237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453402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434</v>
      </c>
      <c r="D5167" s="2" t="str">
        <f t="shared" si="79"/>
        <v>Error?</v>
      </c>
    </row>
    <row r="5168" spans="1:4" x14ac:dyDescent="0.2">
      <c r="A5168" s="5">
        <v>5107</v>
      </c>
      <c r="B5168" s="138">
        <f>'Revenues 9-14'!C147</f>
        <v>40752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496088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2275102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94633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5672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94633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48802</v>
      </c>
      <c r="D5278" s="2" t="str">
        <f t="shared" si="81"/>
        <v>Error?</v>
      </c>
    </row>
    <row r="5279" spans="1:4" x14ac:dyDescent="0.2">
      <c r="A5279" s="5">
        <v>5218</v>
      </c>
      <c r="B5279" s="138">
        <f>'Revenues 9-14'!C221</f>
        <v>115493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164295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21580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21580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331924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331924</v>
      </c>
      <c r="C5326" s="2" t="s">
        <v>594</v>
      </c>
      <c r="D5326" s="2" t="str">
        <f t="shared" si="82"/>
        <v>Error?</v>
      </c>
    </row>
    <row r="5327" spans="1:4" x14ac:dyDescent="0.2">
      <c r="A5327" s="5">
        <v>5266</v>
      </c>
      <c r="B5327" s="138">
        <f>'Revenues 9-14'!C275</f>
        <v>8928386</v>
      </c>
      <c r="C5327" s="2" t="s">
        <v>594</v>
      </c>
      <c r="D5327" s="2" t="str">
        <f t="shared" si="82"/>
        <v>Error?</v>
      </c>
    </row>
    <row r="5328" spans="1:4" x14ac:dyDescent="0.2">
      <c r="A5328" s="5">
        <v>5267</v>
      </c>
      <c r="B5328" s="138">
        <f>'Revenues 9-14'!D5</f>
        <v>1055630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1055630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14475</v>
      </c>
      <c r="D5336" s="2" t="str">
        <f t="shared" si="82"/>
        <v>Error?</v>
      </c>
    </row>
    <row r="5337" spans="1:4" x14ac:dyDescent="0.2">
      <c r="A5337" s="5">
        <v>5276</v>
      </c>
      <c r="B5337" s="138">
        <f>'Revenues 9-14'!D16</f>
        <v>125000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139475</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5753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38020</v>
      </c>
      <c r="D5354" s="2" t="str">
        <f t="shared" si="82"/>
        <v>Error?</v>
      </c>
    </row>
    <row r="5355" spans="1:4" x14ac:dyDescent="0.2">
      <c r="A5355" s="5">
        <v>5294</v>
      </c>
      <c r="B5355" s="138">
        <f>'Revenues 9-14'!D108</f>
        <v>432130</v>
      </c>
      <c r="C5355" s="2" t="s">
        <v>594</v>
      </c>
      <c r="D5355" s="2" t="str">
        <f t="shared" si="82"/>
        <v>Error?</v>
      </c>
    </row>
    <row r="5356" spans="1:4" x14ac:dyDescent="0.2">
      <c r="A5356" s="5">
        <v>5295</v>
      </c>
      <c r="B5356" s="138">
        <f>'Revenues 9-14'!D109</f>
        <v>1627235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1627235</v>
      </c>
      <c r="C5508" s="2" t="s">
        <v>594</v>
      </c>
      <c r="D5508" s="2" t="str">
        <f t="shared" si="85"/>
        <v>Error?</v>
      </c>
    </row>
    <row r="5509" spans="1:4" x14ac:dyDescent="0.2">
      <c r="A5509" s="5">
        <v>5448</v>
      </c>
      <c r="B5509" s="138">
        <f>'Revenues 9-14'!E5</f>
        <v>1648800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1648800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390000</v>
      </c>
      <c r="C5526" s="2" t="s">
        <v>594</v>
      </c>
      <c r="D5526" s="2" t="str">
        <f t="shared" si="85"/>
        <v>Error?</v>
      </c>
    </row>
    <row r="5527" spans="1:4" x14ac:dyDescent="0.2">
      <c r="A5527" s="5">
        <v>5466</v>
      </c>
      <c r="B5527" s="138">
        <f>'Revenues 9-14'!E109</f>
        <v>2038800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2038800</v>
      </c>
      <c r="C5552" s="2" t="s">
        <v>594</v>
      </c>
      <c r="D5552" s="2" t="str">
        <f t="shared" si="85"/>
        <v>Error?</v>
      </c>
    </row>
    <row r="5553" spans="1:4" x14ac:dyDescent="0.2">
      <c r="A5553" s="5">
        <v>5492</v>
      </c>
      <c r="B5553" s="138">
        <f>'Revenues 9-14'!F5</f>
        <v>506703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506703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7279</v>
      </c>
      <c r="D5586" s="2" t="str">
        <f t="shared" si="86"/>
        <v>Error?</v>
      </c>
    </row>
    <row r="5587" spans="1:4" x14ac:dyDescent="0.2">
      <c r="A5587" s="5">
        <v>5526</v>
      </c>
      <c r="B5587" s="138">
        <f>'Revenues 9-14'!F108</f>
        <v>7279</v>
      </c>
      <c r="C5587" s="2" t="s">
        <v>594</v>
      </c>
      <c r="D5587" s="2" t="str">
        <f t="shared" si="86"/>
        <v>Error?</v>
      </c>
    </row>
    <row r="5588" spans="1:4" x14ac:dyDescent="0.2">
      <c r="A5588" s="5">
        <v>5527</v>
      </c>
      <c r="B5588" s="138">
        <f>'Revenues 9-14'!F109</f>
        <v>513982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5965</v>
      </c>
      <c r="D5615" s="2" t="str">
        <f t="shared" si="86"/>
        <v>Error?</v>
      </c>
    </row>
    <row r="5616" spans="1:4" x14ac:dyDescent="0.2">
      <c r="A5616" s="10">
        <v>5555</v>
      </c>
      <c r="D5616" s="2" t="str">
        <f t="shared" si="86"/>
        <v>OK</v>
      </c>
    </row>
    <row r="5617" spans="1:4" x14ac:dyDescent="0.2">
      <c r="A5617" s="5">
        <v>5556</v>
      </c>
      <c r="B5617" s="138">
        <f>'Revenues 9-14'!F152</f>
        <v>245959</v>
      </c>
      <c r="D5617" s="2" t="str">
        <f t="shared" si="86"/>
        <v>Error?</v>
      </c>
    </row>
    <row r="5618" spans="1:4" x14ac:dyDescent="0.2">
      <c r="A5618" s="5">
        <v>5557</v>
      </c>
      <c r="B5618" s="138">
        <f>'Revenues 9-14'!F154</f>
        <v>251924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251924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251924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765906</v>
      </c>
      <c r="C5720" s="2" t="s">
        <v>594</v>
      </c>
      <c r="D5720" s="2" t="str">
        <f t="shared" si="88"/>
        <v>Error?</v>
      </c>
    </row>
    <row r="5721" spans="1:4" x14ac:dyDescent="0.2">
      <c r="A5721" s="5">
        <v>5660</v>
      </c>
      <c r="B5721" s="138">
        <f>'Revenues 9-14'!G5</f>
        <v>136974</v>
      </c>
      <c r="D5721" s="2" t="str">
        <f t="shared" si="88"/>
        <v>Error?</v>
      </c>
    </row>
    <row r="5722" spans="1:4" x14ac:dyDescent="0.2">
      <c r="A5722" s="5">
        <v>5661</v>
      </c>
      <c r="B5722" s="138">
        <f>'Revenues 9-14'!G7</f>
        <v>0</v>
      </c>
      <c r="D5722" s="2" t="str">
        <f t="shared" si="88"/>
        <v>Error?</v>
      </c>
    </row>
    <row r="5723" spans="1:4" x14ac:dyDescent="0.2">
      <c r="A5723" s="5">
        <v>5662</v>
      </c>
      <c r="B5723" s="138">
        <f>'Revenues 9-14'!G8</f>
        <v>198790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335764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345764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211126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211126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211126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88378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88378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88378</v>
      </c>
      <c r="C6023" s="2" t="s">
        <v>594</v>
      </c>
      <c r="D6023" s="2" t="str">
        <f t="shared" si="93"/>
        <v>Error?</v>
      </c>
    </row>
    <row r="6024" spans="1:5" x14ac:dyDescent="0.2">
      <c r="A6024" s="5">
        <v>5963</v>
      </c>
      <c r="B6024" s="138">
        <f>'Revenues 9-14'!G109</f>
        <v>345764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211126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88378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223626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838.67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50103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32493</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306</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306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49797</v>
      </c>
      <c r="D6215" s="2" t="str">
        <f t="shared" si="96"/>
        <v>Error?</v>
      </c>
      <c r="E6215" s="2" t="s">
        <v>199</v>
      </c>
    </row>
    <row r="6216" spans="1:5" x14ac:dyDescent="0.2">
      <c r="A6216">
        <v>6155</v>
      </c>
      <c r="B6216" s="138">
        <f>'Assets-Liab 5-6'!J41</f>
        <v>50103</v>
      </c>
      <c r="D6216" s="2" t="str">
        <f t="shared" si="96"/>
        <v>Error?</v>
      </c>
      <c r="E6216" s="2" t="s">
        <v>199</v>
      </c>
    </row>
    <row r="6217" spans="1:5" x14ac:dyDescent="0.2">
      <c r="A6217">
        <v>6156</v>
      </c>
      <c r="B6217" s="138">
        <f>'Assets-Liab 5-6'!J4</f>
        <v>8583</v>
      </c>
      <c r="D6217" s="2" t="str">
        <f t="shared" si="96"/>
        <v>Error?</v>
      </c>
      <c r="E6217" s="2" t="s">
        <v>199</v>
      </c>
    </row>
    <row r="6218" spans="1:5" x14ac:dyDescent="0.2">
      <c r="A6218">
        <v>6157</v>
      </c>
      <c r="B6218" s="138">
        <f>'Assets-Liab 5-6'!J5</f>
        <v>41520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331344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331344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331344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330120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330120</v>
      </c>
      <c r="D6229" s="2" t="str">
        <f t="shared" si="96"/>
        <v>Error?</v>
      </c>
      <c r="E6229" s="2" t="s">
        <v>199</v>
      </c>
    </row>
    <row r="6230" spans="1:5" x14ac:dyDescent="0.2">
      <c r="A6230">
        <v>6169</v>
      </c>
      <c r="B6230" s="138">
        <f>'Acct Summary 7-8'!J20</f>
        <v>1224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44656</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1224</v>
      </c>
      <c r="D6263" s="2" t="str">
        <f t="shared" si="96"/>
        <v>Error?</v>
      </c>
      <c r="E6263" s="2" t="s">
        <v>199</v>
      </c>
    </row>
    <row r="6264" spans="1:5" x14ac:dyDescent="0.2">
      <c r="A6264">
        <v>6203</v>
      </c>
      <c r="B6264" s="138">
        <f>'Acct Summary 7-8'!J79</f>
        <v>48573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49797</v>
      </c>
      <c r="D6266" s="2" t="str">
        <f t="shared" si="96"/>
        <v>Error?</v>
      </c>
      <c r="E6266" s="2" t="s">
        <v>199</v>
      </c>
    </row>
    <row r="6267" spans="1:5" x14ac:dyDescent="0.2">
      <c r="A6267">
        <v>6206</v>
      </c>
      <c r="B6267" s="138">
        <f>'Acct Summary 7-8'!C82</f>
        <v>180967</v>
      </c>
      <c r="D6267" s="2" t="str">
        <f t="shared" si="96"/>
        <v>Error?</v>
      </c>
      <c r="E6267" s="2" t="s">
        <v>199</v>
      </c>
    </row>
    <row r="6268" spans="1:5" x14ac:dyDescent="0.2">
      <c r="A6268">
        <v>6207</v>
      </c>
      <c r="B6268" s="138">
        <f>'Acct Summary 7-8'!D82</f>
        <v>84151</v>
      </c>
      <c r="D6268" s="2" t="str">
        <f t="shared" si="96"/>
        <v>Error?</v>
      </c>
      <c r="E6268" s="2" t="s">
        <v>199</v>
      </c>
    </row>
    <row r="6269" spans="1:5" x14ac:dyDescent="0.2">
      <c r="A6269">
        <v>6208</v>
      </c>
      <c r="B6269" s="138">
        <f>'Acct Summary 7-8'!E82</f>
        <v>1480</v>
      </c>
      <c r="D6269" s="2" t="str">
        <f t="shared" si="96"/>
        <v>Error?</v>
      </c>
      <c r="E6269" s="2" t="s">
        <v>199</v>
      </c>
    </row>
    <row r="6270" spans="1:5" x14ac:dyDescent="0.2">
      <c r="A6270">
        <v>6209</v>
      </c>
      <c r="B6270" s="138">
        <f>'Acct Summary 7-8'!F82</f>
        <v>-86355</v>
      </c>
      <c r="D6270" s="2" t="str">
        <f t="shared" si="96"/>
        <v>Error?</v>
      </c>
      <c r="E6270" s="2" t="s">
        <v>199</v>
      </c>
    </row>
    <row r="6271" spans="1:5" x14ac:dyDescent="0.2">
      <c r="A6271">
        <v>6210</v>
      </c>
      <c r="B6271" s="138">
        <f>'Acct Summary 7-8'!G82</f>
        <v>51879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507</v>
      </c>
      <c r="D6273" s="2" t="str">
        <f t="shared" si="97"/>
        <v>Error?</v>
      </c>
      <c r="E6273" s="2" t="s">
        <v>199</v>
      </c>
    </row>
    <row r="6274" spans="1:5" x14ac:dyDescent="0.2">
      <c r="A6274">
        <v>6213</v>
      </c>
      <c r="B6274" s="138">
        <f>'Acct Summary 7-8'!J82</f>
        <v>1224</v>
      </c>
      <c r="D6274" s="2" t="str">
        <f t="shared" si="97"/>
        <v>Error?</v>
      </c>
      <c r="E6274" s="2" t="s">
        <v>199</v>
      </c>
    </row>
    <row r="6275" spans="1:5" x14ac:dyDescent="0.2">
      <c r="A6275">
        <v>6214</v>
      </c>
      <c r="B6275" s="138">
        <f>'Acct Summary 7-8'!K82</f>
        <v>28145</v>
      </c>
      <c r="D6275" s="2" t="str">
        <f t="shared" si="97"/>
        <v>Error?</v>
      </c>
      <c r="E6275" s="2" t="s">
        <v>199</v>
      </c>
    </row>
    <row r="6276" spans="1:5" x14ac:dyDescent="0.2">
      <c r="A6276">
        <v>6215</v>
      </c>
      <c r="B6276" s="138">
        <f>'Acct Summary 7-8'!C83</f>
        <v>0.11112025342493932</v>
      </c>
      <c r="D6276" s="2" t="str">
        <f t="shared" si="97"/>
        <v>Error?</v>
      </c>
      <c r="E6276" s="2" t="s">
        <v>199</v>
      </c>
    </row>
    <row r="6277" spans="1:5" x14ac:dyDescent="0.2">
      <c r="A6277">
        <v>6216</v>
      </c>
      <c r="B6277" s="138">
        <f>'Acct Summary 7-8'!D83</f>
        <v>0.29848718630841536</v>
      </c>
      <c r="D6277" s="2" t="str">
        <f t="shared" si="97"/>
        <v>Error?</v>
      </c>
      <c r="E6277" s="2" t="s">
        <v>199</v>
      </c>
    </row>
    <row r="6278" spans="1:5" x14ac:dyDescent="0.2">
      <c r="A6278">
        <v>6217</v>
      </c>
      <c r="B6278" s="138">
        <f>'Acct Summary 7-8'!E83</f>
        <v>0.36203522504892366</v>
      </c>
      <c r="D6278" s="2" t="str">
        <f t="shared" si="97"/>
        <v>Error?</v>
      </c>
      <c r="E6278" s="2" t="s">
        <v>199</v>
      </c>
    </row>
    <row r="6279" spans="1:5" x14ac:dyDescent="0.2">
      <c r="A6279">
        <v>6218</v>
      </c>
      <c r="B6279" s="138">
        <f>'Acct Summary 7-8'!F83</f>
        <v>-0.31888141326263081</v>
      </c>
      <c r="D6279" s="2" t="str">
        <f t="shared" si="97"/>
        <v>Error?</v>
      </c>
      <c r="E6279" s="2" t="s">
        <v>199</v>
      </c>
    </row>
    <row r="6280" spans="1:5" x14ac:dyDescent="0.2">
      <c r="A6280">
        <v>6219</v>
      </c>
      <c r="B6280" s="138">
        <f>'Acct Summary 7-8'!G83</f>
        <v>0.17950589944984602</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4.8731257208765859E-2</v>
      </c>
      <c r="D6282" s="2" t="str">
        <f t="shared" si="97"/>
        <v>Error?</v>
      </c>
      <c r="E6282" s="2" t="s">
        <v>199</v>
      </c>
    </row>
    <row r="6283" spans="1:5" x14ac:dyDescent="0.2">
      <c r="A6283">
        <v>6222</v>
      </c>
      <c r="B6283" s="138">
        <f>'Acct Summary 7-8'!J83</f>
        <v>2.4579793963491775E-2</v>
      </c>
      <c r="D6283" s="2" t="str">
        <f t="shared" si="97"/>
        <v>Error?</v>
      </c>
      <c r="E6283" s="2" t="s">
        <v>199</v>
      </c>
    </row>
    <row r="6284" spans="1:5" x14ac:dyDescent="0.2">
      <c r="A6284">
        <v>6223</v>
      </c>
      <c r="B6284" s="138">
        <f>'Acct Summary 7-8'!K83</f>
        <v>0.53738496200404784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331344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331344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1181095</v>
      </c>
      <c r="D6330" s="2" t="str">
        <f t="shared" si="97"/>
        <v>Error?</v>
      </c>
      <c r="E6330" s="2" t="s">
        <v>199</v>
      </c>
    </row>
    <row r="6331" spans="1:5" x14ac:dyDescent="0.2">
      <c r="A6331">
        <v>6270</v>
      </c>
      <c r="B6331" s="138">
        <f>'Revenues 9-14'!D100</f>
        <v>388357</v>
      </c>
      <c r="D6331" s="2" t="str">
        <f t="shared" si="97"/>
        <v>Error?</v>
      </c>
      <c r="E6331" s="2" t="s">
        <v>199</v>
      </c>
    </row>
    <row r="6332" spans="1:5" x14ac:dyDescent="0.2">
      <c r="A6332">
        <v>6271</v>
      </c>
      <c r="B6332" s="138">
        <f>'Revenues 9-14'!E100</f>
        <v>390000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27407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331344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9994</v>
      </c>
      <c r="D6932" s="2" t="str">
        <f t="shared" si="107"/>
        <v>Error?</v>
      </c>
    </row>
    <row r="6933" spans="1:4" x14ac:dyDescent="0.2">
      <c r="A6933">
        <v>6872</v>
      </c>
      <c r="B6933" s="138">
        <f>'Expenditures 15-22'!D52</f>
        <v>4096</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14090</v>
      </c>
      <c r="D6940" s="2" t="str">
        <f t="shared" si="107"/>
        <v>Error?</v>
      </c>
    </row>
    <row r="6941" spans="1:4" x14ac:dyDescent="0.2">
      <c r="A6941">
        <v>6880</v>
      </c>
      <c r="B6941" s="138">
        <f>'Expenditures 15-22'!L52</f>
        <v>11900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1154095</v>
      </c>
      <c r="D6993" s="2" t="str">
        <f t="shared" si="108"/>
        <v>Error?</v>
      </c>
    </row>
    <row r="6994" spans="1:4" x14ac:dyDescent="0.2">
      <c r="A6994">
        <v>6933</v>
      </c>
      <c r="B6994" s="138">
        <f>'Expenditures 15-22'!K91</f>
        <v>1154095</v>
      </c>
      <c r="D6994" s="2" t="str">
        <f t="shared" si="108"/>
        <v>Error?</v>
      </c>
    </row>
    <row r="6995" spans="1:4" x14ac:dyDescent="0.2">
      <c r="A6995">
        <v>6934</v>
      </c>
      <c r="B6995" s="138">
        <f>'Expenditures 15-22'!H92</f>
        <v>1154095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330120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331344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2438</v>
      </c>
      <c r="D7093" s="2" t="str">
        <f t="shared" si="109"/>
        <v>Error?</v>
      </c>
    </row>
    <row r="7094" spans="1:4" x14ac:dyDescent="0.2">
      <c r="A7094">
        <v>7033</v>
      </c>
      <c r="B7094" s="138">
        <f>'Expenditures 15-22'!K254</f>
        <v>2438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117754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117754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15661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15661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128005</v>
      </c>
      <c r="D7172" s="2" t="str">
        <f t="shared" si="111"/>
        <v>Error?</v>
      </c>
    </row>
    <row r="7173" spans="1:4" x14ac:dyDescent="0.2">
      <c r="A7173">
        <v>7112</v>
      </c>
      <c r="B7173" s="138">
        <f>'Expenditures 15-22'!D325</f>
        <v>17996</v>
      </c>
      <c r="D7173" s="2" t="str">
        <f t="shared" si="111"/>
        <v>Error?</v>
      </c>
    </row>
    <row r="7174" spans="1:4" x14ac:dyDescent="0.2">
      <c r="A7174">
        <v>7113</v>
      </c>
      <c r="B7174" s="138">
        <f>'Expenditures 15-22'!E325</f>
        <v>50104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196105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128005</v>
      </c>
      <c r="D7199" s="2" t="str">
        <f t="shared" si="111"/>
        <v>Error?</v>
      </c>
    </row>
    <row r="7200" spans="1:4" x14ac:dyDescent="0.2">
      <c r="A7200">
        <v>7139</v>
      </c>
      <c r="B7200" s="138">
        <f>'Expenditures 15-22'!D330</f>
        <v>17996</v>
      </c>
      <c r="D7200" s="2" t="str">
        <f t="shared" si="111"/>
        <v>Error?</v>
      </c>
    </row>
    <row r="7201" spans="1:4" x14ac:dyDescent="0.2">
      <c r="A7201">
        <v>7140</v>
      </c>
      <c r="B7201" s="138">
        <f>'Expenditures 15-22'!E330</f>
        <v>184119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330120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128005</v>
      </c>
      <c r="D7216" s="2" t="str">
        <f t="shared" si="111"/>
        <v>Error?</v>
      </c>
    </row>
    <row r="7217" spans="1:4" x14ac:dyDescent="0.2">
      <c r="A7217">
        <v>7156</v>
      </c>
      <c r="B7217" s="138">
        <f>'Expenditures 15-22'!D342</f>
        <v>17996</v>
      </c>
      <c r="D7217" s="2" t="str">
        <f t="shared" si="111"/>
        <v>Error?</v>
      </c>
    </row>
    <row r="7218" spans="1:4" x14ac:dyDescent="0.2">
      <c r="A7218">
        <v>7157</v>
      </c>
      <c r="B7218" s="138">
        <f>'Expenditures 15-22'!E342</f>
        <v>184119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330120</v>
      </c>
      <c r="D7224" s="2" t="str">
        <f t="shared" si="111"/>
        <v>Error?</v>
      </c>
    </row>
    <row r="7225" spans="1:4" x14ac:dyDescent="0.2">
      <c r="A7225">
        <v>7164</v>
      </c>
      <c r="B7225" s="138">
        <f>'Expenditures 15-22'!K343</f>
        <v>1224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626222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27407</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40752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68159</v>
      </c>
      <c r="D7719" s="2" t="str">
        <f t="shared" si="126"/>
        <v>Error?</v>
      </c>
      <c r="E7719" s="2" t="s">
        <v>881</v>
      </c>
    </row>
    <row r="7720" spans="1:6" x14ac:dyDescent="0.2">
      <c r="A7720">
        <v>7659</v>
      </c>
      <c r="B7720" s="138">
        <f>'Rest Tax Levies-Tort Im 25'!H14</f>
        <v>84450</v>
      </c>
      <c r="D7720" s="2" t="str">
        <f t="shared" si="126"/>
        <v>Error?</v>
      </c>
      <c r="E7720" s="2" t="s">
        <v>881</v>
      </c>
    </row>
    <row r="7721" spans="1:6" x14ac:dyDescent="0.2">
      <c r="A7721">
        <v>7660</v>
      </c>
      <c r="B7721" s="138">
        <f>'Rest Tax Levies-Tort Im 25'!K14</f>
        <v>68159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1918000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356710</v>
      </c>
      <c r="D7797" s="2" t="str">
        <f t="shared" si="127"/>
        <v>Error?</v>
      </c>
      <c r="E7797" s="4" t="s">
        <v>2019</v>
      </c>
    </row>
    <row r="7798" spans="1:5" x14ac:dyDescent="0.2">
      <c r="A7798">
        <v>7737</v>
      </c>
      <c r="B7798" s="138">
        <f>'Contracts Paid in CY 29'!F141</f>
        <v>139743</v>
      </c>
      <c r="D7798" s="2" t="str">
        <f t="shared" si="127"/>
        <v>Error?</v>
      </c>
      <c r="E7798" s="4" t="s">
        <v>2019</v>
      </c>
    </row>
    <row r="7799" spans="1:5" x14ac:dyDescent="0.2">
      <c r="A7799">
        <v>7738</v>
      </c>
      <c r="B7799" s="138">
        <f>'Contracts Paid in CY 29'!G141</f>
        <v>216967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Morris CHSD 101</v>
      </c>
      <c r="B7" s="2402"/>
      <c r="C7" s="2402"/>
      <c r="D7" s="2439"/>
      <c r="E7" s="2440">
        <f>COVER!A13</f>
        <v>24032101016</v>
      </c>
      <c r="F7" s="2441"/>
      <c r="G7" s="2408" t="str">
        <f>COVER!T23</f>
        <v>066-005100</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MACK &amp; ASSOCIATES, P.C.</v>
      </c>
      <c r="H9" s="2415"/>
      <c r="I9" s="2415"/>
      <c r="J9" s="2415"/>
      <c r="K9" s="2415"/>
      <c r="L9" s="2416"/>
    </row>
    <row r="10" spans="1:29" ht="13.5" customHeight="1" x14ac:dyDescent="0.2">
      <c r="A10" s="2398" t="str">
        <f>COVER!A38</f>
        <v>DR. JOSEPH WALDRON</v>
      </c>
      <c r="B10" s="2399"/>
      <c r="C10" s="2399"/>
      <c r="D10" s="2399"/>
      <c r="E10" s="2399"/>
      <c r="F10" s="2400"/>
      <c r="G10" s="2414" t="str">
        <f>COVER!T17</f>
        <v>116 E. WASHINGTON ST., SUITE ONE</v>
      </c>
      <c r="H10" s="2427"/>
      <c r="I10" s="2427"/>
      <c r="J10" s="2427"/>
      <c r="K10" s="2427"/>
      <c r="L10" s="2428"/>
    </row>
    <row r="11" spans="1:29" ht="13.5" customHeight="1" x14ac:dyDescent="0.2">
      <c r="A11" s="1185" t="s">
        <v>1599</v>
      </c>
      <c r="B11" s="1186"/>
      <c r="C11" s="1187"/>
      <c r="D11" s="1192"/>
      <c r="E11" s="1187"/>
      <c r="F11" s="1191"/>
      <c r="G11" s="2414" t="str">
        <f>COVER!T19</f>
        <v>MORRIS</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tmack@mackcpas.com</v>
      </c>
      <c r="J13" s="2436"/>
      <c r="K13" s="2436"/>
      <c r="L13" s="2437"/>
    </row>
    <row r="14" spans="1:29" ht="13.5" customHeight="1" x14ac:dyDescent="0.2">
      <c r="A14" s="2414" t="str">
        <f>COVER!A19</f>
        <v>1000 UNION STREET</v>
      </c>
      <c r="B14" s="2427"/>
      <c r="C14" s="2427"/>
      <c r="D14" s="2427"/>
      <c r="E14" s="2427"/>
      <c r="F14" s="2428"/>
      <c r="G14" s="1196" t="s">
        <v>1247</v>
      </c>
      <c r="H14" s="1194"/>
      <c r="I14" s="1194"/>
      <c r="J14" s="1194"/>
      <c r="K14" s="1194"/>
      <c r="L14" s="1195"/>
    </row>
    <row r="15" spans="1:29" ht="13.5" customHeight="1" x14ac:dyDescent="0.2">
      <c r="A15" s="2414" t="str">
        <f>COVER!A21</f>
        <v xml:space="preserve">MORRIS  </v>
      </c>
      <c r="B15" s="2427"/>
      <c r="C15" s="2427"/>
      <c r="D15" s="2427"/>
      <c r="E15" s="2427"/>
      <c r="F15" s="2428"/>
      <c r="G15" s="2424" t="str">
        <f>COVER!T15</f>
        <v>TAWNYA MACK, CPA</v>
      </c>
      <c r="H15" s="2425"/>
      <c r="I15" s="2425"/>
      <c r="J15" s="2425"/>
      <c r="K15" s="2425"/>
      <c r="L15" s="2426"/>
    </row>
    <row r="16" spans="1:29" ht="12.2" customHeight="1" x14ac:dyDescent="0.2">
      <c r="A16" s="2404">
        <f>COVER!A25</f>
        <v>60450</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815-942-3306</v>
      </c>
      <c r="H18" s="2402"/>
      <c r="I18" s="2402"/>
      <c r="J18" s="2402"/>
      <c r="K18" s="2401" t="str">
        <f>COVER!X21</f>
        <v>815-942-9430</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Morris CHSD 101</v>
      </c>
      <c r="B1" s="2438"/>
      <c r="C1" s="2438"/>
      <c r="D1" s="2438"/>
    </row>
    <row r="2" spans="1:11" s="1215" customFormat="1" ht="12.75" x14ac:dyDescent="0.2">
      <c r="A2" s="2443">
        <f>'Single Audit Cover'!E7</f>
        <v>24032101016</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Morris CHSD 101</v>
      </c>
      <c r="B1" s="2446"/>
      <c r="C1" s="2446"/>
      <c r="D1" s="2446"/>
      <c r="E1" s="2446"/>
    </row>
    <row r="2" spans="1:5" x14ac:dyDescent="0.2">
      <c r="A2" s="2447">
        <f>'Single Audit Cover'!E7</f>
        <v>24032101016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331924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-19976</v>
      </c>
    </row>
    <row r="19" spans="1:4" ht="13.5" thickBot="1" x14ac:dyDescent="0.25">
      <c r="A19" s="1265" t="s">
        <v>1297</v>
      </c>
      <c r="D19" s="1266">
        <f>SUM(D10:D17)</f>
        <v>311948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311948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311948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Morris CHSD 101</v>
      </c>
      <c r="B1" s="2451"/>
      <c r="C1" s="2451"/>
      <c r="D1" s="2451"/>
      <c r="E1" s="2451"/>
      <c r="F1" s="2451"/>
    </row>
    <row r="2" spans="1:7" ht="13.5" customHeight="1" x14ac:dyDescent="0.2">
      <c r="A2" s="2452">
        <f>'Single Audit Cover'!E7</f>
        <v>24032101016</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60">
        <f>+C33+C34</f>
        <v>0</v>
      </c>
      <c r="F34" s="2461"/>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69"/>
      <c r="C50" s="1869"/>
      <c r="D50" s="1869"/>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Morris CHSD 101</v>
      </c>
      <c r="C1" s="2463"/>
      <c r="D1" s="2463"/>
      <c r="E1" s="2463"/>
      <c r="F1" s="2463"/>
      <c r="G1" s="2463"/>
      <c r="H1" s="2463"/>
      <c r="I1" s="2463"/>
      <c r="J1" s="2463"/>
      <c r="K1" s="2463"/>
      <c r="L1" s="2463"/>
      <c r="M1" s="2463"/>
    </row>
    <row r="2" spans="2:14" ht="15" x14ac:dyDescent="0.2">
      <c r="B2" s="2452">
        <f>'Single Audit Cover'!E7</f>
        <v>24032101016</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2107</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Morris CHSD 101</v>
      </c>
      <c r="C1" s="2471"/>
      <c r="D1" s="2471"/>
      <c r="E1" s="2471"/>
      <c r="F1" s="2471"/>
      <c r="G1" s="2471"/>
      <c r="H1" s="2471"/>
      <c r="I1" s="2471"/>
      <c r="J1" s="1422"/>
    </row>
    <row r="2" spans="2:10" s="317" customFormat="1" ht="12.75" customHeight="1" x14ac:dyDescent="0.2">
      <c r="B2" s="2472">
        <f>'Single Audit Cover'!E7</f>
        <v>24032101016</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1951</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Morris CHSD 101</v>
      </c>
      <c r="C1" s="2470"/>
      <c r="D1" s="2470"/>
      <c r="E1" s="2470"/>
      <c r="F1" s="2470"/>
      <c r="G1" s="2470"/>
      <c r="H1" s="2470"/>
      <c r="I1" s="2470"/>
      <c r="J1" s="2470"/>
      <c r="K1" s="2470"/>
      <c r="L1" s="1374"/>
      <c r="M1" s="1374"/>
    </row>
    <row r="2" spans="1:13" ht="12" customHeight="1" x14ac:dyDescent="0.2">
      <c r="B2" s="2472">
        <f>'Single Audit Cover'!E7</f>
        <v>24032101016</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Morris CHSD 101</v>
      </c>
      <c r="C1" s="2497"/>
      <c r="D1" s="2497"/>
      <c r="E1" s="2497"/>
      <c r="F1" s="2497"/>
      <c r="G1" s="2497"/>
      <c r="H1" s="2497"/>
      <c r="I1" s="2497"/>
      <c r="J1" s="2497"/>
      <c r="K1" s="2497"/>
      <c r="L1" s="1465"/>
    </row>
    <row r="2" spans="1:12" ht="12.75" customHeight="1" x14ac:dyDescent="0.2">
      <c r="B2" s="2498">
        <f>'Single Audit Cover'!E7</f>
        <v>24032101016</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Morris CHSD 101</v>
      </c>
      <c r="C1" s="2470"/>
      <c r="D1" s="2470"/>
      <c r="E1" s="1491"/>
    </row>
    <row r="2" spans="2:5" s="1282" customFormat="1" ht="12.75" customHeight="1" x14ac:dyDescent="0.2">
      <c r="B2" s="2472">
        <f>'Single Audit Cover'!E7</f>
        <v>24032101016</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L10" sqref="L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428217234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4">
        <f>ROUND(D10+F10+H10,5)</f>
        <v>1.29E-2</v>
      </c>
      <c r="K10" s="222"/>
      <c r="L10" s="355">
        <v>5.0000000000000001E-3</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11532653</v>
      </c>
      <c r="E16" s="356"/>
      <c r="F16" s="1755">
        <f>SUM('Acct Summary 7-8'!C17,'Acct Summary 7-8'!D17,'Acct Summary 7-8'!F17)</f>
        <v>13060764</v>
      </c>
      <c r="G16" s="356"/>
      <c r="H16" s="1755">
        <f>SUM(D16-F16)</f>
        <v>-1528111</v>
      </c>
      <c r="I16" s="222"/>
      <c r="J16" s="1755">
        <f>SUM('Acct Summary 7-8'!C81,'Acct Summary 7-8'!D81,'Acct Summary 7-8'!F81,'Acct Summary 7-8'!I81)</f>
        <v>2191704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29546989.146000002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5480000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Morris CHSD 101</v>
      </c>
      <c r="E7" s="391"/>
      <c r="G7" s="252"/>
      <c r="H7" s="387"/>
      <c r="I7" s="387"/>
      <c r="J7" s="387"/>
      <c r="K7" s="387"/>
      <c r="L7" s="329"/>
      <c r="M7" s="329"/>
      <c r="N7" s="329"/>
      <c r="O7" s="329"/>
      <c r="P7" s="329"/>
    </row>
    <row r="8" spans="1:18" ht="12.75" x14ac:dyDescent="0.2">
      <c r="A8" s="329"/>
      <c r="B8" s="329"/>
      <c r="C8" s="389" t="s">
        <v>1187</v>
      </c>
      <c r="D8" s="392">
        <f>COVER!A13</f>
        <v>24032101016</v>
      </c>
      <c r="E8" s="393"/>
      <c r="G8" s="329"/>
      <c r="H8" s="329"/>
      <c r="I8" s="329"/>
      <c r="J8" s="329"/>
      <c r="K8" s="329"/>
      <c r="L8" s="329"/>
      <c r="M8" s="329"/>
      <c r="N8" s="329"/>
      <c r="O8" s="329"/>
      <c r="P8" s="329"/>
    </row>
    <row r="9" spans="1:18" ht="12.75" x14ac:dyDescent="0.2">
      <c r="A9" s="329"/>
      <c r="B9" s="329"/>
      <c r="C9" s="389" t="s">
        <v>737</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2191704</v>
      </c>
      <c r="I12" s="404"/>
      <c r="J12" s="404"/>
      <c r="K12" s="405">
        <f>TRUNC((H12/H13*100000),5)/100000</f>
        <v>0.19004334900000003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11532653</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2</v>
      </c>
      <c r="P16" s="216"/>
      <c r="R16" s="384"/>
    </row>
    <row r="17" spans="1:18" s="408" customFormat="1" ht="11.25" x14ac:dyDescent="0.2">
      <c r="A17" s="218"/>
      <c r="B17" s="401"/>
      <c r="C17" s="218" t="s">
        <v>830</v>
      </c>
      <c r="D17" s="218"/>
      <c r="E17" s="218"/>
      <c r="F17" s="218" t="s">
        <v>464</v>
      </c>
      <c r="G17" s="402"/>
      <c r="H17" s="403">
        <f>SUM('Acct Summary 7-8'!C17+'Acct Summary 7-8'!D17+'Acct Summary 7-8'!F17)</f>
        <v>13060764</v>
      </c>
      <c r="I17" s="404"/>
      <c r="J17" s="416"/>
      <c r="K17" s="405">
        <f>TRUNC((H17/H18*100000),5)/100000</f>
        <v>1.1325029895000001</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11532653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0.67955709999999991</v>
      </c>
      <c r="K20" s="405" t="str">
        <f>IF(K17&lt;=1,"0",IF(AND(O16="2", J20 &gt; 2),TRUNC(((K12-0.1)/(K17-1)*100),5)/100,IF(AND(O16 = "1", J20 &gt; 2),TRUNC(((K12-0.1)/(K17-1)*100),5)/100,IF(AND(O16="1", J20 &gt;1),TRUNC(((K12-0.1)/(K17-1)*100),5)/100,""))))</f>
        <v/>
      </c>
      <c r="L20" s="218"/>
      <c r="M20" s="360" t="s">
        <v>1207</v>
      </c>
      <c r="N20" s="360"/>
      <c r="O20" s="411">
        <f>(O16+O17)*O18</f>
        <v>0.7</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2224197</v>
      </c>
      <c r="I24" s="422"/>
      <c r="J24" s="422"/>
      <c r="K24" s="423">
        <f>TRUNC(((H24/H25*100000)/100000),2)</f>
        <v>61.3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36279.9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4695401.9708099999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5480000</v>
      </c>
      <c r="I32" s="420"/>
      <c r="J32" s="420"/>
      <c r="K32" s="423">
        <f>TRUNC(100-((((H32/H33*100))*100)/100),2)</f>
        <v>81.45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29546989.146000002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2.7499999999999996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M16" sqref="M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473978</v>
      </c>
      <c r="D4" s="466">
        <v>61925</v>
      </c>
      <c r="E4" s="466">
        <v>4088</v>
      </c>
      <c r="F4" s="466">
        <v>27803</v>
      </c>
      <c r="G4" s="466">
        <v>12022</v>
      </c>
      <c r="H4" s="466">
        <v>1553</v>
      </c>
      <c r="I4" s="466">
        <v>9149</v>
      </c>
      <c r="J4" s="467">
        <v>8583</v>
      </c>
      <c r="K4" s="466">
        <v>22374</v>
      </c>
      <c r="L4" s="466">
        <v>174836</v>
      </c>
      <c r="M4" s="468"/>
      <c r="N4" s="469"/>
    </row>
    <row r="5" spans="1:14" x14ac:dyDescent="0.2">
      <c r="A5" s="463" t="s">
        <v>1049</v>
      </c>
      <c r="B5" s="470">
        <v>120</v>
      </c>
      <c r="C5" s="465">
        <v>1187084</v>
      </c>
      <c r="D5" s="466">
        <v>220000</v>
      </c>
      <c r="E5" s="466"/>
      <c r="F5" s="466">
        <v>243003</v>
      </c>
      <c r="G5" s="466">
        <v>276988</v>
      </c>
      <c r="H5" s="466"/>
      <c r="I5" s="466">
        <v>1255</v>
      </c>
      <c r="J5" s="467">
        <v>41520</v>
      </c>
      <c r="K5" s="471">
        <v>30000</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1661062</v>
      </c>
      <c r="D13" s="1759">
        <f t="shared" ref="D13:L13" si="0">SUM(D4:D12)</f>
        <v>281925</v>
      </c>
      <c r="E13" s="1759">
        <f t="shared" si="0"/>
        <v>4088</v>
      </c>
      <c r="F13" s="1759">
        <f t="shared" si="0"/>
        <v>270806</v>
      </c>
      <c r="G13" s="1759">
        <f t="shared" si="0"/>
        <v>289010</v>
      </c>
      <c r="H13" s="1759">
        <f t="shared" si="0"/>
        <v>1553</v>
      </c>
      <c r="I13" s="1759">
        <f t="shared" si="0"/>
        <v>10404</v>
      </c>
      <c r="J13" s="1759">
        <f t="shared" si="0"/>
        <v>50103</v>
      </c>
      <c r="K13" s="1759">
        <f t="shared" si="0"/>
        <v>52374</v>
      </c>
      <c r="L13" s="1759">
        <f t="shared" si="0"/>
        <v>174836</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62042</v>
      </c>
      <c r="N16" s="484"/>
    </row>
    <row r="17" spans="1:14" s="485" customFormat="1" ht="12.75" customHeight="1" x14ac:dyDescent="0.2">
      <c r="A17" s="482" t="s">
        <v>1470</v>
      </c>
      <c r="B17" s="483">
        <v>230</v>
      </c>
      <c r="C17" s="477"/>
      <c r="D17" s="477"/>
      <c r="E17" s="477"/>
      <c r="F17" s="477"/>
      <c r="G17" s="477"/>
      <c r="H17" s="477"/>
      <c r="I17" s="477"/>
      <c r="J17" s="477"/>
      <c r="K17" s="477"/>
      <c r="L17" s="477"/>
      <c r="M17" s="467">
        <v>8058404</v>
      </c>
      <c r="N17" s="484"/>
    </row>
    <row r="18" spans="1:14" s="485" customFormat="1" ht="12.75" customHeight="1" x14ac:dyDescent="0.2">
      <c r="A18" s="482" t="s">
        <v>1471</v>
      </c>
      <c r="B18" s="483">
        <v>240</v>
      </c>
      <c r="C18" s="477"/>
      <c r="D18" s="477"/>
      <c r="E18" s="477"/>
      <c r="F18" s="477"/>
      <c r="G18" s="477"/>
      <c r="H18" s="477"/>
      <c r="I18" s="477"/>
      <c r="J18" s="477"/>
      <c r="K18" s="477"/>
      <c r="L18" s="477"/>
      <c r="M18" s="467">
        <v>253258</v>
      </c>
      <c r="N18" s="484"/>
    </row>
    <row r="19" spans="1:14" s="485" customFormat="1" ht="12.75" customHeight="1" x14ac:dyDescent="0.2">
      <c r="A19" s="482" t="s">
        <v>1472</v>
      </c>
      <c r="B19" s="483">
        <v>250</v>
      </c>
      <c r="C19" s="477"/>
      <c r="D19" s="477"/>
      <c r="E19" s="477"/>
      <c r="F19" s="477"/>
      <c r="G19" s="477"/>
      <c r="H19" s="477"/>
      <c r="I19" s="477"/>
      <c r="J19" s="477"/>
      <c r="K19" s="477"/>
      <c r="L19" s="477"/>
      <c r="M19" s="467">
        <v>329689</v>
      </c>
      <c r="N19" s="484"/>
    </row>
    <row r="20" spans="1:14" s="485" customFormat="1" ht="12.75" customHeight="1" x14ac:dyDescent="0.2">
      <c r="A20" s="482" t="s">
        <v>1473</v>
      </c>
      <c r="B20" s="483">
        <v>260</v>
      </c>
      <c r="C20" s="477"/>
      <c r="D20" s="477"/>
      <c r="E20" s="477"/>
      <c r="F20" s="477"/>
      <c r="G20" s="477"/>
      <c r="H20" s="477"/>
      <c r="I20" s="477"/>
      <c r="J20" s="477"/>
      <c r="K20" s="477"/>
      <c r="L20" s="477"/>
      <c r="M20" s="467">
        <v>93010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4088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5475912</v>
      </c>
    </row>
    <row r="23" spans="1:14" ht="13.5" customHeight="1" thickBot="1" x14ac:dyDescent="0.25">
      <c r="A23" s="1758" t="s">
        <v>664</v>
      </c>
      <c r="B23" s="1763"/>
      <c r="C23" s="468"/>
      <c r="D23" s="468"/>
      <c r="E23" s="468"/>
      <c r="F23" s="468"/>
      <c r="G23" s="468"/>
      <c r="H23" s="468"/>
      <c r="I23" s="468"/>
      <c r="J23" s="468"/>
      <c r="K23" s="468"/>
      <c r="L23" s="468"/>
      <c r="M23" s="1710">
        <f>SUM(M15:M22)</f>
        <v>8796403</v>
      </c>
      <c r="N23" s="1710">
        <f>SUM(N21:N22)</f>
        <v>5480000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32493</v>
      </c>
      <c r="D30" s="474"/>
      <c r="E30" s="467"/>
      <c r="F30" s="467"/>
      <c r="G30" s="467"/>
      <c r="H30" s="467"/>
      <c r="I30" s="467"/>
      <c r="J30" s="467">
        <v>306</v>
      </c>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174836</v>
      </c>
      <c r="M33" s="468"/>
      <c r="N33" s="469"/>
    </row>
    <row r="34" spans="1:14" ht="13.5" customHeight="1" thickBot="1" x14ac:dyDescent="0.25">
      <c r="A34" s="1760" t="s">
        <v>675</v>
      </c>
      <c r="B34" s="1761"/>
      <c r="C34" s="1762">
        <f>SUM(C25:C33)</f>
        <v>32493</v>
      </c>
      <c r="D34" s="1762">
        <f t="shared" ref="D34:K34" si="1">SUM(D25:D33)</f>
        <v>0</v>
      </c>
      <c r="E34" s="1762">
        <f t="shared" si="1"/>
        <v>0</v>
      </c>
      <c r="F34" s="1762">
        <f t="shared" si="1"/>
        <v>0</v>
      </c>
      <c r="G34" s="1762">
        <f t="shared" si="1"/>
        <v>0</v>
      </c>
      <c r="H34" s="1762">
        <f t="shared" si="1"/>
        <v>0</v>
      </c>
      <c r="I34" s="1762">
        <f t="shared" si="1"/>
        <v>0</v>
      </c>
      <c r="J34" s="1762">
        <f t="shared" si="1"/>
        <v>306</v>
      </c>
      <c r="K34" s="1762">
        <f t="shared" si="1"/>
        <v>0</v>
      </c>
      <c r="L34" s="1743">
        <f>SUM(L33)</f>
        <v>174836</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5480000</v>
      </c>
    </row>
    <row r="37" spans="1:14" ht="13.5" thickBot="1" x14ac:dyDescent="0.25">
      <c r="A37" s="1758" t="s">
        <v>674</v>
      </c>
      <c r="B37" s="1763"/>
      <c r="C37" s="477"/>
      <c r="D37" s="477"/>
      <c r="E37" s="477"/>
      <c r="F37" s="477"/>
      <c r="G37" s="477"/>
      <c r="H37" s="477"/>
      <c r="I37" s="477"/>
      <c r="J37" s="477"/>
      <c r="K37" s="477"/>
      <c r="L37" s="480"/>
      <c r="M37" s="468"/>
      <c r="N37" s="1710">
        <f>SUM(N36:N36)</f>
        <v>5480000</v>
      </c>
    </row>
    <row r="38" spans="1:14" s="329" customFormat="1" ht="13.5" customHeight="1" thickTop="1" x14ac:dyDescent="0.2">
      <c r="A38" s="496" t="s">
        <v>440</v>
      </c>
      <c r="B38" s="483">
        <v>714</v>
      </c>
      <c r="C38" s="466">
        <v>769734</v>
      </c>
      <c r="D38" s="466"/>
      <c r="E38" s="466"/>
      <c r="F38" s="466"/>
      <c r="G38" s="466">
        <v>45274</v>
      </c>
      <c r="H38" s="466"/>
      <c r="I38" s="466"/>
      <c r="J38" s="467"/>
      <c r="K38" s="466"/>
      <c r="L38" s="481"/>
      <c r="M38" s="497"/>
      <c r="N38" s="497"/>
    </row>
    <row r="39" spans="1:14" s="329" customFormat="1" ht="13.5" customHeight="1" x14ac:dyDescent="0.2">
      <c r="A39" s="496" t="s">
        <v>360</v>
      </c>
      <c r="B39" s="483">
        <v>730</v>
      </c>
      <c r="C39" s="466">
        <v>858835</v>
      </c>
      <c r="D39" s="466">
        <v>281925</v>
      </c>
      <c r="E39" s="466">
        <v>4088</v>
      </c>
      <c r="F39" s="466">
        <v>270806</v>
      </c>
      <c r="G39" s="466">
        <v>243736</v>
      </c>
      <c r="H39" s="466">
        <v>1553</v>
      </c>
      <c r="I39" s="466">
        <v>10404</v>
      </c>
      <c r="J39" s="467">
        <v>49797</v>
      </c>
      <c r="K39" s="466">
        <v>52374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8796403</v>
      </c>
      <c r="N40" s="497"/>
    </row>
    <row r="41" spans="1:14" ht="13.5" customHeight="1" thickBot="1" x14ac:dyDescent="0.25">
      <c r="A41" s="1758" t="s">
        <v>676</v>
      </c>
      <c r="B41" s="1728"/>
      <c r="C41" s="1710">
        <f>(SUM(C34,C37,C38,C39))</f>
        <v>1661062</v>
      </c>
      <c r="D41" s="1710">
        <f t="shared" ref="D41:L41" si="2">SUM(D34,D37,D38:D39)</f>
        <v>281925</v>
      </c>
      <c r="E41" s="1710">
        <f t="shared" si="2"/>
        <v>4088</v>
      </c>
      <c r="F41" s="1710">
        <f t="shared" si="2"/>
        <v>270806</v>
      </c>
      <c r="G41" s="1710">
        <f t="shared" si="2"/>
        <v>289010</v>
      </c>
      <c r="H41" s="1710">
        <f t="shared" si="2"/>
        <v>1553</v>
      </c>
      <c r="I41" s="1710">
        <f t="shared" si="2"/>
        <v>10404</v>
      </c>
      <c r="J41" s="1710">
        <f t="shared" si="2"/>
        <v>50103</v>
      </c>
      <c r="K41" s="1710">
        <f t="shared" si="2"/>
        <v>52374</v>
      </c>
      <c r="L41" s="1710">
        <f t="shared" si="2"/>
        <v>174836</v>
      </c>
      <c r="M41" s="1710">
        <f>SUM(M40)</f>
        <v>8796403</v>
      </c>
      <c r="N41" s="1710">
        <f>SUM(N37)</f>
        <v>5480000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F50" sqref="F5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6321360</v>
      </c>
      <c r="D4" s="1764">
        <f>'Revenues 9-14'!D109</f>
        <v>1627235</v>
      </c>
      <c r="E4" s="1764">
        <f>'Revenues 9-14'!E109</f>
        <v>2038800</v>
      </c>
      <c r="F4" s="1764">
        <f>'Revenues 9-14'!F109</f>
        <v>513982</v>
      </c>
      <c r="G4" s="1764">
        <f>'Revenues 9-14'!G109</f>
        <v>345764</v>
      </c>
      <c r="H4" s="1764">
        <f>'Revenues 9-14'!H109</f>
        <v>0</v>
      </c>
      <c r="I4" s="1764">
        <f>'Revenues 9-14'!I109</f>
        <v>211126</v>
      </c>
      <c r="J4" s="1764">
        <f>'Revenues 9-14'!J109</f>
        <v>331344</v>
      </c>
      <c r="K4" s="1764">
        <f>'Revenues 9-14'!K109</f>
        <v>88378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2275102</v>
      </c>
      <c r="D6" s="1765">
        <f>'Revenues 9-14'!D173</f>
        <v>0</v>
      </c>
      <c r="E6" s="1765">
        <f>'Revenues 9-14'!E173</f>
        <v>0</v>
      </c>
      <c r="F6" s="1765">
        <f>'Revenues 9-14'!F173</f>
        <v>251924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331924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8928386</v>
      </c>
      <c r="D8" s="1710">
        <f t="shared" ref="D8:K8" si="0">SUM(D4:D7)</f>
        <v>1627235</v>
      </c>
      <c r="E8" s="1710">
        <f t="shared" si="0"/>
        <v>2038800</v>
      </c>
      <c r="F8" s="1710">
        <f t="shared" si="0"/>
        <v>765906</v>
      </c>
      <c r="G8" s="1710">
        <f t="shared" si="0"/>
        <v>345764</v>
      </c>
      <c r="H8" s="1710">
        <f t="shared" si="0"/>
        <v>0</v>
      </c>
      <c r="I8" s="1710">
        <f t="shared" si="0"/>
        <v>211126</v>
      </c>
      <c r="J8" s="1710">
        <f t="shared" si="0"/>
        <v>331344</v>
      </c>
      <c r="K8" s="1710">
        <f t="shared" si="0"/>
        <v>88378</v>
      </c>
      <c r="L8" s="347"/>
    </row>
    <row r="9" spans="1:13" ht="15.75" thickTop="1" x14ac:dyDescent="0.2">
      <c r="A9" s="514" t="s">
        <v>1752</v>
      </c>
      <c r="B9" s="515">
        <v>3998</v>
      </c>
      <c r="C9" s="481">
        <v>584640</v>
      </c>
      <c r="D9" s="516"/>
      <c r="E9" s="481"/>
      <c r="F9" s="481"/>
      <c r="G9" s="517"/>
      <c r="H9" s="481"/>
      <c r="I9" s="509" t="s">
        <v>1231</v>
      </c>
      <c r="J9" s="478"/>
      <c r="K9" s="481"/>
      <c r="L9" s="347"/>
    </row>
    <row r="10" spans="1:13" s="519" customFormat="1" ht="13.5" thickBot="1" x14ac:dyDescent="0.25">
      <c r="A10" s="1758" t="s">
        <v>1235</v>
      </c>
      <c r="B10" s="1731"/>
      <c r="C10" s="1710">
        <f>SUM(C8:C9)</f>
        <v>9513026</v>
      </c>
      <c r="D10" s="1710">
        <f t="shared" ref="D10:K10" si="1">SUM(D8:D9)</f>
        <v>1627235</v>
      </c>
      <c r="E10" s="1710">
        <f t="shared" si="1"/>
        <v>2038800</v>
      </c>
      <c r="F10" s="1710">
        <f t="shared" si="1"/>
        <v>765906</v>
      </c>
      <c r="G10" s="1710">
        <f t="shared" si="1"/>
        <v>345764</v>
      </c>
      <c r="H10" s="1710">
        <f t="shared" si="1"/>
        <v>0</v>
      </c>
      <c r="I10" s="1710">
        <f t="shared" si="1"/>
        <v>211126</v>
      </c>
      <c r="J10" s="1710">
        <f t="shared" si="1"/>
        <v>331344</v>
      </c>
      <c r="K10" s="1710">
        <f t="shared" si="1"/>
        <v>88378</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6683054</v>
      </c>
      <c r="D12" s="520" t="s">
        <v>1231</v>
      </c>
      <c r="E12" s="468" t="s">
        <v>1231</v>
      </c>
      <c r="F12" s="468" t="s">
        <v>1231</v>
      </c>
      <c r="G12" s="1764">
        <f>'Expenditures 15-22'!K229</f>
        <v>97438</v>
      </c>
      <c r="H12" s="521"/>
      <c r="I12" s="468" t="s">
        <v>1231</v>
      </c>
      <c r="J12" s="468" t="s">
        <v>1231</v>
      </c>
      <c r="K12" s="521" t="s">
        <v>1231</v>
      </c>
      <c r="L12" s="347"/>
    </row>
    <row r="13" spans="1:13" ht="15.75" customHeight="1" x14ac:dyDescent="0.2">
      <c r="A13" s="1598" t="s">
        <v>477</v>
      </c>
      <c r="B13" s="1600">
        <v>2000</v>
      </c>
      <c r="C13" s="1765">
        <f>'Expenditures 15-22'!K74</f>
        <v>1826876</v>
      </c>
      <c r="D13" s="1765">
        <f>'Expenditures 15-22'!K129</f>
        <v>1648093</v>
      </c>
      <c r="E13" s="469" t="s">
        <v>1231</v>
      </c>
      <c r="F13" s="1765">
        <f>'Expenditures 15-22'!K184</f>
        <v>84824</v>
      </c>
      <c r="G13" s="1765">
        <f>'Expenditures 15-22'!K279</f>
        <v>196447</v>
      </c>
      <c r="H13" s="1765">
        <f>'Expenditures 15-22'!K303</f>
        <v>0</v>
      </c>
      <c r="I13" s="468" t="s">
        <v>1231</v>
      </c>
      <c r="J13" s="1765">
        <f>'Expenditures 15-22'!K330</f>
        <v>330120</v>
      </c>
      <c r="K13" s="1769">
        <f>'Expenditures 15-22'!K352</f>
        <v>60233</v>
      </c>
      <c r="L13" s="347"/>
    </row>
    <row r="14" spans="1:13" ht="15.75" customHeight="1" x14ac:dyDescent="0.2">
      <c r="A14" s="1598" t="s">
        <v>469</v>
      </c>
      <c r="B14" s="1600">
        <v>3000</v>
      </c>
      <c r="C14" s="1765">
        <f>'Expenditures 15-22'!K75</f>
        <v>40713</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2114776</v>
      </c>
      <c r="D15" s="1765">
        <f>'Expenditures 15-22'!K139</f>
        <v>94991</v>
      </c>
      <c r="E15" s="1765">
        <f>'Expenditures 15-22'!K160</f>
        <v>0</v>
      </c>
      <c r="F15" s="1765">
        <f>'Expenditures 15-22'!K196</f>
        <v>567437</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2037320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10665419</v>
      </c>
      <c r="D17" s="1710">
        <f t="shared" si="2"/>
        <v>1743084</v>
      </c>
      <c r="E17" s="1710">
        <f t="shared" si="2"/>
        <v>2037320</v>
      </c>
      <c r="F17" s="1710">
        <f t="shared" si="2"/>
        <v>652261</v>
      </c>
      <c r="G17" s="1710">
        <f t="shared" si="2"/>
        <v>293885</v>
      </c>
      <c r="H17" s="1710">
        <f t="shared" si="2"/>
        <v>0</v>
      </c>
      <c r="I17" s="468"/>
      <c r="J17" s="1710">
        <f>SUM(J12:J16)</f>
        <v>330120</v>
      </c>
      <c r="K17" s="1710">
        <f>SUM(K12:K16)</f>
        <v>60233</v>
      </c>
      <c r="L17" s="347"/>
    </row>
    <row r="18" spans="1:12" ht="15" customHeight="1" thickTop="1" x14ac:dyDescent="0.2">
      <c r="A18" s="1766" t="s">
        <v>1753</v>
      </c>
      <c r="B18" s="1767">
        <v>4180</v>
      </c>
      <c r="C18" s="1764">
        <f t="shared" ref="C18:H18" si="3">C9</f>
        <v>584640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11250059</v>
      </c>
      <c r="D19" s="1710">
        <f t="shared" si="4"/>
        <v>1743084</v>
      </c>
      <c r="E19" s="1710">
        <f t="shared" si="4"/>
        <v>2037320</v>
      </c>
      <c r="F19" s="1710">
        <f t="shared" si="4"/>
        <v>652261</v>
      </c>
      <c r="G19" s="1710">
        <f t="shared" si="4"/>
        <v>293885</v>
      </c>
      <c r="H19" s="1710">
        <f t="shared" si="4"/>
        <v>0</v>
      </c>
      <c r="I19" s="468"/>
      <c r="J19" s="1710">
        <f>SUM(J17:J18)</f>
        <v>330120</v>
      </c>
      <c r="K19" s="1710">
        <f>SUM(K17:K18)</f>
        <v>60233</v>
      </c>
      <c r="L19" s="347"/>
    </row>
    <row r="20" spans="1:12" ht="16.5" thickTop="1" thickBot="1" x14ac:dyDescent="0.25">
      <c r="A20" s="2143" t="s">
        <v>1754</v>
      </c>
      <c r="B20" s="2144"/>
      <c r="C20" s="1768">
        <f>C8-C17</f>
        <v>-1737033</v>
      </c>
      <c r="D20" s="1768">
        <f t="shared" ref="D20:K20" si="5">D8-D17</f>
        <v>-115849</v>
      </c>
      <c r="E20" s="1768">
        <f t="shared" si="5"/>
        <v>1480</v>
      </c>
      <c r="F20" s="1768">
        <f t="shared" si="5"/>
        <v>113645</v>
      </c>
      <c r="G20" s="1768">
        <f t="shared" si="5"/>
        <v>51879</v>
      </c>
      <c r="H20" s="1768">
        <f t="shared" si="5"/>
        <v>0</v>
      </c>
      <c r="I20" s="1768">
        <f t="shared" si="5"/>
        <v>211126</v>
      </c>
      <c r="J20" s="1768">
        <f t="shared" si="5"/>
        <v>1224</v>
      </c>
      <c r="K20" s="1768">
        <f t="shared" si="5"/>
        <v>28145</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1918000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200000</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1695000</v>
      </c>
      <c r="J33" s="467"/>
      <c r="K33" s="467"/>
      <c r="L33" s="524"/>
    </row>
    <row r="34" spans="1:12" s="485" customFormat="1" x14ac:dyDescent="0.2">
      <c r="A34" s="1511" t="s">
        <v>1058</v>
      </c>
      <c r="B34" s="525">
        <v>7220</v>
      </c>
      <c r="C34" s="467"/>
      <c r="D34" s="467"/>
      <c r="E34" s="467"/>
      <c r="F34" s="467"/>
      <c r="G34" s="477"/>
      <c r="H34" s="478"/>
      <c r="I34" s="478">
        <v>57037</v>
      </c>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1918000</v>
      </c>
      <c r="D44" s="1725">
        <f t="shared" ref="D44:K44" si="6">SUM(D24:D43)</f>
        <v>200000</v>
      </c>
      <c r="E44" s="1725">
        <f t="shared" si="6"/>
        <v>0</v>
      </c>
      <c r="F44" s="1725">
        <f t="shared" si="6"/>
        <v>0</v>
      </c>
      <c r="G44" s="1725">
        <f t="shared" si="6"/>
        <v>0</v>
      </c>
      <c r="H44" s="1725">
        <f t="shared" si="6"/>
        <v>0</v>
      </c>
      <c r="I44" s="1725">
        <f t="shared" si="6"/>
        <v>1752037</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1918000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v>200000</v>
      </c>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44656</v>
      </c>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200000</v>
      </c>
      <c r="G76" s="1725">
        <f t="shared" si="7"/>
        <v>0</v>
      </c>
      <c r="H76" s="1725">
        <f t="shared" si="7"/>
        <v>0</v>
      </c>
      <c r="I76" s="1725">
        <f t="shared" si="7"/>
        <v>1962656</v>
      </c>
      <c r="J76" s="1725">
        <f t="shared" si="7"/>
        <v>0</v>
      </c>
      <c r="K76" s="1725">
        <f t="shared" si="7"/>
        <v>0</v>
      </c>
      <c r="L76" s="524"/>
    </row>
    <row r="77" spans="1:12" ht="14.25" thickTop="1" thickBot="1" x14ac:dyDescent="0.25">
      <c r="A77" s="2135" t="s">
        <v>1239</v>
      </c>
      <c r="B77" s="2136"/>
      <c r="C77" s="1725">
        <f t="shared" ref="C77:K77" si="8">C44-C76</f>
        <v>1918000</v>
      </c>
      <c r="D77" s="1725">
        <f t="shared" si="8"/>
        <v>200000</v>
      </c>
      <c r="E77" s="1725">
        <f t="shared" si="8"/>
        <v>0</v>
      </c>
      <c r="F77" s="1725">
        <f t="shared" si="8"/>
        <v>-200000</v>
      </c>
      <c r="G77" s="1725">
        <f t="shared" si="8"/>
        <v>0</v>
      </c>
      <c r="H77" s="1725">
        <f t="shared" si="8"/>
        <v>0</v>
      </c>
      <c r="I77" s="1725">
        <f t="shared" si="8"/>
        <v>-210619</v>
      </c>
      <c r="J77" s="1725">
        <f t="shared" si="8"/>
        <v>0</v>
      </c>
      <c r="K77" s="1725">
        <f t="shared" si="8"/>
        <v>0</v>
      </c>
      <c r="L77" s="347"/>
    </row>
    <row r="78" spans="1:12" ht="21.75" customHeight="1" thickTop="1" thickBot="1" x14ac:dyDescent="0.25">
      <c r="A78" s="2139" t="s">
        <v>618</v>
      </c>
      <c r="B78" s="2140"/>
      <c r="C78" s="1724">
        <f t="shared" ref="C78:K78" si="9">C20+C77</f>
        <v>180967</v>
      </c>
      <c r="D78" s="1724">
        <f t="shared" si="9"/>
        <v>84151</v>
      </c>
      <c r="E78" s="1724">
        <f t="shared" si="9"/>
        <v>1480</v>
      </c>
      <c r="F78" s="1724">
        <f t="shared" si="9"/>
        <v>-86355</v>
      </c>
      <c r="G78" s="1724">
        <f t="shared" si="9"/>
        <v>51879</v>
      </c>
      <c r="H78" s="1724">
        <f t="shared" si="9"/>
        <v>0</v>
      </c>
      <c r="I78" s="1724">
        <f t="shared" si="9"/>
        <v>507</v>
      </c>
      <c r="J78" s="1724">
        <f t="shared" si="9"/>
        <v>1224</v>
      </c>
      <c r="K78" s="1724">
        <f t="shared" si="9"/>
        <v>28145</v>
      </c>
      <c r="L78" s="533"/>
    </row>
    <row r="79" spans="1:12" ht="13.5" thickTop="1" x14ac:dyDescent="0.2">
      <c r="A79" s="1516" t="s">
        <v>2071</v>
      </c>
      <c r="B79" s="534"/>
      <c r="C79" s="478">
        <v>1447602</v>
      </c>
      <c r="D79" s="535">
        <v>197774</v>
      </c>
      <c r="E79" s="535">
        <v>2608</v>
      </c>
      <c r="F79" s="535">
        <v>357161</v>
      </c>
      <c r="G79" s="535">
        <v>237131</v>
      </c>
      <c r="H79" s="535">
        <v>1553</v>
      </c>
      <c r="I79" s="535">
        <v>9897</v>
      </c>
      <c r="J79" s="535">
        <v>48573</v>
      </c>
      <c r="K79" s="535">
        <v>24229</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1628569</v>
      </c>
      <c r="D81" s="1710">
        <f>SUM(D78:D80)</f>
        <v>281925</v>
      </c>
      <c r="E81" s="1710">
        <f t="shared" ref="E81:K81" si="10">SUM(E78:E80)</f>
        <v>4088</v>
      </c>
      <c r="F81" s="1710">
        <f t="shared" si="10"/>
        <v>270806</v>
      </c>
      <c r="G81" s="1710">
        <f t="shared" si="10"/>
        <v>289010</v>
      </c>
      <c r="H81" s="1710">
        <f t="shared" si="10"/>
        <v>1553</v>
      </c>
      <c r="I81" s="1710">
        <f t="shared" si="10"/>
        <v>10404</v>
      </c>
      <c r="J81" s="1710">
        <f t="shared" si="10"/>
        <v>49797</v>
      </c>
      <c r="K81" s="1710">
        <f t="shared" si="10"/>
        <v>52374</v>
      </c>
      <c r="L81" s="347"/>
    </row>
    <row r="82" spans="1:12" ht="0.75" customHeight="1" thickTop="1" thickBot="1" x14ac:dyDescent="0.25">
      <c r="A82" s="536" t="s">
        <v>361</v>
      </c>
      <c r="B82" s="537"/>
      <c r="C82" s="538">
        <f>(C81-C79)</f>
        <v>180967</v>
      </c>
      <c r="D82" s="538">
        <f t="shared" ref="D82:K82" si="11">(D81-D79)</f>
        <v>84151</v>
      </c>
      <c r="E82" s="538">
        <f t="shared" si="11"/>
        <v>1480</v>
      </c>
      <c r="F82" s="538">
        <f t="shared" si="11"/>
        <v>-86355</v>
      </c>
      <c r="G82" s="538">
        <f t="shared" si="11"/>
        <v>51879</v>
      </c>
      <c r="H82" s="538">
        <f t="shared" si="11"/>
        <v>0</v>
      </c>
      <c r="I82" s="538">
        <f t="shared" si="11"/>
        <v>507</v>
      </c>
      <c r="J82" s="538">
        <f t="shared" si="11"/>
        <v>1224</v>
      </c>
      <c r="K82" s="538">
        <f t="shared" si="11"/>
        <v>28145</v>
      </c>
    </row>
    <row r="83" spans="1:12" ht="14.25" hidden="1" thickTop="1" thickBot="1" x14ac:dyDescent="0.25">
      <c r="A83" s="539" t="s">
        <v>362</v>
      </c>
      <c r="B83" s="464"/>
      <c r="C83" s="540">
        <f>C82/C81</f>
        <v>0.11112025342493932</v>
      </c>
      <c r="D83" s="540">
        <f t="shared" ref="D83:K83" si="12">D82/D81</f>
        <v>0.29848718630841536</v>
      </c>
      <c r="E83" s="540">
        <f t="shared" si="12"/>
        <v>0.36203522504892366</v>
      </c>
      <c r="F83" s="540">
        <f t="shared" si="12"/>
        <v>-0.31888141326263081</v>
      </c>
      <c r="G83" s="540">
        <f t="shared" si="12"/>
        <v>0.17950589944984602</v>
      </c>
      <c r="H83" s="540">
        <f t="shared" si="12"/>
        <v>0</v>
      </c>
      <c r="I83" s="540">
        <f t="shared" si="12"/>
        <v>4.8731257208765859E-2</v>
      </c>
      <c r="J83" s="540">
        <f t="shared" si="12"/>
        <v>2.4579793963491775E-2</v>
      </c>
      <c r="K83" s="540">
        <f t="shared" si="12"/>
        <v>0.53738496200404784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83" activePane="bottomLeft" state="frozen"/>
      <selection activeCell="A47" sqref="A47"/>
      <selection pane="bottomLeft" activeCell="C203" sqref="C20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3884717</v>
      </c>
      <c r="D5" s="481">
        <v>1055630</v>
      </c>
      <c r="E5" s="466">
        <v>1648800</v>
      </c>
      <c r="F5" s="548">
        <v>506703</v>
      </c>
      <c r="G5" s="466">
        <v>136974</v>
      </c>
      <c r="H5" s="466"/>
      <c r="I5" s="466">
        <v>211126</v>
      </c>
      <c r="J5" s="467">
        <v>331344</v>
      </c>
      <c r="K5" s="466">
        <v>88378</v>
      </c>
    </row>
    <row r="6" spans="1:12" ht="15" x14ac:dyDescent="0.2">
      <c r="A6" s="463" t="s">
        <v>1761</v>
      </c>
      <c r="B6" s="470">
        <v>1130</v>
      </c>
      <c r="C6" s="466">
        <v>132546</v>
      </c>
      <c r="D6" s="466"/>
      <c r="E6" s="475"/>
      <c r="F6" s="475"/>
      <c r="G6" s="468"/>
      <c r="H6" s="468"/>
      <c r="I6" s="468"/>
      <c r="J6" s="468"/>
      <c r="K6" s="468"/>
    </row>
    <row r="7" spans="1:12" x14ac:dyDescent="0.2">
      <c r="A7" s="463" t="s">
        <v>112</v>
      </c>
      <c r="B7" s="549">
        <v>1140</v>
      </c>
      <c r="C7" s="466">
        <v>84450</v>
      </c>
      <c r="D7" s="466"/>
      <c r="E7" s="468"/>
      <c r="F7" s="467"/>
      <c r="G7" s="467"/>
      <c r="H7" s="467"/>
      <c r="I7" s="468"/>
      <c r="J7" s="468"/>
      <c r="K7" s="468"/>
    </row>
    <row r="8" spans="1:12" x14ac:dyDescent="0.2">
      <c r="A8" s="463" t="s">
        <v>433</v>
      </c>
      <c r="B8" s="470">
        <v>1150</v>
      </c>
      <c r="C8" s="475"/>
      <c r="D8" s="475"/>
      <c r="E8" s="477"/>
      <c r="F8" s="477"/>
      <c r="G8" s="481">
        <v>198790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4101713</v>
      </c>
      <c r="D12" s="1729">
        <f t="shared" si="0"/>
        <v>1055630</v>
      </c>
      <c r="E12" s="1729">
        <f t="shared" si="0"/>
        <v>1648800</v>
      </c>
      <c r="F12" s="1729">
        <f t="shared" si="0"/>
        <v>506703</v>
      </c>
      <c r="G12" s="1729">
        <f t="shared" si="0"/>
        <v>335764</v>
      </c>
      <c r="H12" s="1729">
        <f t="shared" si="0"/>
        <v>0</v>
      </c>
      <c r="I12" s="1729">
        <f t="shared" si="0"/>
        <v>211126</v>
      </c>
      <c r="J12" s="1729">
        <f t="shared" si="0"/>
        <v>331344</v>
      </c>
      <c r="K12" s="1710">
        <f t="shared" si="0"/>
        <v>88378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v>14475</v>
      </c>
      <c r="E15" s="466"/>
      <c r="F15" s="466"/>
      <c r="G15" s="466"/>
      <c r="H15" s="466"/>
      <c r="I15" s="466"/>
      <c r="J15" s="467"/>
      <c r="K15" s="466"/>
    </row>
    <row r="16" spans="1:12" ht="15" customHeight="1" x14ac:dyDescent="0.2">
      <c r="A16" s="463" t="s">
        <v>1762</v>
      </c>
      <c r="B16" s="549">
        <v>1230</v>
      </c>
      <c r="C16" s="551">
        <v>233169</v>
      </c>
      <c r="D16" s="466">
        <v>125000</v>
      </c>
      <c r="E16" s="466"/>
      <c r="F16" s="466"/>
      <c r="G16" s="466">
        <v>10000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233169</v>
      </c>
      <c r="D18" s="1732">
        <f t="shared" ref="D18:K18" si="1">SUM(D14:D17)</f>
        <v>139475</v>
      </c>
      <c r="E18" s="1732">
        <f t="shared" si="1"/>
        <v>0</v>
      </c>
      <c r="F18" s="1732">
        <f t="shared" si="1"/>
        <v>0</v>
      </c>
      <c r="G18" s="1732">
        <f t="shared" si="1"/>
        <v>10000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22746</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22746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51835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51835</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223626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223626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47438</v>
      </c>
      <c r="D77" s="466"/>
      <c r="E77" s="468"/>
      <c r="F77" s="468"/>
      <c r="G77" s="468"/>
      <c r="H77" s="468"/>
      <c r="I77" s="468"/>
      <c r="J77" s="468"/>
      <c r="K77" s="468"/>
    </row>
    <row r="78" spans="1:11" ht="12.75" customHeight="1" x14ac:dyDescent="0.2">
      <c r="A78" s="463" t="s">
        <v>78</v>
      </c>
      <c r="B78" s="470">
        <v>1719</v>
      </c>
      <c r="C78" s="551">
        <v>6541</v>
      </c>
      <c r="D78" s="466"/>
      <c r="E78" s="468"/>
      <c r="F78" s="468"/>
      <c r="G78" s="468"/>
      <c r="H78" s="468"/>
      <c r="I78" s="468"/>
      <c r="J78" s="468"/>
      <c r="K78" s="468"/>
    </row>
    <row r="79" spans="1:11" ht="12.75" customHeight="1" x14ac:dyDescent="0.2">
      <c r="A79" s="463" t="s">
        <v>571</v>
      </c>
      <c r="B79" s="470">
        <v>1720</v>
      </c>
      <c r="C79" s="551">
        <v>12123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66102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152535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152535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4146</v>
      </c>
      <c r="D96" s="551">
        <v>5753</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67000</v>
      </c>
      <c r="D99" s="466"/>
      <c r="E99" s="466"/>
      <c r="F99" s="466"/>
      <c r="G99" s="466"/>
      <c r="H99" s="466"/>
      <c r="I99" s="468"/>
      <c r="J99" s="467"/>
      <c r="K99" s="466"/>
    </row>
    <row r="100" spans="1:12" ht="12.75" customHeight="1" x14ac:dyDescent="0.2">
      <c r="A100" s="463" t="s">
        <v>263</v>
      </c>
      <c r="B100" s="470">
        <v>1960</v>
      </c>
      <c r="C100" s="489">
        <v>1181095</v>
      </c>
      <c r="D100" s="489">
        <v>388357</v>
      </c>
      <c r="E100" s="489">
        <v>390000</v>
      </c>
      <c r="F100" s="489"/>
      <c r="G100" s="489"/>
      <c r="H100" s="489"/>
      <c r="I100" s="467"/>
      <c r="J100" s="489"/>
      <c r="K100" s="467"/>
    </row>
    <row r="101" spans="1:12" ht="12.75" customHeight="1" x14ac:dyDescent="0.2">
      <c r="A101" s="463" t="s">
        <v>264</v>
      </c>
      <c r="B101" s="470">
        <v>1970</v>
      </c>
      <c r="C101" s="489">
        <v>27407</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102730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17509</v>
      </c>
      <c r="D106" s="489"/>
      <c r="E106" s="467"/>
      <c r="F106" s="467"/>
      <c r="G106" s="467"/>
      <c r="H106" s="467"/>
      <c r="I106" s="521"/>
      <c r="J106" s="467"/>
      <c r="K106" s="467"/>
    </row>
    <row r="107" spans="1:12" ht="12.75" customHeight="1" x14ac:dyDescent="0.2">
      <c r="A107" s="463" t="s">
        <v>80</v>
      </c>
      <c r="B107" s="470">
        <v>1999</v>
      </c>
      <c r="C107" s="551">
        <v>69747</v>
      </c>
      <c r="D107" s="466">
        <v>38020</v>
      </c>
      <c r="E107" s="466"/>
      <c r="F107" s="466">
        <v>7279</v>
      </c>
      <c r="G107" s="466"/>
      <c r="H107" s="466"/>
      <c r="I107" s="466"/>
      <c r="J107" s="467"/>
      <c r="K107" s="466"/>
    </row>
    <row r="108" spans="1:12" ht="12.75" customHeight="1" thickBot="1" x14ac:dyDescent="0.25">
      <c r="A108" s="1730" t="s">
        <v>508</v>
      </c>
      <c r="B108" s="1734"/>
      <c r="C108" s="1729">
        <f>SUM(C95:C107)</f>
        <v>1469634</v>
      </c>
      <c r="D108" s="1729">
        <f t="shared" ref="D108:K108" si="3">SUM(D95:D107)</f>
        <v>432130</v>
      </c>
      <c r="E108" s="1729">
        <f t="shared" si="3"/>
        <v>390000</v>
      </c>
      <c r="F108" s="1729">
        <f t="shared" si="3"/>
        <v>7279</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6321360</v>
      </c>
      <c r="D109" s="1737">
        <f t="shared" si="4"/>
        <v>1627235</v>
      </c>
      <c r="E109" s="1737">
        <f t="shared" si="4"/>
        <v>2038800</v>
      </c>
      <c r="F109" s="1737">
        <f t="shared" si="4"/>
        <v>513982</v>
      </c>
      <c r="G109" s="1737">
        <f t="shared" si="4"/>
        <v>345764</v>
      </c>
      <c r="H109" s="1737">
        <f t="shared" si="4"/>
        <v>0</v>
      </c>
      <c r="I109" s="1737">
        <f t="shared" si="4"/>
        <v>211126</v>
      </c>
      <c r="J109" s="1737">
        <f t="shared" si="4"/>
        <v>331344</v>
      </c>
      <c r="K109" s="1724">
        <f t="shared" si="4"/>
        <v>88378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1779014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1779014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320634</v>
      </c>
      <c r="D124" s="561"/>
      <c r="E124" s="468"/>
      <c r="F124" s="548"/>
      <c r="G124" s="468"/>
      <c r="H124" s="468"/>
      <c r="I124" s="468"/>
      <c r="J124" s="468"/>
      <c r="K124" s="468"/>
    </row>
    <row r="125" spans="1:11" ht="12.75" customHeight="1" x14ac:dyDescent="0.2">
      <c r="A125" s="463" t="s">
        <v>1521</v>
      </c>
      <c r="B125" s="562">
        <v>3105</v>
      </c>
      <c r="C125" s="466">
        <v>58794</v>
      </c>
      <c r="D125" s="561"/>
      <c r="E125" s="468"/>
      <c r="F125" s="466"/>
      <c r="G125" s="468"/>
      <c r="H125" s="468"/>
      <c r="I125" s="468"/>
      <c r="J125" s="468"/>
      <c r="K125" s="468"/>
    </row>
    <row r="126" spans="1:11" ht="12.75" customHeight="1" x14ac:dyDescent="0.2">
      <c r="A126" s="463" t="s">
        <v>922</v>
      </c>
      <c r="B126" s="562">
        <v>3110</v>
      </c>
      <c r="C126" s="551">
        <v>48436</v>
      </c>
      <c r="D126" s="466"/>
      <c r="E126" s="468"/>
      <c r="F126" s="466"/>
      <c r="G126" s="468"/>
      <c r="H126" s="468"/>
      <c r="I126" s="468"/>
      <c r="J126" s="468"/>
      <c r="K126" s="468"/>
    </row>
    <row r="127" spans="1:11" ht="12.75" customHeight="1" x14ac:dyDescent="0.2">
      <c r="A127" s="463" t="s">
        <v>107</v>
      </c>
      <c r="B127" s="562">
        <v>3120</v>
      </c>
      <c r="C127" s="466">
        <v>21128</v>
      </c>
      <c r="D127" s="561"/>
      <c r="E127" s="468"/>
      <c r="F127" s="466"/>
      <c r="G127" s="468"/>
      <c r="H127" s="468"/>
      <c r="I127" s="468"/>
      <c r="J127" s="468"/>
      <c r="K127" s="468"/>
    </row>
    <row r="128" spans="1:11" ht="12.75" customHeight="1" x14ac:dyDescent="0.2">
      <c r="A128" s="463" t="s">
        <v>1522</v>
      </c>
      <c r="B128" s="562">
        <v>3130</v>
      </c>
      <c r="C128" s="466">
        <v>2173</v>
      </c>
      <c r="D128" s="561"/>
      <c r="E128" s="468"/>
      <c r="F128" s="466"/>
      <c r="G128" s="468"/>
      <c r="H128" s="468"/>
      <c r="I128" s="468"/>
      <c r="J128" s="468"/>
      <c r="K128" s="468"/>
    </row>
    <row r="129" spans="1:11" ht="12.75" customHeight="1" x14ac:dyDescent="0.2">
      <c r="A129" s="463" t="s">
        <v>139</v>
      </c>
      <c r="B129" s="562">
        <v>3145</v>
      </c>
      <c r="C129" s="466">
        <v>2237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453402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434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40752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5965</v>
      </c>
      <c r="G151" s="467"/>
      <c r="H151" s="468"/>
      <c r="I151" s="468"/>
      <c r="J151" s="468"/>
      <c r="K151" s="468"/>
    </row>
    <row r="152" spans="1:11" ht="12.75" customHeight="1" x14ac:dyDescent="0.2">
      <c r="A152" s="463" t="s">
        <v>1117</v>
      </c>
      <c r="B152" s="562">
        <v>3510</v>
      </c>
      <c r="C152" s="551"/>
      <c r="D152" s="466"/>
      <c r="E152" s="561"/>
      <c r="F152" s="466">
        <v>245959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251924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496088</v>
      </c>
      <c r="D172" s="1744">
        <f t="shared" si="6"/>
        <v>0</v>
      </c>
      <c r="E172" s="1744">
        <f t="shared" si="6"/>
        <v>0</v>
      </c>
      <c r="F172" s="1744">
        <f t="shared" si="6"/>
        <v>251924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2275102</v>
      </c>
      <c r="D173" s="1737">
        <f>SUM(D121,D172)</f>
        <v>0</v>
      </c>
      <c r="E173" s="1737">
        <f>SUM(E121,E172)</f>
        <v>0</v>
      </c>
      <c r="F173" s="1737">
        <f t="shared" ref="F173:K173" si="7">SUM(F121,F172)</f>
        <v>251924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94633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94633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5672</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5672</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48802</v>
      </c>
      <c r="D220" s="466"/>
      <c r="E220" s="468"/>
      <c r="F220" s="466"/>
      <c r="G220" s="466"/>
      <c r="H220" s="468"/>
      <c r="I220" s="468"/>
      <c r="J220" s="468"/>
      <c r="K220" s="468"/>
    </row>
    <row r="221" spans="1:11" ht="12.75" customHeight="1" x14ac:dyDescent="0.2">
      <c r="A221" s="463" t="s">
        <v>1114</v>
      </c>
      <c r="B221" s="470">
        <v>4625</v>
      </c>
      <c r="C221" s="551">
        <v>115493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164295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21580</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21580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25768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19976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331924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331924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8928386</v>
      </c>
      <c r="D275" s="1737">
        <f t="shared" si="12"/>
        <v>1627235</v>
      </c>
      <c r="E275" s="1737">
        <f t="shared" si="12"/>
        <v>2038800</v>
      </c>
      <c r="F275" s="1737">
        <f t="shared" si="12"/>
        <v>765906</v>
      </c>
      <c r="G275" s="1737">
        <f t="shared" si="12"/>
        <v>345764</v>
      </c>
      <c r="H275" s="1737">
        <f t="shared" si="12"/>
        <v>0</v>
      </c>
      <c r="I275" s="1737">
        <f t="shared" si="12"/>
        <v>211126</v>
      </c>
      <c r="J275" s="1737">
        <f t="shared" si="12"/>
        <v>331344</v>
      </c>
      <c r="K275" s="1724">
        <f t="shared" si="12"/>
        <v>88378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4" activePane="bottomLeft" state="frozen"/>
      <selection activeCell="A47" sqref="A47"/>
      <selection pane="bottomLeft" activeCell="L217" sqref="L21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2479005</v>
      </c>
      <c r="D5" s="466">
        <v>860853</v>
      </c>
      <c r="E5" s="466">
        <v>171503</v>
      </c>
      <c r="F5" s="466">
        <v>82122</v>
      </c>
      <c r="G5" s="466">
        <v>53393</v>
      </c>
      <c r="H5" s="466"/>
      <c r="I5" s="467"/>
      <c r="J5" s="467"/>
      <c r="K5" s="1693">
        <f>SUM(C5:J5)</f>
        <v>3646876</v>
      </c>
      <c r="L5" s="466">
        <v>3597339</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418125</v>
      </c>
      <c r="D8" s="466">
        <v>180956</v>
      </c>
      <c r="E8" s="466">
        <v>755479</v>
      </c>
      <c r="F8" s="466">
        <v>10454</v>
      </c>
      <c r="G8" s="466">
        <v>2650</v>
      </c>
      <c r="H8" s="466"/>
      <c r="I8" s="467"/>
      <c r="J8" s="467"/>
      <c r="K8" s="1693">
        <f t="shared" si="0"/>
        <v>1367664</v>
      </c>
      <c r="L8" s="466">
        <v>1306682</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39512</v>
      </c>
      <c r="D10" s="466">
        <v>13532</v>
      </c>
      <c r="E10" s="466">
        <v>210</v>
      </c>
      <c r="F10" s="466">
        <v>29280</v>
      </c>
      <c r="G10" s="466">
        <v>17540</v>
      </c>
      <c r="H10" s="466"/>
      <c r="I10" s="467"/>
      <c r="J10" s="467"/>
      <c r="K10" s="1693">
        <f t="shared" si="0"/>
        <v>100074</v>
      </c>
      <c r="L10" s="466">
        <v>118287</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260607</v>
      </c>
      <c r="D13" s="466">
        <v>95051</v>
      </c>
      <c r="E13" s="466">
        <v>446915</v>
      </c>
      <c r="F13" s="466">
        <v>11902</v>
      </c>
      <c r="G13" s="466">
        <v>10431</v>
      </c>
      <c r="H13" s="466"/>
      <c r="I13" s="467"/>
      <c r="J13" s="467"/>
      <c r="K13" s="1693">
        <f t="shared" si="0"/>
        <v>824906</v>
      </c>
      <c r="L13" s="466">
        <v>929200</v>
      </c>
    </row>
    <row r="14" spans="1:14" x14ac:dyDescent="0.2">
      <c r="A14" s="1526" t="s">
        <v>1020</v>
      </c>
      <c r="B14" s="615">
        <v>1500</v>
      </c>
      <c r="C14" s="466">
        <v>436521</v>
      </c>
      <c r="D14" s="466">
        <v>71267</v>
      </c>
      <c r="E14" s="466">
        <v>105872</v>
      </c>
      <c r="F14" s="466">
        <v>38772</v>
      </c>
      <c r="G14" s="466">
        <v>14462</v>
      </c>
      <c r="H14" s="466"/>
      <c r="I14" s="467"/>
      <c r="J14" s="467"/>
      <c r="K14" s="1693">
        <f t="shared" si="0"/>
        <v>666894</v>
      </c>
      <c r="L14" s="466">
        <v>657545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53812</v>
      </c>
      <c r="D18" s="466">
        <v>22828</v>
      </c>
      <c r="E18" s="466"/>
      <c r="F18" s="466"/>
      <c r="G18" s="466"/>
      <c r="H18" s="466"/>
      <c r="I18" s="467"/>
      <c r="J18" s="467"/>
      <c r="K18" s="1693">
        <f t="shared" si="0"/>
        <v>76640</v>
      </c>
      <c r="L18" s="466">
        <v>79300</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3687582</v>
      </c>
      <c r="D33" s="1692">
        <f t="shared" ref="D33:L33" si="1">SUM(D5:D32)</f>
        <v>1244487</v>
      </c>
      <c r="E33" s="1692">
        <f t="shared" si="1"/>
        <v>1479979</v>
      </c>
      <c r="F33" s="1692">
        <f t="shared" si="1"/>
        <v>172530</v>
      </c>
      <c r="G33" s="1692">
        <f t="shared" si="1"/>
        <v>98476</v>
      </c>
      <c r="H33" s="1692">
        <f t="shared" si="1"/>
        <v>0</v>
      </c>
      <c r="I33" s="1692">
        <f t="shared" si="1"/>
        <v>0</v>
      </c>
      <c r="J33" s="1692">
        <f t="shared" si="1"/>
        <v>0</v>
      </c>
      <c r="K33" s="1692">
        <f t="shared" si="1"/>
        <v>6683054</v>
      </c>
      <c r="L33" s="1692">
        <f t="shared" si="1"/>
        <v>6688353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6660</v>
      </c>
      <c r="D36" s="481"/>
      <c r="E36" s="481">
        <v>1250</v>
      </c>
      <c r="F36" s="481">
        <v>1513</v>
      </c>
      <c r="G36" s="481"/>
      <c r="H36" s="481"/>
      <c r="I36" s="467"/>
      <c r="J36" s="467"/>
      <c r="K36" s="1693">
        <f t="shared" ref="K36:K41" si="2">SUM(C36:J36)</f>
        <v>9423</v>
      </c>
      <c r="L36" s="466">
        <v>7976</v>
      </c>
    </row>
    <row r="37" spans="1:14" x14ac:dyDescent="0.2">
      <c r="A37" s="1526" t="s">
        <v>1151</v>
      </c>
      <c r="B37" s="615">
        <v>2120</v>
      </c>
      <c r="C37" s="466">
        <v>401049</v>
      </c>
      <c r="D37" s="466">
        <v>139397</v>
      </c>
      <c r="E37" s="466">
        <v>19134</v>
      </c>
      <c r="F37" s="466">
        <v>366</v>
      </c>
      <c r="G37" s="466"/>
      <c r="H37" s="466"/>
      <c r="I37" s="467"/>
      <c r="J37" s="467"/>
      <c r="K37" s="1693">
        <f t="shared" si="2"/>
        <v>559946</v>
      </c>
      <c r="L37" s="466">
        <v>568500</v>
      </c>
    </row>
    <row r="38" spans="1:14" x14ac:dyDescent="0.2">
      <c r="A38" s="1526" t="s">
        <v>207</v>
      </c>
      <c r="B38" s="615">
        <v>2130</v>
      </c>
      <c r="C38" s="466">
        <v>78370</v>
      </c>
      <c r="D38" s="466">
        <v>25885</v>
      </c>
      <c r="E38" s="466">
        <v>135</v>
      </c>
      <c r="F38" s="466">
        <v>1674</v>
      </c>
      <c r="G38" s="466"/>
      <c r="H38" s="466"/>
      <c r="I38" s="467"/>
      <c r="J38" s="467"/>
      <c r="K38" s="1693">
        <f t="shared" si="2"/>
        <v>106064</v>
      </c>
      <c r="L38" s="466">
        <v>109000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486079</v>
      </c>
      <c r="D42" s="1692">
        <f t="shared" ref="D42:L42" si="3">SUM(D36:D41)</f>
        <v>165282</v>
      </c>
      <c r="E42" s="1692">
        <f t="shared" si="3"/>
        <v>20519</v>
      </c>
      <c r="F42" s="1692">
        <f t="shared" si="3"/>
        <v>3553</v>
      </c>
      <c r="G42" s="1692">
        <f t="shared" si="3"/>
        <v>0</v>
      </c>
      <c r="H42" s="1692">
        <f t="shared" si="3"/>
        <v>0</v>
      </c>
      <c r="I42" s="1692">
        <f t="shared" si="3"/>
        <v>0</v>
      </c>
      <c r="J42" s="1692">
        <f t="shared" si="3"/>
        <v>0</v>
      </c>
      <c r="K42" s="1692">
        <f t="shared" si="3"/>
        <v>675433</v>
      </c>
      <c r="L42" s="1692">
        <f t="shared" si="3"/>
        <v>685476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13054</v>
      </c>
      <c r="D44" s="481">
        <v>86</v>
      </c>
      <c r="E44" s="481">
        <v>2738</v>
      </c>
      <c r="F44" s="481"/>
      <c r="G44" s="481"/>
      <c r="H44" s="481"/>
      <c r="I44" s="467"/>
      <c r="J44" s="467"/>
      <c r="K44" s="1694">
        <f>SUM(C44:J44)</f>
        <v>15878</v>
      </c>
      <c r="L44" s="481">
        <v>33438</v>
      </c>
    </row>
    <row r="45" spans="1:14" x14ac:dyDescent="0.2">
      <c r="A45" s="1526" t="s">
        <v>869</v>
      </c>
      <c r="B45" s="615">
        <v>2220</v>
      </c>
      <c r="C45" s="466">
        <v>111840</v>
      </c>
      <c r="D45" s="466">
        <v>30072</v>
      </c>
      <c r="E45" s="466">
        <v>31168</v>
      </c>
      <c r="F45" s="466">
        <v>7534</v>
      </c>
      <c r="G45" s="466">
        <v>1510</v>
      </c>
      <c r="H45" s="466"/>
      <c r="I45" s="467"/>
      <c r="J45" s="467"/>
      <c r="K45" s="1694">
        <f>SUM(C45:J45)</f>
        <v>182124</v>
      </c>
      <c r="L45" s="466">
        <v>215950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124894</v>
      </c>
      <c r="D47" s="1692">
        <f t="shared" ref="D47:K47" si="4">SUM(D44:D46)</f>
        <v>30158</v>
      </c>
      <c r="E47" s="1692">
        <f t="shared" si="4"/>
        <v>33906</v>
      </c>
      <c r="F47" s="1692">
        <f t="shared" si="4"/>
        <v>7534</v>
      </c>
      <c r="G47" s="1692">
        <f t="shared" si="4"/>
        <v>1510</v>
      </c>
      <c r="H47" s="1692">
        <f t="shared" si="4"/>
        <v>0</v>
      </c>
      <c r="I47" s="1692">
        <f t="shared" si="4"/>
        <v>0</v>
      </c>
      <c r="J47" s="1692">
        <f t="shared" si="4"/>
        <v>0</v>
      </c>
      <c r="K47" s="1692">
        <f t="shared" si="4"/>
        <v>198002</v>
      </c>
      <c r="L47" s="1692">
        <f>SUM(L44:L46)</f>
        <v>249388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60470</v>
      </c>
      <c r="D49" s="481">
        <v>15843</v>
      </c>
      <c r="E49" s="481">
        <v>55508</v>
      </c>
      <c r="F49" s="481">
        <v>3614</v>
      </c>
      <c r="G49" s="481"/>
      <c r="H49" s="481">
        <v>8234</v>
      </c>
      <c r="I49" s="467"/>
      <c r="J49" s="467"/>
      <c r="K49" s="1694">
        <f>SUM(C49:J49)</f>
        <v>143669</v>
      </c>
      <c r="L49" s="481">
        <v>145493</v>
      </c>
    </row>
    <row r="50" spans="1:14" x14ac:dyDescent="0.2">
      <c r="A50" s="1526" t="s">
        <v>872</v>
      </c>
      <c r="B50" s="615">
        <v>2320</v>
      </c>
      <c r="C50" s="466">
        <v>109906</v>
      </c>
      <c r="D50" s="466">
        <v>35622</v>
      </c>
      <c r="E50" s="466">
        <v>1693</v>
      </c>
      <c r="F50" s="466">
        <v>1250</v>
      </c>
      <c r="G50" s="466"/>
      <c r="H50" s="466">
        <v>1851</v>
      </c>
      <c r="I50" s="467"/>
      <c r="J50" s="467"/>
      <c r="K50" s="1694">
        <f>SUM(C50:J50)</f>
        <v>150322</v>
      </c>
      <c r="L50" s="466">
        <v>153000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v>9994</v>
      </c>
      <c r="D52" s="474">
        <v>4096</v>
      </c>
      <c r="E52" s="474"/>
      <c r="F52" s="474"/>
      <c r="G52" s="474"/>
      <c r="H52" s="474"/>
      <c r="I52" s="474"/>
      <c r="J52" s="474"/>
      <c r="K52" s="1694">
        <f>SUM(C52:J52)</f>
        <v>14090</v>
      </c>
      <c r="L52" s="474">
        <v>11900</v>
      </c>
    </row>
    <row r="53" spans="1:14" ht="12.75" customHeight="1" thickBot="1" x14ac:dyDescent="0.25">
      <c r="A53" s="1690" t="s">
        <v>741</v>
      </c>
      <c r="B53" s="1691" t="s">
        <v>33</v>
      </c>
      <c r="C53" s="1692">
        <f>SUM(C49:C52)</f>
        <v>180370</v>
      </c>
      <c r="D53" s="1692">
        <f t="shared" ref="D53:L53" si="5">SUM(D49:D52)</f>
        <v>55561</v>
      </c>
      <c r="E53" s="1692">
        <f t="shared" si="5"/>
        <v>57201</v>
      </c>
      <c r="F53" s="1692">
        <f t="shared" si="5"/>
        <v>4864</v>
      </c>
      <c r="G53" s="1692">
        <f t="shared" si="5"/>
        <v>0</v>
      </c>
      <c r="H53" s="1692">
        <f t="shared" si="5"/>
        <v>10085</v>
      </c>
      <c r="I53" s="1692">
        <f t="shared" si="5"/>
        <v>0</v>
      </c>
      <c r="J53" s="1692">
        <f t="shared" si="5"/>
        <v>0</v>
      </c>
      <c r="K53" s="1692">
        <f t="shared" si="5"/>
        <v>308081</v>
      </c>
      <c r="L53" s="1692">
        <f t="shared" si="5"/>
        <v>310393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222538</v>
      </c>
      <c r="D55" s="481">
        <v>70489</v>
      </c>
      <c r="E55" s="481">
        <v>17507</v>
      </c>
      <c r="F55" s="481">
        <v>27128</v>
      </c>
      <c r="G55" s="481"/>
      <c r="H55" s="481">
        <v>6735</v>
      </c>
      <c r="I55" s="467"/>
      <c r="J55" s="467"/>
      <c r="K55" s="1694">
        <f>SUM(C55:J55)</f>
        <v>344397</v>
      </c>
      <c r="L55" s="481">
        <v>365080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222538</v>
      </c>
      <c r="D57" s="1696">
        <f t="shared" ref="D57:K57" si="6">SUM(D55:D56)</f>
        <v>70489</v>
      </c>
      <c r="E57" s="1696">
        <f t="shared" si="6"/>
        <v>17507</v>
      </c>
      <c r="F57" s="1696">
        <f t="shared" si="6"/>
        <v>27128</v>
      </c>
      <c r="G57" s="1696">
        <f t="shared" si="6"/>
        <v>0</v>
      </c>
      <c r="H57" s="1696">
        <f t="shared" si="6"/>
        <v>6735</v>
      </c>
      <c r="I57" s="1696">
        <f t="shared" si="6"/>
        <v>0</v>
      </c>
      <c r="J57" s="1696">
        <f t="shared" si="6"/>
        <v>0</v>
      </c>
      <c r="K57" s="1696">
        <f t="shared" si="6"/>
        <v>344397</v>
      </c>
      <c r="L57" s="1692">
        <f>SUM(L55:L56)</f>
        <v>365080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40708</v>
      </c>
      <c r="D60" s="466">
        <v>15100</v>
      </c>
      <c r="E60" s="466">
        <v>5288</v>
      </c>
      <c r="F60" s="466">
        <v>1264</v>
      </c>
      <c r="G60" s="466"/>
      <c r="H60" s="466"/>
      <c r="I60" s="467"/>
      <c r="J60" s="467"/>
      <c r="K60" s="1694">
        <f t="shared" si="7"/>
        <v>62360</v>
      </c>
      <c r="L60" s="466">
        <v>63600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15225</v>
      </c>
      <c r="D63" s="466"/>
      <c r="E63" s="466">
        <v>222031</v>
      </c>
      <c r="F63" s="466">
        <v>273</v>
      </c>
      <c r="G63" s="466"/>
      <c r="H63" s="466"/>
      <c r="I63" s="467"/>
      <c r="J63" s="467"/>
      <c r="K63" s="1694">
        <f t="shared" si="7"/>
        <v>237529</v>
      </c>
      <c r="L63" s="466">
        <v>280300</v>
      </c>
    </row>
    <row r="64" spans="1:14" s="610" customFormat="1" x14ac:dyDescent="0.2">
      <c r="A64" s="1531" t="s">
        <v>103</v>
      </c>
      <c r="B64" s="631">
        <v>2570</v>
      </c>
      <c r="C64" s="481"/>
      <c r="D64" s="481"/>
      <c r="E64" s="481"/>
      <c r="F64" s="481">
        <v>1074</v>
      </c>
      <c r="G64" s="481"/>
      <c r="H64" s="481"/>
      <c r="I64" s="467"/>
      <c r="J64" s="467"/>
      <c r="K64" s="1694">
        <f t="shared" si="7"/>
        <v>1074</v>
      </c>
      <c r="L64" s="481">
        <v>1200</v>
      </c>
    </row>
    <row r="65" spans="1:14" s="343" customFormat="1" ht="12.75" customHeight="1" thickBot="1" x14ac:dyDescent="0.25">
      <c r="A65" s="1690" t="s">
        <v>743</v>
      </c>
      <c r="B65" s="1691" t="s">
        <v>35</v>
      </c>
      <c r="C65" s="1692">
        <f>SUM(C59:C64)</f>
        <v>55933</v>
      </c>
      <c r="D65" s="1692">
        <f t="shared" ref="D65:L65" si="8">SUM(D59:D64)</f>
        <v>15100</v>
      </c>
      <c r="E65" s="1692">
        <f t="shared" si="8"/>
        <v>227319</v>
      </c>
      <c r="F65" s="1692">
        <f t="shared" si="8"/>
        <v>2611</v>
      </c>
      <c r="G65" s="1692">
        <f t="shared" si="8"/>
        <v>0</v>
      </c>
      <c r="H65" s="1692">
        <f t="shared" si="8"/>
        <v>0</v>
      </c>
      <c r="I65" s="1692">
        <f t="shared" si="8"/>
        <v>0</v>
      </c>
      <c r="J65" s="1692">
        <f t="shared" si="8"/>
        <v>0</v>
      </c>
      <c r="K65" s="1692">
        <f t="shared" si="8"/>
        <v>300963</v>
      </c>
      <c r="L65" s="1692">
        <f t="shared" si="8"/>
        <v>345100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1069814</v>
      </c>
      <c r="D74" s="1699">
        <f t="shared" ref="D74:K74" si="10">SUM(D42,D47,D53,D57,D65,D72,D73)</f>
        <v>336590</v>
      </c>
      <c r="E74" s="1699">
        <f t="shared" si="10"/>
        <v>356452</v>
      </c>
      <c r="F74" s="1699">
        <f t="shared" si="10"/>
        <v>45690</v>
      </c>
      <c r="G74" s="1699">
        <f t="shared" si="10"/>
        <v>1510</v>
      </c>
      <c r="H74" s="1699">
        <f t="shared" si="10"/>
        <v>16820</v>
      </c>
      <c r="I74" s="1699">
        <f t="shared" si="10"/>
        <v>0</v>
      </c>
      <c r="J74" s="1699">
        <f t="shared" si="10"/>
        <v>0</v>
      </c>
      <c r="K74" s="1699">
        <f t="shared" si="10"/>
        <v>1826876</v>
      </c>
      <c r="L74" s="1699">
        <f>SUM(L42,L47,L53,L57,L65,L72,L73)</f>
        <v>1955437</v>
      </c>
    </row>
    <row r="75" spans="1:14" s="259" customFormat="1" ht="15.75" customHeight="1" thickTop="1" thickBot="1" x14ac:dyDescent="0.25">
      <c r="A75" s="1632" t="s">
        <v>49</v>
      </c>
      <c r="B75" s="1633" t="s">
        <v>596</v>
      </c>
      <c r="C75" s="573">
        <v>24591</v>
      </c>
      <c r="D75" s="573">
        <v>2013</v>
      </c>
      <c r="E75" s="573">
        <v>4652</v>
      </c>
      <c r="F75" s="573">
        <v>1950</v>
      </c>
      <c r="G75" s="573">
        <v>5958</v>
      </c>
      <c r="H75" s="573">
        <v>1549</v>
      </c>
      <c r="I75" s="531"/>
      <c r="J75" s="531"/>
      <c r="K75" s="1692">
        <f>SUM(C75:J75)</f>
        <v>40713</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960681</v>
      </c>
      <c r="F79" s="617"/>
      <c r="G79" s="617"/>
      <c r="H79" s="466"/>
      <c r="I79" s="477"/>
      <c r="J79" s="477"/>
      <c r="K79" s="1693">
        <f t="shared" si="11"/>
        <v>960681</v>
      </c>
      <c r="L79" s="466">
        <v>980000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960681</v>
      </c>
      <c r="F84" s="617"/>
      <c r="G84" s="617"/>
      <c r="H84" s="1692">
        <f>SUM(H78:H83)</f>
        <v>0</v>
      </c>
      <c r="I84" s="477"/>
      <c r="J84" s="477"/>
      <c r="K84" s="1692">
        <f>SUM(K78:K83)</f>
        <v>960681</v>
      </c>
      <c r="L84" s="1692">
        <f>SUM(L78:L83)</f>
        <v>980000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v>1154095</v>
      </c>
      <c r="I91" s="477"/>
      <c r="J91" s="477"/>
      <c r="K91" s="1699">
        <f t="shared" si="12"/>
        <v>1154095</v>
      </c>
      <c r="L91" s="530">
        <v>1154100</v>
      </c>
    </row>
    <row r="92" spans="1:12" ht="14.25" thickTop="1" thickBot="1" x14ac:dyDescent="0.25">
      <c r="A92" s="1702" t="s">
        <v>1641</v>
      </c>
      <c r="B92" s="1700">
        <v>4200</v>
      </c>
      <c r="C92" s="617"/>
      <c r="D92" s="617"/>
      <c r="E92" s="639"/>
      <c r="F92" s="617"/>
      <c r="G92" s="617"/>
      <c r="H92" s="1692">
        <f>SUM(H85:H91)</f>
        <v>1154095</v>
      </c>
      <c r="I92" s="477"/>
      <c r="J92" s="477"/>
      <c r="K92" s="1699">
        <f t="shared" si="12"/>
        <v>1154095</v>
      </c>
      <c r="L92" s="1692">
        <f>SUM(L85:L91)</f>
        <v>1154100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960681</v>
      </c>
      <c r="F102" s="617"/>
      <c r="G102" s="617"/>
      <c r="H102" s="1699">
        <f>SUM(H84,H92,H100,H101)</f>
        <v>1154095</v>
      </c>
      <c r="I102" s="477"/>
      <c r="J102" s="477"/>
      <c r="K102" s="1699">
        <f>SUM(K84,K92,K100,K101)</f>
        <v>2114776</v>
      </c>
      <c r="L102" s="1699">
        <f>SUM(L84,L92,L100,L101)</f>
        <v>2134100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4781987</v>
      </c>
      <c r="D114" s="1692">
        <f t="shared" ref="D114:K114" si="13">SUM(D33,D74,D75,D102,D112,D113)</f>
        <v>1583090</v>
      </c>
      <c r="E114" s="1692">
        <f t="shared" si="13"/>
        <v>2801764</v>
      </c>
      <c r="F114" s="1692">
        <f t="shared" si="13"/>
        <v>220170</v>
      </c>
      <c r="G114" s="1692">
        <f t="shared" si="13"/>
        <v>105944</v>
      </c>
      <c r="H114" s="1692">
        <f>SUM(H33,H74,H75,H102,H112,H113)</f>
        <v>1172464</v>
      </c>
      <c r="I114" s="1692">
        <f t="shared" si="13"/>
        <v>0</v>
      </c>
      <c r="J114" s="1692">
        <f t="shared" si="13"/>
        <v>0</v>
      </c>
      <c r="K114" s="1692">
        <f t="shared" si="13"/>
        <v>10665419</v>
      </c>
      <c r="L114" s="1692">
        <f>SUM(L33,L74,L75,L102,L112,L113)</f>
        <v>10777890</v>
      </c>
    </row>
    <row r="115" spans="1:14" ht="13.5" thickTop="1" x14ac:dyDescent="0.2">
      <c r="A115" s="2173" t="s">
        <v>1053</v>
      </c>
      <c r="B115" s="2174"/>
      <c r="C115" s="619"/>
      <c r="D115" s="619"/>
      <c r="E115" s="619"/>
      <c r="F115" s="619"/>
      <c r="G115" s="619"/>
      <c r="H115" s="619"/>
      <c r="I115" s="619"/>
      <c r="J115" s="619"/>
      <c r="K115" s="1706">
        <f>'Revenues 9-14'!C275-'Expenditures 15-22'!K114</f>
        <v>-1737033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295807</v>
      </c>
      <c r="F123" s="466"/>
      <c r="G123" s="466"/>
      <c r="H123" s="466"/>
      <c r="I123" s="467"/>
      <c r="J123" s="467"/>
      <c r="K123" s="1692">
        <f>SUM(C123:J123)</f>
        <v>295807</v>
      </c>
      <c r="L123" s="466">
        <v>362000</v>
      </c>
    </row>
    <row r="124" spans="1:14" ht="14.25" thickTop="1" thickBot="1" x14ac:dyDescent="0.25">
      <c r="A124" s="1526" t="s">
        <v>206</v>
      </c>
      <c r="B124" s="615">
        <v>2540</v>
      </c>
      <c r="C124" s="466">
        <v>510069</v>
      </c>
      <c r="D124" s="466">
        <v>175219</v>
      </c>
      <c r="E124" s="466">
        <v>229821</v>
      </c>
      <c r="F124" s="466">
        <v>339479</v>
      </c>
      <c r="G124" s="466">
        <v>97698</v>
      </c>
      <c r="H124" s="466"/>
      <c r="I124" s="467"/>
      <c r="J124" s="467"/>
      <c r="K124" s="1692">
        <f>SUM(C124:J124)</f>
        <v>1352286</v>
      </c>
      <c r="L124" s="466">
        <v>1330000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510069</v>
      </c>
      <c r="D127" s="1692">
        <f t="shared" ref="D127:L127" si="14">SUM(D122:D126)</f>
        <v>175219</v>
      </c>
      <c r="E127" s="1692">
        <f t="shared" si="14"/>
        <v>525628</v>
      </c>
      <c r="F127" s="1692">
        <f t="shared" si="14"/>
        <v>339479</v>
      </c>
      <c r="G127" s="1692">
        <f t="shared" si="14"/>
        <v>97698</v>
      </c>
      <c r="H127" s="1692">
        <f t="shared" si="14"/>
        <v>0</v>
      </c>
      <c r="I127" s="1692">
        <f t="shared" si="14"/>
        <v>0</v>
      </c>
      <c r="J127" s="1692">
        <f t="shared" si="14"/>
        <v>0</v>
      </c>
      <c r="K127" s="1692">
        <f t="shared" si="14"/>
        <v>1648093</v>
      </c>
      <c r="L127" s="1692">
        <f t="shared" si="14"/>
        <v>1692000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510069</v>
      </c>
      <c r="D129" s="1699">
        <f t="shared" ref="D129:L129" si="15">SUM(D120,D127,D128)</f>
        <v>175219</v>
      </c>
      <c r="E129" s="1699">
        <f t="shared" si="15"/>
        <v>525628</v>
      </c>
      <c r="F129" s="1699">
        <f t="shared" si="15"/>
        <v>339479</v>
      </c>
      <c r="G129" s="1699">
        <f t="shared" si="15"/>
        <v>97698</v>
      </c>
      <c r="H129" s="1699">
        <f t="shared" si="15"/>
        <v>0</v>
      </c>
      <c r="I129" s="1699">
        <f t="shared" si="15"/>
        <v>0</v>
      </c>
      <c r="J129" s="1699">
        <f t="shared" si="15"/>
        <v>0</v>
      </c>
      <c r="K129" s="1699">
        <f t="shared" si="15"/>
        <v>1648093</v>
      </c>
      <c r="L129" s="1699">
        <f t="shared" si="15"/>
        <v>1692000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v>94991</v>
      </c>
      <c r="F135" s="617"/>
      <c r="G135" s="617"/>
      <c r="H135" s="466"/>
      <c r="I135" s="477"/>
      <c r="J135" s="617"/>
      <c r="K135" s="1694">
        <f>SUM(E135,H135)</f>
        <v>94991</v>
      </c>
      <c r="L135" s="466">
        <v>87000</v>
      </c>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94991</v>
      </c>
      <c r="F137" s="617"/>
      <c r="G137" s="617"/>
      <c r="H137" s="1692">
        <f>SUM(H133:H136)</f>
        <v>0</v>
      </c>
      <c r="I137" s="477"/>
      <c r="J137" s="617"/>
      <c r="K137" s="1692">
        <f>SUM(K133:K136)</f>
        <v>94991</v>
      </c>
      <c r="L137" s="1692">
        <f>SUM(L133:L136)</f>
        <v>87000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94991</v>
      </c>
      <c r="F139" s="617"/>
      <c r="G139" s="617"/>
      <c r="H139" s="1701">
        <f>SUM(H137:H138)</f>
        <v>0</v>
      </c>
      <c r="I139" s="477"/>
      <c r="J139" s="617"/>
      <c r="K139" s="1694">
        <f>SUM(K137,K138)</f>
        <v>94991</v>
      </c>
      <c r="L139" s="1701">
        <f>SUM(L137,L138)</f>
        <v>87000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510069</v>
      </c>
      <c r="D151" s="1692">
        <f t="shared" ref="D151:K151" si="16">SUM(D129,D130,D139,D149,D150)</f>
        <v>175219</v>
      </c>
      <c r="E151" s="1692">
        <f t="shared" si="16"/>
        <v>620619</v>
      </c>
      <c r="F151" s="1692">
        <f t="shared" si="16"/>
        <v>339479</v>
      </c>
      <c r="G151" s="1692">
        <f t="shared" si="16"/>
        <v>97698</v>
      </c>
      <c r="H151" s="1692">
        <f t="shared" si="16"/>
        <v>0</v>
      </c>
      <c r="I151" s="1692">
        <f t="shared" si="16"/>
        <v>0</v>
      </c>
      <c r="J151" s="1692">
        <f t="shared" si="16"/>
        <v>0</v>
      </c>
      <c r="K151" s="1692">
        <f t="shared" si="16"/>
        <v>1743084</v>
      </c>
      <c r="L151" s="1692">
        <f>SUM(L129,L130,L139,L149,L150)</f>
        <v>1779000</v>
      </c>
    </row>
    <row r="152" spans="1:14" ht="12.75" customHeight="1" thickTop="1" x14ac:dyDescent="0.2">
      <c r="A152" s="2193" t="s">
        <v>1240</v>
      </c>
      <c r="B152" s="2194"/>
      <c r="C152" s="619"/>
      <c r="D152" s="619"/>
      <c r="E152" s="619"/>
      <c r="F152" s="619"/>
      <c r="G152" s="619"/>
      <c r="H152" s="619"/>
      <c r="I152" s="619"/>
      <c r="J152" s="617"/>
      <c r="K152" s="1706">
        <f>'Revenues 9-14'!D275-'Expenditures 15-22'!K151</f>
        <v>-115849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177320</v>
      </c>
      <c r="I169" s="617"/>
      <c r="J169" s="617"/>
      <c r="K169" s="1693">
        <f>SUM(C169:H169)</f>
        <v>177320</v>
      </c>
      <c r="L169" s="657">
        <v>177322</v>
      </c>
    </row>
    <row r="170" spans="1:14" ht="33.75" customHeight="1" x14ac:dyDescent="0.2">
      <c r="A170" s="670" t="s">
        <v>1769</v>
      </c>
      <c r="B170" s="672" t="s">
        <v>31</v>
      </c>
      <c r="C170" s="617"/>
      <c r="D170" s="617"/>
      <c r="E170" s="617"/>
      <c r="F170" s="617"/>
      <c r="G170" s="617"/>
      <c r="H170" s="569">
        <v>1860000</v>
      </c>
      <c r="I170" s="617"/>
      <c r="J170" s="617"/>
      <c r="K170" s="1693">
        <f>SUM(C170:J170)</f>
        <v>1860000</v>
      </c>
      <c r="L170" s="569">
        <v>1860000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2037320</v>
      </c>
      <c r="I172" s="639"/>
      <c r="J172" s="617"/>
      <c r="K172" s="1699">
        <f>SUM(K168,K169,K170,K171)</f>
        <v>2037320</v>
      </c>
      <c r="L172" s="1699">
        <f>SUM(L168,L169,L170,L171)</f>
        <v>2037322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2037320</v>
      </c>
      <c r="I174" s="639"/>
      <c r="J174" s="617"/>
      <c r="K174" s="1699">
        <f>SUM(K160,K172,K173)</f>
        <v>2037320</v>
      </c>
      <c r="L174" s="1699">
        <f>SUM(L160,L172,L173)</f>
        <v>2037322</v>
      </c>
    </row>
    <row r="175" spans="1:14" ht="13.5" thickTop="1" x14ac:dyDescent="0.2">
      <c r="A175" s="2173" t="s">
        <v>1053</v>
      </c>
      <c r="B175" s="2174"/>
      <c r="C175" s="617"/>
      <c r="D175" s="617"/>
      <c r="E175" s="617"/>
      <c r="F175" s="617"/>
      <c r="G175" s="617"/>
      <c r="H175" s="619"/>
      <c r="I175" s="617"/>
      <c r="J175" s="617"/>
      <c r="K175" s="1706">
        <f>'Revenues 9-14'!E275-'Expenditures 15-22'!K174</f>
        <v>1480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5000</v>
      </c>
      <c r="D182" s="466"/>
      <c r="E182" s="466">
        <v>48037</v>
      </c>
      <c r="F182" s="466">
        <v>9595</v>
      </c>
      <c r="G182" s="466">
        <v>22192</v>
      </c>
      <c r="H182" s="466"/>
      <c r="I182" s="467"/>
      <c r="J182" s="467"/>
      <c r="K182" s="1693">
        <f>SUM(C182:J182)</f>
        <v>84824</v>
      </c>
      <c r="L182" s="466">
        <v>70000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5000</v>
      </c>
      <c r="D184" s="1699">
        <f t="shared" ref="D184:J184" si="17">SUM(D180,D182,D183)</f>
        <v>0</v>
      </c>
      <c r="E184" s="1699">
        <f t="shared" si="17"/>
        <v>48037</v>
      </c>
      <c r="F184" s="1699">
        <f t="shared" si="17"/>
        <v>9595</v>
      </c>
      <c r="G184" s="1699">
        <f t="shared" si="17"/>
        <v>22192</v>
      </c>
      <c r="H184" s="1699">
        <f t="shared" si="17"/>
        <v>0</v>
      </c>
      <c r="I184" s="1699">
        <f t="shared" si="17"/>
        <v>0</v>
      </c>
      <c r="J184" s="1699">
        <f t="shared" si="17"/>
        <v>0</v>
      </c>
      <c r="K184" s="1699">
        <f>SUM(K180,K182,K183)</f>
        <v>84824</v>
      </c>
      <c r="L184" s="1699">
        <f>SUM(L180, L182:L183)</f>
        <v>70000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v>257968</v>
      </c>
      <c r="I188" s="477"/>
      <c r="J188" s="617"/>
      <c r="K188" s="1693">
        <f t="shared" ref="K188:K193" si="18">SUM(E188,H188)</f>
        <v>257968</v>
      </c>
      <c r="L188" s="466">
        <v>295000</v>
      </c>
    </row>
    <row r="189" spans="1:14" x14ac:dyDescent="0.2">
      <c r="A189" s="1526" t="s">
        <v>322</v>
      </c>
      <c r="B189" s="615">
        <v>4120</v>
      </c>
      <c r="C189" s="617"/>
      <c r="D189" s="617"/>
      <c r="E189" s="466"/>
      <c r="F189" s="617"/>
      <c r="G189" s="617"/>
      <c r="H189" s="466">
        <v>309469</v>
      </c>
      <c r="I189" s="477"/>
      <c r="J189" s="617"/>
      <c r="K189" s="1693">
        <f t="shared" si="18"/>
        <v>309469</v>
      </c>
      <c r="L189" s="466">
        <v>275000</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567437</v>
      </c>
      <c r="I194" s="477"/>
      <c r="J194" s="617"/>
      <c r="K194" s="1692">
        <f>SUM(K188:K193)</f>
        <v>567437</v>
      </c>
      <c r="L194" s="1692">
        <f>SUM(L188:L193)</f>
        <v>570000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567437</v>
      </c>
      <c r="I196" s="477"/>
      <c r="J196" s="617"/>
      <c r="K196" s="1699">
        <f>SUM(K194,K195)</f>
        <v>567437</v>
      </c>
      <c r="L196" s="1699">
        <f>SUM(L194,L195)</f>
        <v>570000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5000</v>
      </c>
      <c r="D210" s="1692">
        <f>SUM(D184,D185)</f>
        <v>0</v>
      </c>
      <c r="E210" s="1692">
        <f>SUM(E184,E185,E196)</f>
        <v>48037</v>
      </c>
      <c r="F210" s="1692">
        <f>SUM(F184,F185)</f>
        <v>9595</v>
      </c>
      <c r="G210" s="1692">
        <f>SUM(G184,G185)</f>
        <v>22192</v>
      </c>
      <c r="H210" s="1692">
        <f>SUM(H184,H185,H196,H208,H209)</f>
        <v>567437</v>
      </c>
      <c r="I210" s="1692">
        <f>SUM(I184,I185)</f>
        <v>0</v>
      </c>
      <c r="J210" s="1692">
        <f>SUM(J184,J185)</f>
        <v>0</v>
      </c>
      <c r="K210" s="1693">
        <f>SUM(K184,K185,K196,K208,K209)</f>
        <v>652261</v>
      </c>
      <c r="L210" s="1692">
        <f>SUM(L184,L185,L196,L208,L209)</f>
        <v>640000</v>
      </c>
    </row>
    <row r="211" spans="1:14" ht="13.5" thickTop="1" x14ac:dyDescent="0.2">
      <c r="A211" s="2173" t="s">
        <v>1053</v>
      </c>
      <c r="B211" s="2174"/>
      <c r="C211" s="619"/>
      <c r="D211" s="619"/>
      <c r="E211" s="619"/>
      <c r="F211" s="619"/>
      <c r="G211" s="619"/>
      <c r="H211" s="619"/>
      <c r="I211" s="617"/>
      <c r="J211" s="617"/>
      <c r="K211" s="1706">
        <f>'Revenues 9-14'!F275-'Expenditures 15-22'!K210</f>
        <v>113645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74474</v>
      </c>
      <c r="E215" s="617"/>
      <c r="F215" s="617"/>
      <c r="G215" s="617"/>
      <c r="H215" s="617"/>
      <c r="I215" s="617"/>
      <c r="J215" s="617"/>
      <c r="K215" s="1693">
        <f>D215</f>
        <v>74474</v>
      </c>
      <c r="L215" s="466">
        <f>1900+75000</f>
        <v>76900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6212</v>
      </c>
      <c r="E217" s="617"/>
      <c r="F217" s="617"/>
      <c r="G217" s="617"/>
      <c r="H217" s="617"/>
      <c r="I217" s="617"/>
      <c r="J217" s="617"/>
      <c r="K217" s="1693">
        <f t="shared" si="19"/>
        <v>6212</v>
      </c>
      <c r="L217" s="466">
        <v>6300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16752</v>
      </c>
      <c r="E223" s="617"/>
      <c r="F223" s="617"/>
      <c r="G223" s="617"/>
      <c r="H223" s="617"/>
      <c r="I223" s="617"/>
      <c r="J223" s="617"/>
      <c r="K223" s="1693">
        <f t="shared" si="19"/>
        <v>16752</v>
      </c>
      <c r="L223" s="466">
        <v>17100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97438</v>
      </c>
      <c r="E229" s="617"/>
      <c r="F229" s="617"/>
      <c r="G229" s="617"/>
      <c r="H229" s="617"/>
      <c r="I229" s="617"/>
      <c r="J229" s="617"/>
      <c r="K229" s="1692">
        <f>SUM(K215:K228)</f>
        <v>97438</v>
      </c>
      <c r="L229" s="1692">
        <f>SUM(L215:L228)</f>
        <v>100300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509</v>
      </c>
      <c r="E232" s="617"/>
      <c r="F232" s="617"/>
      <c r="G232" s="617"/>
      <c r="H232" s="617"/>
      <c r="I232" s="617"/>
      <c r="J232" s="617"/>
      <c r="K232" s="1693">
        <f t="shared" ref="K232:K237" si="20">D232</f>
        <v>509</v>
      </c>
      <c r="L232" s="466">
        <v>509</v>
      </c>
    </row>
    <row r="233" spans="1:12" x14ac:dyDescent="0.2">
      <c r="A233" s="1526" t="s">
        <v>1151</v>
      </c>
      <c r="B233" s="615">
        <v>2120</v>
      </c>
      <c r="C233" s="617"/>
      <c r="D233" s="466">
        <v>12949</v>
      </c>
      <c r="E233" s="617"/>
      <c r="F233" s="617"/>
      <c r="G233" s="617"/>
      <c r="H233" s="617"/>
      <c r="I233" s="617"/>
      <c r="J233" s="617"/>
      <c r="K233" s="1693">
        <f t="shared" si="20"/>
        <v>12949</v>
      </c>
      <c r="L233" s="466">
        <v>13100</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13458</v>
      </c>
      <c r="E238" s="617"/>
      <c r="F238" s="617"/>
      <c r="G238" s="617"/>
      <c r="H238" s="617"/>
      <c r="I238" s="617"/>
      <c r="J238" s="617"/>
      <c r="K238" s="1692">
        <f>SUM(K232:K237)</f>
        <v>13458</v>
      </c>
      <c r="L238" s="1692">
        <f>SUM(L232:L237)</f>
        <v>13609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23877</v>
      </c>
      <c r="E241" s="617"/>
      <c r="F241" s="617"/>
      <c r="G241" s="617"/>
      <c r="H241" s="617"/>
      <c r="I241" s="617"/>
      <c r="J241" s="617"/>
      <c r="K241" s="1694">
        <f>D241</f>
        <v>23877</v>
      </c>
      <c r="L241" s="466">
        <v>25300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23877</v>
      </c>
      <c r="E243" s="617"/>
      <c r="F243" s="617"/>
      <c r="G243" s="617"/>
      <c r="H243" s="617"/>
      <c r="I243" s="617"/>
      <c r="J243" s="617"/>
      <c r="K243" s="1692">
        <f>SUM(K240:K242)</f>
        <v>23877</v>
      </c>
      <c r="L243" s="1692">
        <f>SUM(L240:L242)</f>
        <v>25300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13179</v>
      </c>
      <c r="E245" s="617"/>
      <c r="F245" s="617"/>
      <c r="G245" s="617"/>
      <c r="H245" s="617"/>
      <c r="I245" s="617"/>
      <c r="J245" s="617"/>
      <c r="K245" s="1694">
        <f>D245</f>
        <v>13179</v>
      </c>
      <c r="L245" s="481">
        <v>13100</v>
      </c>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2438</v>
      </c>
      <c r="E254" s="617"/>
      <c r="F254" s="617"/>
      <c r="G254" s="617"/>
      <c r="H254" s="617"/>
      <c r="I254" s="617"/>
      <c r="J254" s="617"/>
      <c r="K254" s="1694">
        <f t="shared" si="21"/>
        <v>2438</v>
      </c>
      <c r="L254" s="466">
        <v>1400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15617</v>
      </c>
      <c r="E257" s="617"/>
      <c r="F257" s="617"/>
      <c r="G257" s="617"/>
      <c r="H257" s="617"/>
      <c r="I257" s="617"/>
      <c r="J257" s="617"/>
      <c r="K257" s="1692">
        <f>SUM(K245:K256)</f>
        <v>15617</v>
      </c>
      <c r="L257" s="1692">
        <f>SUM(L245:L256)</f>
        <v>14500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16472</v>
      </c>
      <c r="E259" s="617"/>
      <c r="F259" s="617"/>
      <c r="G259" s="617"/>
      <c r="H259" s="617"/>
      <c r="I259" s="617"/>
      <c r="J259" s="617"/>
      <c r="K259" s="1694">
        <f>D259</f>
        <v>16472</v>
      </c>
      <c r="L259" s="481">
        <v>16100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16472</v>
      </c>
      <c r="E261" s="617"/>
      <c r="F261" s="617"/>
      <c r="G261" s="617"/>
      <c r="H261" s="617"/>
      <c r="I261" s="617"/>
      <c r="J261" s="617"/>
      <c r="K261" s="1692">
        <f>SUM(K259:K260)</f>
        <v>16472</v>
      </c>
      <c r="L261" s="1692">
        <f>SUM(L259:L260)</f>
        <v>16100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10242</v>
      </c>
      <c r="E264" s="617"/>
      <c r="F264" s="617"/>
      <c r="G264" s="617"/>
      <c r="H264" s="617"/>
      <c r="I264" s="617"/>
      <c r="J264" s="617"/>
      <c r="K264" s="1694">
        <f t="shared" ref="K264:K269" si="22">D264</f>
        <v>10242</v>
      </c>
      <c r="L264" s="466">
        <v>10500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114773</v>
      </c>
      <c r="E266" s="617"/>
      <c r="F266" s="617"/>
      <c r="G266" s="617"/>
      <c r="H266" s="617"/>
      <c r="I266" s="617"/>
      <c r="J266" s="617"/>
      <c r="K266" s="1694">
        <f t="shared" si="22"/>
        <v>114773</v>
      </c>
      <c r="L266" s="466">
        <v>97000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2008</v>
      </c>
      <c r="E268" s="617"/>
      <c r="F268" s="617"/>
      <c r="G268" s="617"/>
      <c r="H268" s="617"/>
      <c r="I268" s="617"/>
      <c r="J268" s="617"/>
      <c r="K268" s="1694">
        <f t="shared" si="22"/>
        <v>2008</v>
      </c>
      <c r="L268" s="466">
        <v>1800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127023</v>
      </c>
      <c r="E270" s="617"/>
      <c r="F270" s="617"/>
      <c r="G270" s="617"/>
      <c r="H270" s="617"/>
      <c r="I270" s="617"/>
      <c r="J270" s="617"/>
      <c r="K270" s="1692">
        <f>SUM(K263:K269)</f>
        <v>127023</v>
      </c>
      <c r="L270" s="1692">
        <f>SUM(L263:L269)</f>
        <v>109300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196447</v>
      </c>
      <c r="E279" s="617"/>
      <c r="F279" s="617"/>
      <c r="G279" s="617"/>
      <c r="H279" s="617"/>
      <c r="I279" s="617"/>
      <c r="J279" s="617"/>
      <c r="K279" s="1699">
        <f>SUM(K238,K243,K257,K261,K270,K277,K278)</f>
        <v>196447</v>
      </c>
      <c r="L279" s="1699">
        <f>SUM(L238,L243,L257,L261,L270,L277,L278)</f>
        <v>178809</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293885</v>
      </c>
      <c r="E295" s="617"/>
      <c r="F295" s="617"/>
      <c r="G295" s="617"/>
      <c r="H295" s="1692">
        <f>H293</f>
        <v>0</v>
      </c>
      <c r="I295" s="617"/>
      <c r="J295" s="617"/>
      <c r="K295" s="1692">
        <f>SUM(K229,K279,K280,K285,K293,K294)</f>
        <v>293885</v>
      </c>
      <c r="L295" s="1692">
        <f>SUM(L229,L279,L280,L285,L293,L294)</f>
        <v>279109</v>
      </c>
    </row>
    <row r="296" spans="1:14" ht="13.5" thickTop="1" x14ac:dyDescent="0.2">
      <c r="A296" s="2173" t="s">
        <v>1053</v>
      </c>
      <c r="B296" s="2174"/>
      <c r="C296" s="617"/>
      <c r="D296" s="619"/>
      <c r="E296" s="617"/>
      <c r="F296" s="617"/>
      <c r="G296" s="617"/>
      <c r="H296" s="688"/>
      <c r="I296" s="617"/>
      <c r="J296" s="617"/>
      <c r="K296" s="1706">
        <f>'Revenues 9-14'!G275-'Expenditures 15-22'!K295</f>
        <v>51879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600</v>
      </c>
      <c r="F321" s="467"/>
      <c r="G321" s="467"/>
      <c r="H321" s="467"/>
      <c r="I321" s="467"/>
      <c r="J321" s="467"/>
      <c r="K321" s="1693">
        <f t="shared" si="24"/>
        <v>600</v>
      </c>
      <c r="L321" s="467">
        <v>1000</v>
      </c>
      <c r="M321" s="666"/>
      <c r="N321" s="666"/>
    </row>
    <row r="322" spans="1:14" s="675" customFormat="1" x14ac:dyDescent="0.2">
      <c r="A322" s="1541" t="s">
        <v>256</v>
      </c>
      <c r="B322" s="698" t="s">
        <v>302</v>
      </c>
      <c r="C322" s="467"/>
      <c r="D322" s="467"/>
      <c r="E322" s="467">
        <v>117754</v>
      </c>
      <c r="F322" s="467"/>
      <c r="G322" s="467"/>
      <c r="H322" s="467"/>
      <c r="I322" s="467"/>
      <c r="J322" s="467"/>
      <c r="K322" s="1693">
        <f t="shared" si="24"/>
        <v>117754</v>
      </c>
      <c r="L322" s="467">
        <v>135000</v>
      </c>
      <c r="M322" s="666"/>
      <c r="N322" s="666"/>
    </row>
    <row r="323" spans="1:14" s="675" customFormat="1" x14ac:dyDescent="0.2">
      <c r="A323" s="1541" t="s">
        <v>726</v>
      </c>
      <c r="B323" s="698" t="s">
        <v>303</v>
      </c>
      <c r="C323" s="467"/>
      <c r="D323" s="467"/>
      <c r="E323" s="467">
        <v>15661</v>
      </c>
      <c r="F323" s="467"/>
      <c r="G323" s="467"/>
      <c r="H323" s="467"/>
      <c r="I323" s="467"/>
      <c r="J323" s="467"/>
      <c r="K323" s="1693">
        <f t="shared" si="24"/>
        <v>15661</v>
      </c>
      <c r="L323" s="467">
        <v>16000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128005</v>
      </c>
      <c r="D325" s="467">
        <v>17996</v>
      </c>
      <c r="E325" s="467">
        <v>50104</v>
      </c>
      <c r="F325" s="467"/>
      <c r="G325" s="467"/>
      <c r="H325" s="467"/>
      <c r="I325" s="467"/>
      <c r="J325" s="467"/>
      <c r="K325" s="1693">
        <f t="shared" si="24"/>
        <v>196105</v>
      </c>
      <c r="L325" s="467">
        <v>205800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128005</v>
      </c>
      <c r="D330" s="1692">
        <f t="shared" ref="D330:J330" si="25">SUM(D319:D329)</f>
        <v>17996</v>
      </c>
      <c r="E330" s="1692">
        <f t="shared" si="25"/>
        <v>184119</v>
      </c>
      <c r="F330" s="1692">
        <f t="shared" si="25"/>
        <v>0</v>
      </c>
      <c r="G330" s="1692">
        <f t="shared" si="25"/>
        <v>0</v>
      </c>
      <c r="H330" s="1692">
        <f t="shared" si="25"/>
        <v>0</v>
      </c>
      <c r="I330" s="1692">
        <f t="shared" si="25"/>
        <v>0</v>
      </c>
      <c r="J330" s="1692">
        <f t="shared" si="25"/>
        <v>0</v>
      </c>
      <c r="K330" s="1692">
        <f>SUM(K319:K329)</f>
        <v>330120</v>
      </c>
      <c r="L330" s="1692">
        <f>SUM(L319:L329)</f>
        <v>357800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128005</v>
      </c>
      <c r="D342" s="1692">
        <f>SUM(D330)</f>
        <v>17996</v>
      </c>
      <c r="E342" s="1692">
        <f>SUM(E330)</f>
        <v>184119</v>
      </c>
      <c r="F342" s="1692">
        <f>SUM(F330)</f>
        <v>0</v>
      </c>
      <c r="G342" s="1692">
        <f>SUM(G330)</f>
        <v>0</v>
      </c>
      <c r="H342" s="1692">
        <f>SUM(H330,H334,H340)</f>
        <v>0</v>
      </c>
      <c r="I342" s="1692">
        <f>SUM(I330)</f>
        <v>0</v>
      </c>
      <c r="J342" s="1692">
        <f>SUM(J330)</f>
        <v>0</v>
      </c>
      <c r="K342" s="1692">
        <f>SUM(K330,K334,K340)</f>
        <v>330120</v>
      </c>
      <c r="L342" s="1699">
        <f>SUM(L330,L340,L341)</f>
        <v>357800</v>
      </c>
    </row>
    <row r="343" spans="1:14" ht="12.75" customHeight="1" thickTop="1" x14ac:dyDescent="0.2">
      <c r="A343" s="2186" t="s">
        <v>1053</v>
      </c>
      <c r="B343" s="2187"/>
      <c r="C343" s="617"/>
      <c r="D343" s="617"/>
      <c r="E343" s="617"/>
      <c r="F343" s="617"/>
      <c r="G343" s="617"/>
      <c r="H343" s="617"/>
      <c r="I343" s="617"/>
      <c r="J343" s="617"/>
      <c r="K343" s="1706">
        <f>'Revenues 9-14'!J275-'Expenditures 15-22'!K342</f>
        <v>1224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57589</v>
      </c>
      <c r="H348" s="466"/>
      <c r="I348" s="467"/>
      <c r="J348" s="467"/>
      <c r="K348" s="1693">
        <f>SUM(C348:J348)</f>
        <v>57589</v>
      </c>
      <c r="L348" s="466">
        <v>60000</v>
      </c>
    </row>
    <row r="349" spans="1:14" x14ac:dyDescent="0.2">
      <c r="A349" s="1526" t="s">
        <v>206</v>
      </c>
      <c r="B349" s="615">
        <v>2540</v>
      </c>
      <c r="C349" s="466"/>
      <c r="D349" s="466"/>
      <c r="E349" s="466">
        <v>2644</v>
      </c>
      <c r="F349" s="466"/>
      <c r="G349" s="466"/>
      <c r="H349" s="466"/>
      <c r="I349" s="467"/>
      <c r="J349" s="467"/>
      <c r="K349" s="1693">
        <f>SUM(C349:J349)</f>
        <v>2644</v>
      </c>
      <c r="L349" s="466">
        <v>2800</v>
      </c>
    </row>
    <row r="350" spans="1:14" ht="12.75" customHeight="1" thickBot="1" x14ac:dyDescent="0.25">
      <c r="A350" s="1690" t="s">
        <v>743</v>
      </c>
      <c r="B350" s="1691" t="s">
        <v>35</v>
      </c>
      <c r="C350" s="1692">
        <f>SUM(C348:C349)</f>
        <v>0</v>
      </c>
      <c r="D350" s="1692">
        <f t="shared" ref="D350:L350" si="26">SUM(D348:D349)</f>
        <v>0</v>
      </c>
      <c r="E350" s="1692">
        <f t="shared" si="26"/>
        <v>2644</v>
      </c>
      <c r="F350" s="1692">
        <f t="shared" si="26"/>
        <v>0</v>
      </c>
      <c r="G350" s="1692">
        <f t="shared" si="26"/>
        <v>57589</v>
      </c>
      <c r="H350" s="1692">
        <f t="shared" si="26"/>
        <v>0</v>
      </c>
      <c r="I350" s="1692">
        <f t="shared" si="26"/>
        <v>0</v>
      </c>
      <c r="J350" s="1692">
        <f t="shared" si="26"/>
        <v>0</v>
      </c>
      <c r="K350" s="1692">
        <f t="shared" si="26"/>
        <v>60233</v>
      </c>
      <c r="L350" s="1692">
        <f t="shared" si="26"/>
        <v>62800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2644</v>
      </c>
      <c r="F352" s="1692">
        <f t="shared" si="27"/>
        <v>0</v>
      </c>
      <c r="G352" s="1692">
        <f t="shared" si="27"/>
        <v>57589</v>
      </c>
      <c r="H352" s="1692">
        <f t="shared" si="27"/>
        <v>0</v>
      </c>
      <c r="I352" s="1692">
        <f t="shared" si="27"/>
        <v>0</v>
      </c>
      <c r="J352" s="1692">
        <f t="shared" si="27"/>
        <v>0</v>
      </c>
      <c r="K352" s="1692">
        <f t="shared" si="27"/>
        <v>60233</v>
      </c>
      <c r="L352" s="1692">
        <f t="shared" si="27"/>
        <v>62800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2644</v>
      </c>
      <c r="F367" s="1692">
        <f t="shared" si="28"/>
        <v>0</v>
      </c>
      <c r="G367" s="1692">
        <f t="shared" si="28"/>
        <v>57589</v>
      </c>
      <c r="H367" s="1692">
        <f t="shared" si="28"/>
        <v>0</v>
      </c>
      <c r="I367" s="1692">
        <f t="shared" si="28"/>
        <v>0</v>
      </c>
      <c r="J367" s="1692">
        <f t="shared" si="28"/>
        <v>0</v>
      </c>
      <c r="K367" s="1692">
        <f t="shared" si="28"/>
        <v>60233</v>
      </c>
      <c r="L367" s="1692">
        <f t="shared" si="28"/>
        <v>62800</v>
      </c>
    </row>
    <row r="368" spans="1:14" ht="13.5" thickTop="1" x14ac:dyDescent="0.2">
      <c r="A368" s="2173" t="s">
        <v>1053</v>
      </c>
      <c r="B368" s="2174"/>
      <c r="C368" s="655"/>
      <c r="D368" s="655"/>
      <c r="E368" s="627"/>
      <c r="F368" s="627"/>
      <c r="G368" s="627"/>
      <c r="H368" s="627"/>
      <c r="I368" s="627"/>
      <c r="J368" s="624"/>
      <c r="K368" s="1693">
        <f>'Revenues 9-14'!K275-'Expenditures 15-22'!K367</f>
        <v>28145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d21dc803-237d-4c68-8692-8d731fd29118"/>
    <ds:schemaRef ds:uri="http://purl.org/dc/elements/1.1/"/>
    <ds:schemaRef ds:uri="http://schemas.microsoft.com/sharepoint/v3"/>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6ce3111e-7420-4802-b50a-75d4e9a0b980"/>
    <ds:schemaRef ds:uri="4d435f69-8686-490b-bd6d-b153bf22ab5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2018-10-09T16:25:20Z</cp:lastPrinted>
  <dcterms:created xsi:type="dcterms:W3CDTF">2003-10-29T19:06:34Z</dcterms:created>
  <dcterms:modified xsi:type="dcterms:W3CDTF">2018-10-09T19:28:23Z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