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24" i="181" l="1"/>
  <c r="D20" i="181"/>
  <c r="E63" i="29"/>
  <c r="J31"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c r="B5126" i="106"/>
  <c r="D5126" i="106" s="1"/>
  <c r="B5127" i="106"/>
  <c r="D5127" i="106"/>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s="1"/>
  <c r="B6368" i="106"/>
  <c r="D6368" i="106" s="1"/>
  <c r="B6369" i="106"/>
  <c r="D6369" i="106"/>
  <c r="B6370" i="106"/>
  <c r="D6370" i="106" s="1"/>
  <c r="B6371" i="106"/>
  <c r="D6371" i="106"/>
  <c r="B6372" i="106"/>
  <c r="D6372" i="106" s="1"/>
  <c r="B6373" i="106"/>
  <c r="D6373" i="106"/>
  <c r="B6374" i="106"/>
  <c r="D6374" i="106" s="1"/>
  <c r="B6375" i="106"/>
  <c r="D6375" i="106" s="1"/>
  <c r="B6376" i="106"/>
  <c r="D6376" i="106" s="1"/>
  <c r="B6377" i="106"/>
  <c r="D6377" i="106"/>
  <c r="B6378" i="106"/>
  <c r="D6378" i="106" s="1"/>
  <c r="B6379" i="106"/>
  <c r="D6379" i="106"/>
  <c r="B6380" i="106"/>
  <c r="D6380" i="106" s="1"/>
  <c r="B6381" i="106"/>
  <c r="D6381" i="106"/>
  <c r="B6382" i="106"/>
  <c r="D6382" i="106" s="1"/>
  <c r="B6383" i="106"/>
  <c r="D6383" i="106" s="1"/>
  <c r="B6384" i="106"/>
  <c r="D6384" i="106" s="1"/>
  <c r="B6385" i="106"/>
  <c r="D6385" i="106"/>
  <c r="B6386" i="106"/>
  <c r="D6386" i="106" s="1"/>
  <c r="B6387" i="106"/>
  <c r="D6387" i="106"/>
  <c r="B6388" i="106"/>
  <c r="D6388" i="106" s="1"/>
  <c r="B6389" i="106"/>
  <c r="D6389" i="106"/>
  <c r="B6390" i="106"/>
  <c r="D6390" i="106" s="1"/>
  <c r="B6391" i="106"/>
  <c r="D6391" i="106" s="1"/>
  <c r="B6392" i="106"/>
  <c r="D6392" i="106" s="1"/>
  <c r="B6393" i="106"/>
  <c r="D6393" i="106"/>
  <c r="B6394" i="106"/>
  <c r="D6394" i="106" s="1"/>
  <c r="B6395" i="106"/>
  <c r="D6395" i="106"/>
  <c r="B6398" i="106"/>
  <c r="D6398" i="106" s="1"/>
  <c r="B6399" i="106"/>
  <c r="D6399" i="106"/>
  <c r="B6401" i="106"/>
  <c r="D6401" i="106" s="1"/>
  <c r="B6402" i="106"/>
  <c r="D6402" i="106" s="1"/>
  <c r="B6403" i="106"/>
  <c r="D6403" i="106" s="1"/>
  <c r="B6404" i="106"/>
  <c r="D6404" i="106"/>
  <c r="B6405" i="106"/>
  <c r="D6405" i="106" s="1"/>
  <c r="B6406" i="106"/>
  <c r="D6406" i="106"/>
  <c r="B6407" i="106"/>
  <c r="D6407" i="106" s="1"/>
  <c r="B6408" i="106"/>
  <c r="D6408" i="106"/>
  <c r="B6410" i="106"/>
  <c r="D6410" i="106" s="1"/>
  <c r="B6411" i="106"/>
  <c r="D6411" i="106" s="1"/>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s="1"/>
  <c r="B6619" i="106"/>
  <c r="D6619" i="106" s="1"/>
  <c r="B6620" i="106"/>
  <c r="D6620" i="106"/>
  <c r="B6621" i="106"/>
  <c r="D6621" i="106" s="1"/>
  <c r="B6622" i="106"/>
  <c r="D6622" i="106"/>
  <c r="B6623" i="106"/>
  <c r="D6623" i="106" s="1"/>
  <c r="B6624" i="106"/>
  <c r="D6624" i="106"/>
  <c r="B6625" i="106"/>
  <c r="D6625" i="106" s="1"/>
  <c r="B6626" i="106"/>
  <c r="D6626" i="106" s="1"/>
  <c r="B6627" i="106"/>
  <c r="D6627" i="106" s="1"/>
  <c r="B6628" i="106"/>
  <c r="D6628" i="106"/>
  <c r="B6629" i="106"/>
  <c r="D6629" i="106" s="1"/>
  <c r="B6630" i="106"/>
  <c r="D6630" i="106"/>
  <c r="B6631" i="106"/>
  <c r="D6631" i="106" s="1"/>
  <c r="B6632" i="106"/>
  <c r="D6632" i="106"/>
  <c r="B6633" i="106"/>
  <c r="D6633" i="106" s="1"/>
  <c r="B6634" i="106"/>
  <c r="D6634" i="106" s="1"/>
  <c r="B6635" i="106"/>
  <c r="D6635" i="106" s="1"/>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G26" i="108"/>
  <c r="D27" i="108"/>
  <c r="E27" i="108"/>
  <c r="G27" i="108"/>
  <c r="E28"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C131" i="5"/>
  <c r="B5147" i="106" s="1"/>
  <c r="D5147" i="106" s="1"/>
  <c r="D131" i="5"/>
  <c r="B5369" i="106" s="1"/>
  <c r="D5369" i="106" s="1"/>
  <c r="C140" i="5"/>
  <c r="B5161" i="106"/>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c r="D6400" i="106" s="1"/>
  <c r="K178" i="5"/>
  <c r="B4951" i="106" s="1"/>
  <c r="D4951" i="106" s="1"/>
  <c r="C184" i="5"/>
  <c r="B5232" i="106"/>
  <c r="D5232" i="106" s="1"/>
  <c r="D184" i="5"/>
  <c r="B5425" i="106" s="1"/>
  <c r="D5425" i="106" s="1"/>
  <c r="F184" i="5"/>
  <c r="B5658" i="106" s="1"/>
  <c r="D5658" i="106" s="1"/>
  <c r="G184" i="5"/>
  <c r="B5784" i="106" s="1"/>
  <c r="D5784" i="106" s="1"/>
  <c r="H184" i="5"/>
  <c r="B5908" i="106"/>
  <c r="D5908" i="106" s="1"/>
  <c r="K184" i="5"/>
  <c r="B6016" i="106" s="1"/>
  <c r="D6016" i="106" s="1"/>
  <c r="B4395" i="106"/>
  <c r="D4395"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F131" i="34"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D4" i="7"/>
  <c r="B1760" i="106" s="1"/>
  <c r="D1760" i="106" s="1"/>
  <c r="D9" i="7"/>
  <c r="B1767" i="106" s="1"/>
  <c r="D1767" i="106" s="1"/>
  <c r="F128" i="34"/>
  <c r="K274" i="5"/>
  <c r="H173" i="5"/>
  <c r="B5906" i="106" s="1"/>
  <c r="D5906" i="106" s="1"/>
  <c r="H6" i="4"/>
  <c r="B2656" i="106" s="1"/>
  <c r="D2656" i="106" s="1"/>
  <c r="B1746" i="106"/>
  <c r="D1746" i="106" s="1"/>
  <c r="D17" i="7"/>
  <c r="B4104" i="106" s="1"/>
  <c r="D4104" i="106" s="1"/>
  <c r="D15" i="7"/>
  <c r="B1772" i="106" s="1"/>
  <c r="D1772" i="106" s="1"/>
  <c r="B7078" i="106" l="1"/>
  <c r="D7078" i="106" s="1"/>
  <c r="G30" i="108"/>
  <c r="B6289" i="106"/>
  <c r="D6289" i="106" s="1"/>
  <c r="B7199" i="106"/>
  <c r="D7199" i="106" s="1"/>
  <c r="C342" i="29"/>
  <c r="B7216" i="106" s="1"/>
  <c r="D7216" i="106" s="1"/>
  <c r="B3170" i="106"/>
  <c r="D3170" i="106" s="1"/>
  <c r="H76" i="4"/>
  <c r="B3298" i="106" s="1"/>
  <c r="D3298" i="106" s="1"/>
  <c r="F136" i="34"/>
  <c r="F106" i="34"/>
  <c r="B1752" i="106"/>
  <c r="D1752" i="106" s="1"/>
  <c r="D11" i="7"/>
  <c r="B1768" i="106" s="1"/>
  <c r="D1768" i="106" s="1"/>
  <c r="G5" i="4"/>
  <c r="B3409" i="106" s="1"/>
  <c r="D3409" i="106" s="1"/>
  <c r="B6006" i="106"/>
  <c r="D6006" i="106" s="1"/>
  <c r="K173" i="5"/>
  <c r="K6" i="4" s="1"/>
  <c r="B3570" i="106" s="1"/>
  <c r="D3570" i="106" s="1"/>
  <c r="B6191" i="106"/>
  <c r="D6191" i="106" s="1"/>
  <c r="J41" i="3"/>
  <c r="F127" i="34"/>
  <c r="B7041" i="106"/>
  <c r="D7041" i="106" s="1"/>
  <c r="B4412" i="106"/>
  <c r="D4412" i="106" s="1"/>
  <c r="B4373" i="106"/>
  <c r="D4373" i="106" s="1"/>
  <c r="I274" i="5"/>
  <c r="G172" i="5"/>
  <c r="B5752" i="106"/>
  <c r="D5752" i="106" s="1"/>
  <c r="L367" i="29"/>
  <c r="B6858" i="106"/>
  <c r="D6858" i="106" s="1"/>
  <c r="F36" i="34"/>
  <c r="B3649" i="106"/>
  <c r="D3649" i="106" s="1"/>
  <c r="G367" i="29"/>
  <c r="D13" i="7"/>
  <c r="B3726" i="106" s="1"/>
  <c r="D3726" i="106" s="1"/>
  <c r="F172" i="5"/>
  <c r="B5644" i="106" s="1"/>
  <c r="D5644" i="106" s="1"/>
  <c r="F21" i="8"/>
  <c r="G210" i="29"/>
  <c r="B1365" i="106" s="1"/>
  <c r="D1365" i="106" s="1"/>
  <c r="K24" i="12"/>
  <c r="K350" i="29"/>
  <c r="F77" i="4"/>
  <c r="B3255" i="106" s="1"/>
  <c r="D3255" i="106" s="1"/>
  <c r="E174" i="29"/>
  <c r="B1309" i="106" s="1"/>
  <c r="D1309" i="106" s="1"/>
  <c r="B3621" i="106"/>
  <c r="D3621" i="106" s="1"/>
  <c r="C367" i="29"/>
  <c r="L15" i="11"/>
  <c r="B3459" i="106" s="1"/>
  <c r="D3459" i="106" s="1"/>
  <c r="L13" i="11"/>
  <c r="B2060" i="106" s="1"/>
  <c r="D2060" i="106" s="1"/>
  <c r="K76" i="4"/>
  <c r="B3586" i="106" s="1"/>
  <c r="D3586" i="106" s="1"/>
  <c r="F130" i="34"/>
  <c r="L5" i="11"/>
  <c r="B2056" i="106" s="1"/>
  <c r="D2056" i="106" s="1"/>
  <c r="F19" i="7"/>
  <c r="B1807" i="106" s="1"/>
  <c r="D1807" i="106" s="1"/>
  <c r="B1410" i="106"/>
  <c r="D1410" i="106" s="1"/>
  <c r="F65" i="34"/>
  <c r="E29" i="108"/>
  <c r="G29" i="108"/>
  <c r="K184" i="29"/>
  <c r="F13" i="4" s="1"/>
  <c r="B2596" i="106" s="1"/>
  <c r="D2596" i="106" s="1"/>
  <c r="B1329" i="106"/>
  <c r="D1329" i="106" s="1"/>
  <c r="F61" i="34"/>
  <c r="F28" i="108"/>
  <c r="F41" i="108" s="1"/>
  <c r="G43" i="108" s="1"/>
  <c r="E26" i="108"/>
  <c r="B1274" i="106"/>
  <c r="D1274" i="106" s="1"/>
  <c r="B2724" i="106"/>
  <c r="D2724" i="106" s="1"/>
  <c r="F41" i="34"/>
  <c r="F35" i="34"/>
  <c r="F34" i="34"/>
  <c r="H109" i="5"/>
  <c r="B6025" i="106" s="1"/>
  <c r="D6025" i="106" s="1"/>
  <c r="G109" i="5"/>
  <c r="D12" i="7"/>
  <c r="B1769" i="106" s="1"/>
  <c r="D1769" i="106" s="1"/>
  <c r="E109" i="5"/>
  <c r="E4" i="4" s="1"/>
  <c r="B2630" i="106" s="1"/>
  <c r="D2630" i="106" s="1"/>
  <c r="F111" i="34"/>
  <c r="D7" i="7"/>
  <c r="B1763" i="106" s="1"/>
  <c r="D1763" i="106" s="1"/>
  <c r="B5260" i="106"/>
  <c r="D5260" i="106" s="1"/>
  <c r="C172" i="5"/>
  <c r="B5214" i="106" s="1"/>
  <c r="D5214" i="106" s="1"/>
  <c r="D109" i="5"/>
  <c r="D5" i="7"/>
  <c r="B1761" i="106" s="1"/>
  <c r="D1761" i="106" s="1"/>
  <c r="C109" i="5"/>
  <c r="B5121" i="106" s="1"/>
  <c r="D5121" i="106" s="1"/>
  <c r="D54" i="36"/>
  <c r="D52" i="36"/>
  <c r="H33" i="118"/>
  <c r="B4268" i="106"/>
  <c r="D4268" i="106" s="1"/>
  <c r="H29" i="118"/>
  <c r="K28" i="118" s="1"/>
  <c r="O27" i="118" s="1"/>
  <c r="O29" i="118" s="1"/>
  <c r="D31"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L279" i="29"/>
  <c r="L295" i="29" s="1"/>
  <c r="L74" i="29"/>
  <c r="K33" i="29"/>
  <c r="B720" i="106"/>
  <c r="D720" i="106" s="1"/>
  <c r="B2031" i="106"/>
  <c r="D2031"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B3628" i="106" l="1"/>
  <c r="D3628" i="106" s="1"/>
  <c r="D7256" i="106"/>
  <c r="D7251" i="106"/>
  <c r="B3670" i="106"/>
  <c r="D3670" i="106" s="1"/>
  <c r="K352" i="29"/>
  <c r="G173" i="5"/>
  <c r="B5770" i="106"/>
  <c r="D5770" i="106" s="1"/>
  <c r="B1879" i="106"/>
  <c r="D1879" i="106" s="1"/>
  <c r="H22" i="37"/>
  <c r="D7253" i="106"/>
  <c r="H4" i="4"/>
  <c r="B2655" i="106" s="1"/>
  <c r="D2655" i="106" s="1"/>
  <c r="H367" i="29"/>
  <c r="B3660" i="106" s="1"/>
  <c r="D3660" i="106" s="1"/>
  <c r="B7733" i="106"/>
  <c r="D7733" i="106" s="1"/>
  <c r="K26" i="12"/>
  <c r="B7743" i="106" s="1"/>
  <c r="D7743" i="106" s="1"/>
  <c r="H77" i="4"/>
  <c r="B3299" i="106" s="1"/>
  <c r="D3299" i="106" s="1"/>
  <c r="D7254" i="106"/>
  <c r="D7250" i="106"/>
  <c r="L16" i="11"/>
  <c r="B2061" i="106" s="1"/>
  <c r="D2061" i="106" s="1"/>
  <c r="K342" i="29"/>
  <c r="F13" i="34" s="1"/>
  <c r="B1381" i="106"/>
  <c r="D1381" i="106" s="1"/>
  <c r="L114" i="29"/>
  <c r="C114" i="29"/>
  <c r="B757" i="106" s="1"/>
  <c r="D757" i="106" s="1"/>
  <c r="H275" i="5"/>
  <c r="B5915" i="106" s="1"/>
  <c r="D5915" i="106" s="1"/>
  <c r="H8" i="4"/>
  <c r="H10" i="4" s="1"/>
  <c r="B4127" i="106" s="1"/>
  <c r="D4127" i="106" s="1"/>
  <c r="B6024" i="106"/>
  <c r="D6024" i="106" s="1"/>
  <c r="G4" i="4"/>
  <c r="B2603" i="106" s="1"/>
  <c r="D2603" i="106" s="1"/>
  <c r="B5527" i="106"/>
  <c r="D5527" i="106" s="1"/>
  <c r="C173" i="5"/>
  <c r="C4" i="4"/>
  <c r="B2551" i="106" s="1"/>
  <c r="D2551" i="106" s="1"/>
  <c r="D19" i="7"/>
  <c r="B1775" i="106" s="1"/>
  <c r="D1775" i="106" s="1"/>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720" i="106"/>
  <c r="D5720" i="106" s="1"/>
  <c r="B6222" i="106"/>
  <c r="D6222" i="106" s="1"/>
  <c r="B2658" i="106"/>
  <c r="D2658" i="106" s="1"/>
  <c r="D7" i="4"/>
  <c r="D275" i="5"/>
  <c r="B5507" i="106"/>
  <c r="D5507" i="106" s="1"/>
  <c r="B7298" i="106"/>
  <c r="B7299" i="106"/>
  <c r="B5778" i="106" l="1"/>
  <c r="D5778" i="106" s="1"/>
  <c r="G6" i="4"/>
  <c r="B2604" i="106" s="1"/>
  <c r="D2604" i="106" s="1"/>
  <c r="F8" i="4"/>
  <c r="K13" i="4"/>
  <c r="B3572" i="106" s="1"/>
  <c r="D3572" i="106" s="1"/>
  <c r="B3672" i="106"/>
  <c r="D3672" i="106" s="1"/>
  <c r="K367" i="29"/>
  <c r="J17" i="4"/>
  <c r="E41" i="108"/>
  <c r="E44" i="108" s="1"/>
  <c r="E45" i="108" s="1"/>
  <c r="G41" i="108"/>
  <c r="G44" i="108" s="1"/>
  <c r="G45" i="108" s="1"/>
  <c r="J8" i="4"/>
  <c r="J10" i="4" s="1"/>
  <c r="B6225" i="106" s="1"/>
  <c r="D6225"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20" i="4" l="1"/>
  <c r="K17" i="4"/>
  <c r="B6227" i="106"/>
  <c r="D6227" i="106" s="1"/>
  <c r="J19" i="4"/>
  <c r="B6229" i="106" s="1"/>
  <c r="D6229" i="106" s="1"/>
  <c r="F76" i="34"/>
  <c r="B6223" i="106"/>
  <c r="D622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<sst xmlns="http://schemas.openxmlformats.org/spreadsheetml/2006/main" count="5090" uniqueCount="2129">
  <si>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</si>
  <si>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</si>
  <si>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</si>
  <si>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</si>
  <si>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</si>
  <si>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</si>
  <si>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</si>
  <si>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</si>
  <si>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</si>
  <si>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</si>
  <si>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</si>
  <si>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</si>
  <si>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</si>
  <si>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</si>
  <si>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</si>
  <si>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</si>
  <si>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</si>
  <si>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</si>
  <si>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</si>
  <si>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</si>
  <si>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</si>
  <si>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</si>
  <si>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</si>
  <si>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</si>
  <si>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</si>
  <si>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</si>
  <si>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</si>
  <si>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</si>
  <si>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</si>
  <si>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</si>
  <si>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</si>
  <si>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</si>
  <si>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</si>
  <si>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</si>
  <si>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</si>
  <si>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</si>
  <si>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</si>
  <si>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</si>
  <si>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</si>
  <si>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</si>
  <si>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</si>
  <si>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</si>
  <si>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</si>
  <si>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</si>
  <si>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</si>
  <si>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</si>
  <si>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</si>
  <si>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</si>
  <si>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</si>
  <si>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</si>
  <si>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</si>
  <si>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</si>
  <si>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</si>
  <si>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</si>
  <si>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</si>
  <si>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</si>
  <si>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</si>
  <si>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</si>
  <si>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</si>
  <si>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</si>
  <si>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</si>
  <si>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</si>
  <si>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</si>
  <si>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</si>
  <si>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</si>
  <si>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</si>
  <si>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</si>
  <si>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</si>
  <si>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</si>
  <si>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</si>
  <si>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</si>
  <si>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</si>
  <si>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</si>
  <si>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</si>
  <si>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</si>
  <si>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</si>
  <si>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</si>
  <si>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</si>
  <si>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</si>
  <si>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</si>
  <si>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</si>
  <si>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</si>
  <si>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</si>
  <si>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</si>
  <si>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</si>
  <si>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</si>
  <si>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</si>
  <si>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</si>
  <si>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</si>
  <si>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</si>
  <si>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</si>
  <si>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</si>
  <si>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</si>
  <si>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</si>
  <si>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</si>
  <si>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</si>
  <si>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</si>
  <si>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</si>
  <si>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</si>
  <si>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</si>
  <si>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</si>
  <si>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</si>
  <si>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</si>
  <si>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</si>
  <si>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</si>
  <si>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</si>
  <si>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</si>
  <si>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</si>
  <si>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</si>
  <si>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</si>
  <si>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</si>
  <si>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</si>
  <si>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</si>
  <si>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</si>
  <si>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</si>
  <si>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</si>
  <si>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</si>
  <si>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</si>
  <si>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</si>
  <si>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</si>
  <si>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</si>
  <si>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</si>
  <si>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</si>
  <si>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</si>
  <si>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</si>
  <si>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</si>
  <si>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</si>
  <si>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</si>
  <si>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</si>
  <si>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</si>
  <si>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</si>
  <si>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</si>
  <si>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</si>
  <si>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</si>
  <si>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</si>
  <si>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</si>
  <si>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</si>
  <si>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</si>
  <si>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</si>
  <si>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</si>
  <si>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</si>
  <si>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</si>
  <si>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</si>
  <si>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</si>
  <si>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</si>
  <si>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</si>
  <si>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</si>
  <si>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</si>
  <si>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</si>
  <si>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</si>
  <si>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</si>
  <si>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</si>
  <si>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</si>
  <si>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</si>
  <si>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</si>
  <si>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</si>
  <si>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</si>
  <si>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</si>
  <si>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</si>
  <si>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</si>
  <si>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</si>
  <si>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</si>
  <si>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</si>
  <si>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</si>
  <si>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</si>
  <si>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</si>
  <si>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</si>
  <si>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</si>
  <si>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</si>
  <si>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</si>
  <si>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</si>
  <si>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</si>
  <si>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</si>
  <si>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</si>
  <si>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</si>
  <si>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</si>
  <si>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</si>
  <si>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</si>
  <si>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</si>
  <si>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</si>
  <si>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</si>
  <si>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</si>
  <si>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</si>
  <si>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</si>
  <si>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</si>
  <si>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</si>
  <si>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</si>
  <si>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</si>
  <si>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</si>
  <si>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</si>
  <si>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</si>
  <si>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</si>
  <si>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</si>
  <si>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</si>
  <si>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</si>
  <si>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</si>
  <si>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</si>
  <si>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</si>
  <si>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</si>
  <si>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</si>
  <si>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</si>
  <si>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</si>
  <si>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</si>
  <si>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</si>
  <si>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</si>
  <si>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</si>
  <si>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</si>
  <si>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</si>
  <si>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</si>
  <si>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</si>
  <si>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</si>
  <si>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</si>
  <si>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</si>
  <si>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</si>
  <si>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</si>
  <si>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</si>
  <si>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</si>
  <si>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</si>
  <si>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</si>
  <si>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</si>
  <si>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</si>
  <si>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</si>
  <si>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</si>
  <si>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</si>
  <si>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</si>
  <si>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</si>
  <si>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</si>
  <si>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</si>
  <si>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</si>
  <si>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</si>
  <si>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</si>
  <si>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</si>
  <si>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</si>
  <si>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</si>
  <si>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</si>
  <si>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</si>
  <si>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</si>
  <si>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</si>
  <si>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</si>
  <si>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</si>
  <si>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</si>
  <si>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</si>
  <si>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</si>
  <si>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</si>
  <si>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</si>
  <si>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</si>
  <si>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</si>
  <si>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</si>
  <si>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</si>
  <si>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</si>
  <si>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</si>
  <si>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</si>
  <si>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</si>
  <si>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</si>
  <si>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</si>
  <si>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</si>
  <si>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</si>
  <si>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</si>
  <si>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</si>
  <si>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</si>
  <si>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</si>
  <si>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</si>
  <si>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</si>
  <si>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</si>
  <si>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</si>
  <si>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</si>
  <si>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</si>
  <si>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</si>
  <si>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</si>
  <si>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</si>
  <si>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</si>
  <si>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</si>
  <si>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</si>
  <si>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</si>
  <si>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</si>
  <si>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</si>
  <si>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</si>
  <si>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</si>
  <si>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</si>
  <si>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</si>
  <si>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</si>
  <si>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</si>
  <si>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</si>
  <si>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</si>
  <si>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</si>
  <si>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</si>
  <si>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</si>
  <si>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</si>
  <si>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</si>
  <si>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</si>
  <si>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</si>
  <si>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</si>
  <si>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</si>
  <si>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</si>
  <si>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</si>
  <si>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</si>
  <si>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</si>
  <si>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</si>
  <si>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</si>
  <si>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</si>
  <si>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</si>
  <si>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</si>
  <si>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</si>
  <si>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</si>
  <si>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</si>
  <si>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</si>
  <si>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</si>
  <si>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</si>
  <si>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</si>
  <si>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</si>
  <si>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</si>
  <si>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</si>
  <si>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</si>
  <si>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</si>
  <si>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</si>
  <si>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</si>
  <si>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</si>
  <si>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</si>
  <si>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</si>
  <si>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</si>
  <si>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</si>
  <si>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</si>
  <si>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</si>
  <si>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</si>
  <si>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</si>
  <si>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</si>
  <si>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</si>
  <si>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</si>
  <si>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</si>
  <si>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</si>
  <si>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</si>
  <si>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</si>
  <si>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</si>
  <si>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</si>
  <si>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</si>
  <si>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</si>
  <si>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</si>
  <si>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</si>
  <si>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</si>
  <si>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</si>
  <si>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</si>
  <si>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</si>
  <si>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</si>
  <si>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</si>
  <si>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</si>
  <si>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</si>
  <si>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</si>
  <si>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</si>
  <si>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</si>
  <si>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</si>
  <si>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</si>
  <si>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</si>
  <si>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</si>
  <si>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</si>
  <si>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</si>
  <si>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</si>
  <si>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</si>
  <si>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</si>
  <si>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</si>
  <si>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</si>
  <si>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</si>
  <si>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</si>
  <si>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</si>
  <si>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</si>
  <si>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</si>
  <si>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</si>
  <si>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</si>
  <si>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</si>
  <si>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</si>
  <si>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</si>
  <si>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</si>
  <si>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</si>
  <si>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</si>
  <si>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</si>
  <si>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</si>
  <si>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</si>
  <si>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</si>
  <si>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</si>
  <si>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</si>
  <si>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</si>
  <si>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</si>
  <si>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</si>
  <si>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</si>
  <si>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</si>
  <si>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</si>
  <si>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</si>
  <si>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</si>
  <si>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</si>
  <si>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</si>
  <si>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</si>
  <si>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</si>
  <si>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</si>
  <si>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</si>
  <si>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</si>
  <si>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</si>
  <si>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</si>
  <si>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</si>
  <si>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</si>
  <si>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</si>
  <si>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</si>
  <si>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</si>
  <si>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</si>
  <si>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</si>
  <si>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</si>
  <si>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</si>
  <si>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</si>
  <si>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</si>
  <si>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</si>
  <si>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</si>
  <si>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</si>
  <si>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</si>
  <si>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</si>
  <si>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</si>
  <si>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</si>
  <si>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</si>
  <si>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</si>
  <si>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</si>
  <si>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</si>
  <si>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</si>
  <si>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</si>
  <si>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</si>
  <si>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</si>
  <si>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</si>
  <si>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</si>
  <si>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</si>
  <si>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</si>
  <si>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</si>
  <si>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</si>
  <si>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</si>
  <si>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</si>
  <si>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</si>
  <si>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</si>
  <si>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</si>
  <si>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</si>
  <si>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</si>
  <si>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</si>
  <si>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</si>
  <si>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</si>
  <si>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</si>
  <si>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</si>
  <si>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</si>
  <si>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</si>
  <si>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</si>
  <si>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</si>
  <si>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</si>
  <si>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</si>
  <si>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</si>
  <si>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</si>
  <si>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</si>
  <si>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</si>
  <si>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</si>
  <si>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</si>
  <si>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</si>
  <si>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</si>
  <si>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</si>
  <si>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</si>
  <si>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</si>
  <si>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</si>
  <si>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</si>
  <si>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</si>
  <si>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</si>
  <si>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</si>
  <si>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</si>
  <si>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</si>
  <si>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</si>
  <si>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</si>
  <si>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</si>
  <si>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</si>
  <si>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</si>
  <si>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</si>
  <si>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</si>
  <si>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</si>
  <si>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</si>
  <si>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</si>
  <si>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</si>
  <si>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</si>
  <si>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</si>
  <si>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</si>
  <si>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</si>
  <si>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</si>
  <si>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</si>
  <si>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</si>
  <si>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</si>
  <si>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</si>
  <si>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</si>
  <si>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</si>
  <si>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</si>
  <si>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</si>
  <si>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</si>
  <si>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</si>
  <si>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</si>
  <si>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</si>
  <si>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</si>
  <si>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</si>
  <si>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</si>
  <si>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</si>
  <si>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</si>
  <si>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</si>
  <si>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</si>
  <si>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</si>
  <si>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</si>
  <si>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</si>
  <si>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</si>
  <si>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</si>
  <si>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</si>
  <si>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</si>
  <si>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</si>
  <si>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</si>
  <si>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</si>
  <si>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</si>
  <si>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</si>
  <si>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</si>
  <si>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</si>
  <si>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</si>
  <si>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</si>
  <si>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</si>
  <si>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</si>
  <si>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</si>
  <si>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</si>
  <si>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</si>
  <si>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</si>
  <si>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</si>
  <si>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</si>
  <si>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</si>
  <si>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</si>
  <si>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</si>
  <si>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</si>
  <si>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</si>
  <si>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</si>
  <si>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</si>
  <si>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</si>
  <si>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</si>
  <si>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</si>
  <si>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</si>
  <si>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</si>
  <si>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</si>
  <si>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</si>
  <si>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</si>
  <si>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</si>
  <si>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</si>
  <si>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</si>
  <si>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</si>
  <si>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</si>
  <si>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</si>
  <si>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</si>
  <si>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</si>
  <si>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</si>
  <si>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</si>
  <si>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</si>
  <si>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</si>
  <si>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</si>
  <si>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</si>
  <si>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</si>
  <si>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</si>
  <si>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</si>
  <si>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</si>
  <si>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</si>
  <si>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</si>
  <si>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</si>
  <si>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</si>
  <si>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</si>
  <si>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</si>
  <si>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</si>
  <si>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</si>
  <si>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</si>
  <si>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</si>
  <si>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</si>
  <si>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</si>
  <si>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</si>
  <si>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</si>
  <si>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</si>
  <si>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</si>
  <si>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</si>
  <si>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</si>
  <si>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</si>
  <si>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</si>
  <si>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</si>
  <si>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</si>
  <si>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</si>
  <si>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</si>
  <si>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</si>
  <si>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</si>
  <si>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</si>
  <si>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</si>
  <si>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</si>
  <si>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</si>
  <si>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</si>
  <si>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</si>
  <si>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</si>
  <si>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</si>
  <si>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</si>
  <si>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</si>
  <si>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</si>
  <si>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</si>
  <si>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</si>
  <si>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</si>
  <si>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</si>
  <si>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</si>
  <si>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</si>
  <si>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</si>
  <si>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</si>
  <si>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</si>
  <si>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</si>
  <si>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</si>
  <si>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</si>
  <si>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</si>
  <si>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</si>
  <si>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</si>
  <si>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</si>
  <si>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</si>
  <si>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</si>
  <si>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</si>
  <si>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</si>
  <si>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</si>
  <si>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</si>
  <si>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</si>
  <si>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</si>
  <si>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</si>
  <si>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</si>
  <si>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</si>
  <si>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</si>
  <si>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</si>
  <si>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</si>
  <si>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</si>
  <si>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</si>
  <si>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</si>
  <si>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</si>
  <si>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</si>
  <si>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</si>
  <si>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</si>
  <si>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</si>
  <si>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</si>
  <si>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</si>
  <si>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</si>
  <si>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</si>
  <si>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</si>
  <si>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</si>
  <si>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</si>
  <si>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</si>
  <si>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</si>
  <si>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</si>
  <si>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</si>
  <si>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</si>
  <si>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</si>
  <si>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</si>
  <si>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</si>
  <si>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</si>
  <si>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</si>
  <si>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</si>
  <si>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</si>
  <si>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</si>
  <si>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</si>
  <si>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</si>
  <si>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</si>
  <si>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</si>
  <si>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</si>
  <si>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</si>
  <si>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</si>
  <si>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</si>
  <si>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</si>
  <si>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</si>
  <si>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</si>
  <si>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</si>
  <si>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</si>
  <si>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</si>
  <si>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</si>
  <si>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</si>
  <si>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</si>
  <si>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</si>
  <si>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</si>
  <si>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</si>
  <si>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</si>
  <si>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</si>
  <si>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</si>
  <si>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</si>
  <si>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</si>
  <si>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</si>
  <si>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</si>
  <si>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</si>
  <si>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</si>
  <si>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</si>
  <si>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</si>
  <si>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</si>
  <si>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</si>
  <si>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</si>
  <si>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</si>
  <si>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</si>
  <si>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</si>
  <si>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</si>
  <si>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</si>
  <si>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</si>
  <si>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</si>
  <si>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</si>
  <si>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</si>
  <si>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</si>
  <si>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</si>
  <si>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</si>
  <si>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</si>
  <si>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</si>
  <si>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</si>
  <si>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</si>
  <si>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</si>
  <si>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</si>
  <si>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</si>
  <si>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</si>
  <si>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</si>
  <si>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</si>
  <si>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</si>
  <si>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</si>
  <si>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</si>
  <si>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</si>
  <si>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</si>
  <si>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</si>
  <si>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</si>
  <si>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</si>
  <si>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</si>
  <si>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</si>
  <si>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</si>
  <si>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</si>
  <si>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</si>
  <si>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</si>
  <si>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</si>
  <si>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</si>
  <si>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</si>
  <si>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</si>
  <si>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</si>
  <si>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</si>
  <si>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</si>
  <si>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</si>
  <si>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</si>
  <si>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</si>
  <si>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</si>
  <si>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</si>
  <si>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</si>
  <si>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</si>
  <si>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</si>
  <si>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</si>
  <si>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</si>
  <si>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</si>
  <si>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</si>
  <si>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</si>
  <si>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</si>
  <si>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</si>
  <si>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</si>
  <si>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</si>
  <si>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</si>
  <si>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</si>
  <si>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</si>
  <si>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</si>
  <si>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</si>
  <si>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</si>
  <si>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</si>
  <si>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</si>
  <si>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</si>
  <si>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</si>
  <si>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</si>
  <si>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</si>
  <si>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</si>
  <si>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</si>
  <si>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</si>
  <si>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</si>
  <si>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</si>
  <si>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</si>
  <si>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</si>
  <si>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</si>
  <si>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</si>
  <si>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</si>
  <si>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</si>
  <si>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</si>
  <si>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</si>
  <si>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</si>
  <si>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</si>
  <si>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</si>
  <si>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</si>
  <si>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</si>
  <si>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</si>
  <si>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</si>
  <si>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</si>
  <si>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</si>
  <si>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</si>
  <si>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</si>
  <si>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</si>
  <si>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</si>
  <si>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</si>
  <si>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</si>
  <si>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</si>
  <si>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</si>
  <si>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</si>
  <si>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</si>
  <si>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</si>
  <si>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</si>
  <si>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</si>
  <si>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</si>
  <si>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</si>
  <si>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</si>
  <si>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</si>
  <si>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</si>
  <si>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</si>
  <si>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</si>
  <si>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</si>
  <si>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</si>
  <si>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</si>
  <si>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</si>
  <si>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</si>
  <si>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</si>
  <si>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</si>
  <si>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</si>
  <si>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</si>
  <si>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</si>
  <si>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</si>
  <si>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</si>
  <si>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</si>
  <si>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</si>
  <si>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</si>
  <si>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</si>
  <si>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</si>
  <si>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</si>
  <si>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</si>
  <si>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</si>
  <si>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</si>
  <si>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</si>
  <si>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</si>
  <si>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</si>
  <si>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</si>
  <si>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</si>
  <si>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</si>
  <si>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</si>
  <si>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</si>
  <si>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</si>
  <si>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</si>
  <si>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</si>
  <si>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</si>
  <si>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</si>
  <si>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</si>
  <si>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</si>
  <si>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</si>
  <si>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</si>
  <si>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</si>
  <si>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</si>
  <si>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</si>
  <si>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</si>
  <si>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</si>
  <si>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</si>
  <si>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</si>
  <si>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</si>
  <si>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</si>
  <si>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</si>
  <si>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</si>
  <si>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</si>
  <si>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</si>
  <si>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</si>
  <si>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</si>
  <si>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</si>
  <si>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</si>
  <si>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</si>
  <si>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</si>
  <si>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</si>
  <si>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</si>
  <si>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</si>
  <si>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</si>
  <si>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</si>
  <si>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</si>
  <si>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</si>
  <si>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</si>
  <si>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</si>
  <si>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</si>
  <si>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</si>
  <si>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</si>
  <si>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</si>
  <si>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</si>
  <si>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</si>
  <si>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</si>
  <si>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</si>
  <si>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</si>
  <si>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</si>
  <si>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</si>
  <si>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</si>
  <si>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</si>
  <si>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</si>
  <si>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</si>
  <si>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</si>
  <si>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</si>
  <si>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</si>
  <si>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</si>
  <si>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</si>
  <si>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</si>
  <si>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</si>
  <si>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</si>
  <si>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</si>
  <si>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</si>
  <si>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</si>
  <si>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</si>
  <si>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</si>
  <si>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</si>
  <si>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</si>
  <si>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</si>
  <si>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</si>
  <si>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</si>
  <si>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</si>
  <si>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</si>
  <si>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</si>
  <si>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</si>
  <si>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</si>
  <si>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</si>
  <si>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</si>
  <si>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</si>
  <si>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</si>
  <si>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</si>
  <si>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</si>
  <si>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</si>
  <si>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</si>
  <si>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</si>
  <si>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</si>
  <si>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</si>
  <si>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</si>
  <si>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</si>
  <si>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</si>
  <si>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</si>
  <si>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</si>
  <si>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</si>
  <si>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</si>
  <si>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</si>
  <si>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</si>
  <si>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</si>
  <si>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</si>
  <si>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</si>
  <si>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</si>
  <si>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</si>
  <si>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</si>
  <si>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</si>
  <si>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</si>
  <si>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</si>
  <si>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</si>
  <si>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</si>
  <si>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</si>
  <si>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</si>
  <si>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</si>
  <si>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</si>
  <si>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</si>
  <si>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</si>
  <si>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</si>
  <si>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</si>
  <si>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</si>
  <si>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</si>
  <si>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</si>
  <si>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</si>
  <si>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</si>
  <si>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</si>
  <si>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</si>
  <si>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</si>
  <si>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</si>
  <si>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</si>
  <si>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</si>
  <si>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</si>
  <si>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</si>
  <si>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</si>
  <si>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</si>
  <si>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</si>
  <si>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</si>
  <si>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</si>
  <si>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</si>
  <si>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</si>
  <si>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</si>
  <si>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</si>
  <si>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</si>
  <si>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</si>
  <si>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</si>
  <si>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</si>
  <si>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</si>
  <si>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</si>
  <si>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</si>
  <si>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</si>
  <si>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</si>
  <si>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</si>
  <si>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</si>
  <si>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</si>
  <si>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</si>
  <si>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</si>
  <si>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</si>
  <si>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</si>
  <si>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</si>
  <si>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</si>
  <si>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</si>
  <si>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</si>
  <si>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</si>
  <si>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</si>
  <si>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</si>
  <si>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</si>
  <si>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</si>
  <si>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</si>
  <si>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</si>
  <si>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</si>
  <si>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</si>
  <si>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</si>
  <si>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</si>
  <si>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</si>
  <si>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</si>
  <si>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</si>
  <si>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</si>
  <si>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</si>
  <si>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</si>
  <si>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</si>
  <si>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</si>
  <si>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</si>
  <si>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</si>
  <si>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</si>
  <si>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</si>
  <si>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</si>
  <si>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</si>
  <si>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</si>
  <si>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</si>
  <si>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</si>
  <si>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</si>
  <si>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</si>
  <si>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</si>
  <si>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</si>
  <si>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</si>
  <si>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</si>
  <si>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</si>
  <si>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</si>
  <si>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</si>
  <si>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</si>
  <si>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</si>
  <si>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</si>
  <si>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</si>
  <si>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</si>
  <si>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</si>
  <si>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</si>
  <si>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</si>
  <si>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</si>
  <si>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</si>
  <si>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</si>
  <si>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</si>
  <si>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</si>
  <si>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</si>
  <si>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</si>
  <si>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</si>
  <si>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</si>
  <si>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</si>
  <si>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</si>
  <si>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</si>
  <si>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</si>
  <si>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</si>
  <si>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</si>
  <si>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</si>
  <si>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</si>
  <si>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</si>
  <si>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</si>
  <si>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</si>
  <si>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</si>
  <si>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</si>
  <si>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</si>
  <si>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</si>
  <si>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</si>
  <si>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</si>
  <si>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</si>
  <si>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</si>
  <si>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</si>
  <si>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</si>
  <si>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</si>
  <si>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</si>
  <si>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</si>
  <si>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</si>
  <si>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</si>
  <si>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</si>
  <si>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</si>
  <si>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</si>
  <si>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</si>
  <si>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</si>
  <si>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</si>
  <si>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</si>
  <si>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</si>
  <si>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</si>
  <si>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</si>
  <si>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</si>
  <si>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</si>
  <si>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</si>
  <si>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</si>
  <si>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</si>
  <si>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</si>
  <si>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</si>
  <si>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</si>
  <si>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</si>
  <si>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</si>
  <si>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</si>
  <si>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</si>
  <si>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</si>
  <si>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</si>
  <si>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</si>
  <si>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</si>
  <si>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</si>
  <si>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</si>
  <si>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</si>
  <si>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</si>
  <si>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</si>
  <si>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</si>
  <si>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</si>
  <si>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</si>
  <si>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</si>
  <si>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</si>
  <si>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</si>
  <si>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</si>
  <si>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</si>
  <si>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</si>
  <si>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</si>
  <si>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</si>
  <si>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</si>
  <si>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</si>
  <si>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</si>
  <si>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</si>
  <si>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</si>
  <si>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</si>
  <si>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</si>
  <si>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</si>
  <si>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</si>
  <si>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</si>
  <si>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</si>
  <si>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</si>
  <si>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</si>
  <si>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</si>
  <si>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</si>
  <si>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</si>
  <si>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</si>
  <si>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</si>
  <si>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</si>
  <si>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</si>
  <si>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</si>
  <si>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</si>
  <si>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</si>
  <si>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</si>
  <si>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</si>
  <si>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</si>
  <si>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</si>
  <si>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</si>
  <si>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</si>
  <si>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</si>
  <si>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</si>
  <si>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</si>
  <si>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</si>
  <si>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</si>
  <si>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</si>
  <si>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</si>
  <si>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</si>
  <si>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</si>
  <si>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</si>
  <si>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</si>
  <si>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</si>
  <si>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</si>
  <si>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</si>
  <si>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</si>
  <si>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</si>
  <si>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</si>
  <si>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</si>
  <si>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</si>
  <si>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</si>
  <si>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</si>
  <si>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</si>
  <si>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</si>
  <si>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</si>
  <si>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</si>
  <si>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</si>
  <si>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</si>
  <si>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</si>
  <si>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</si>
  <si>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</si>
  <si>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</si>
  <si>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</si>
  <si>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</si>
  <si>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</si>
  <si>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</si>
  <si>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</si>
  <si>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</si>
  <si>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</si>
  <si>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</si>
  <si>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</si>
  <si>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</si>
  <si>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</si>
  <si>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</si>
  <si>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</si>
  <si>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</si>
  <si>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</si>
  <si>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</si>
  <si>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</si>
  <si>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</si>
  <si>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</si>
  <si>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</si>
  <si>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</si>
  <si>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</si>
  <si>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</si>
  <si>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</si>
  <si>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</si>
  <si>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</si>
  <si>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</si>
  <si>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</si>
  <si>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</si>
  <si>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</si>
  <si>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</si>
  <si>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</si>
  <si>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</si>
  <si>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</si>
  <si>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</si>
  <si>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</si>
  <si>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</si>
  <si>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</si>
  <si>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</si>
  <si>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</si>
  <si>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</si>
  <si>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</si>
  <si>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</si>
  <si>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</si>
  <si>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</si>
  <si>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</si>
  <si>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</si>
  <si>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</si>
  <si>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</si>
  <si>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</si>
  <si>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</si>
  <si>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</si>
  <si>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</si>
  <si>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</si>
  <si>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</si>
  <si>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</si>
  <si>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</si>
  <si>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</si>
  <si>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</si>
  <si>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</si>
  <si>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</si>
  <si>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</si>
  <si>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</si>
  <si>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</si>
  <si>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</si>
  <si>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</si>
  <si>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</si>
  <si>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</si>
  <si>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</si>
  <si>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</si>
  <si>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</si>
  <si>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</si>
  <si>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</si>
  <si>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</si>
  <si>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</si>
  <si>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</si>
  <si>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</si>
  <si>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</si>
  <si>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</si>
  <si>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</si>
  <si>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</si>
  <si>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</si>
  <si>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</si>
  <si>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</si>
  <si>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</si>
  <si>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</si>
  <si>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</si>
  <si>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</si>
  <si>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</si>
  <si>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</si>
  <si>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</si>
  <si>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</si>
  <si>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</si>
  <si>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</si>
  <si>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</si>
  <si>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</si>
  <si>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</si>
  <si>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</si>
  <si>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</si>
  <si>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</si>
  <si>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</si>
  <si>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</si>
  <si>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</si>
  <si>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</si>
  <si>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</si>
  <si>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</si>
  <si>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</si>
  <si>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</si>
  <si>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</si>
  <si>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</si>
  <si>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</si>
  <si>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</si>
  <si>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</si>
  <si>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</si>
  <si>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</si>
  <si>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</si>
  <si>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</si>
  <si>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</si>
  <si>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</si>
  <si>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</si>
  <si>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</si>
  <si>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</si>
  <si>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</si>
  <si>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</si>
  <si>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</si>
  <si>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</si>
  <si>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</si>
  <si>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</si>
  <si>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</si>
  <si>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</si>
  <si>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</si>
  <si>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</si>
  <si>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</si>
  <si>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</si>
  <si>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</si>
  <si>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</si>
  <si>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</si>
  <si>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</si>
  <si>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</si>
  <si>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</si>
  <si>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</si>
  <si>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</si>
  <si>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</si>
  <si>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</si>
  <si>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</si>
  <si>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</si>
  <si>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</si>
  <si>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</si>
  <si>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</si>
  <si>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</si>
  <si>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</si>
  <si>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</si>
  <si>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</si>
  <si>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</si>
  <si>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</si>
  <si>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</si>
  <si>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</si>
  <si>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</si>
  <si>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</si>
  <si>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</si>
  <si>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</si>
  <si>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</si>
  <si>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</si>
  <si>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</si>
  <si>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</si>
  <si>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</si>
  <si>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</si>
  <si>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</si>
  <si>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</si>
  <si>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</si>
  <si>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</si>
  <si>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</si>
  <si>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</si>
  <si>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</si>
  <si>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</si>
  <si>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</si>
  <si>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</si>
  <si>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</si>
  <si>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</si>
  <si>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</si>
  <si>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</si>
  <si>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</si>
  <si>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</si>
  <si>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</si>
  <si>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</si>
  <si>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</si>
  <si>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</si>
  <si>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</si>
  <si>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</si>
  <si>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</si>
  <si>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</si>
  <si>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</si>
  <si>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</si>
  <si>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</si>
  <si>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</si>
  <si>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</si>
  <si>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</si>
  <si>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</si>
  <si>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</si>
  <si>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</si>
  <si>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</si>
  <si>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</si>
  <si>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</si>
  <si>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</si>
  <si>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</si>
  <si>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</si>
  <si>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</si>
  <si>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</si>
  <si>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</si>
  <si>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</si>
  <si>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</si>
  <si>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</si>
  <si>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</si>
  <si>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</si>
  <si>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</si>
  <si>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</si>
  <si>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</si>
  <si>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</si>
  <si>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</si>
  <si>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</si>
  <si>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</si>
  <si>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</si>
  <si>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</si>
  <si>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</si>
  <si>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</si>
  <si>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</si>
  <si>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</si>
  <si>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</si>
  <si>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</si>
  <si>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</si>
  <si>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</si>
  <si>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</si>
  <si>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</si>
  <si>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</si>
  <si>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</si>
  <si>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</si>
  <si>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</si>
  <si>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</si>
  <si>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</si>
  <si>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</si>
  <si>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</si>
  <si>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</si>
  <si>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</si>
  <si>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</si>
  <si>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</si>
  <si>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</si>
  <si>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</si>
  <si>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</si>
  <si>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</si>
  <si>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</si>
  <si>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</si>
  <si>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</si>
  <si>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</si>
  <si>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</si>
  <si>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</si>
  <si>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</si>
  <si>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</si>
  <si>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</si>
  <si>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</si>
  <si>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</si>
  <si>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</si>
  <si>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</si>
  <si>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</si>
  <si>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</si>
  <si>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</si>
  <si>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</si>
  <si>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</si>
  <si>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</si>
  <si>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</si>
  <si>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</si>
  <si>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</si>
  <si>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</si>
  <si>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</si>
  <si>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</si>
  <si>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</si>
  <si>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</si>
  <si>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</si>
  <si>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</si>
  <si>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</si>
  <si>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</si>
  <si>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</si>
  <si>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</si>
  <si>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</si>
  <si>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</si>
  <si>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</si>
  <si>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</si>
  <si>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</si>
  <si>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</si>
  <si>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</si>
  <si>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</si>
  <si>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</si>
  <si>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</si>
  <si>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</si>
  <si>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</si>
  <si>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</si>
  <si>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</si>
  <si>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</si>
  <si>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</si>
  <si>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</si>
  <si>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</si>
  <si>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</si>
  <si>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</si>
  <si>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</si>
  <si>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</si>
  <si>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</si>
  <si>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</si>
  <si>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</si>
  <si>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</si>
  <si>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</si>
  <si>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</si>
  <si>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</si>
  <si>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</si>
  <si>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</si>
  <si>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</si>
  <si>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</si>
  <si>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</si>
  <si>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</si>
  <si>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</si>
  <si>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</si>
  <si>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</si>
  <si>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</si>
  <si>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</si>
  <si>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</si>
  <si>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</si>
  <si>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</si>
  <si>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</si>
  <si>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</si>
  <si>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</si>
  <si>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</si>
  <si>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</si>
  <si>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</si>
  <si>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</si>
  <si>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</si>
  <si>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</si>
  <si>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</si>
  <si>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</si>
  <si>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</si>
  <si>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</si>
  <si>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</si>
  <si>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</si>
  <si>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</si>
  <si>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</si>
  <si>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</si>
  <si>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</si>
  <si>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</si>
  <si>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</si>
  <si>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</si>
  <si>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</si>
  <si>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</si>
  <si>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</si>
  <si>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</si>
  <si>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</si>
  <si>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</si>
  <si>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</si>
  <si>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</si>
  <si>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</si>
  <si>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</si>
  <si>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</si>
  <si>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</si>
  <si>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</si>
  <si>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</si>
  <si>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</si>
  <si>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</si>
  <si>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</si>
  <si>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</si>
  <si>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</si>
  <si>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</si>
  <si>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</si>
  <si>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</si>
  <si>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</si>
  <si>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</si>
  <si>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</si>
  <si>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</si>
  <si>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</si>
  <si>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</si>
  <si>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</si>
  <si>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</si>
  <si>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</si>
  <si>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</si>
  <si>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</si>
  <si>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</si>
  <si>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</si>
  <si>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</si>
  <si>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</si>
  <si>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</si>
  <si>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</si>
  <si>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</si>
  <si>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</si>
  <si>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</si>
  <si>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</si>
  <si>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</si>
  <si>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</si>
  <si>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</si>
  <si>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</si>
  <si>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</si>
  <si>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</si>
  <si>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</si>
  <si>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</si>
  <si>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</si>
  <si>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</si>
  <si>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</si>
  <si>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</si>
  <si>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</si>
  <si>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</si>
  <si>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</si>
  <si>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</si>
  <si>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</si>
  <si>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</si>
  <si>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</si>
  <si>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</si>
  <si>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</si>
  <si>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</si>
  <si>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</si>
  <si>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</si>
  <si>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</si>
  <si>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</si>
  <si>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</si>
  <si>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</si>
  <si>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</si>
  <si>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</si>
  <si>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</si>
  <si>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</si>
  <si>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</si>
  <si>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</si>
  <si>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</si>
  <si>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</si>
  <si>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</si>
  <si>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</si>
  <si>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</si>
  <si>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</si>
  <si>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</si>
  <si>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</si>
  <si>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</si>
  <si>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</si>
  <si>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</si>
  <si>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</si>
  <si>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</si>
  <si>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</si>
  <si>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</si>
  <si>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</si>
  <si>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</si>
  <si>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</si>
  <si>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</si>
  <si>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</si>
  <si>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</si>
  <si>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</si>
  <si>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</si>
  <si>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</si>
  <si>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</si>
  <si>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</si>
  <si>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</si>
  <si>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</si>
  <si>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</si>
  <si>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</si>
  <si>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</si>
  <si>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</si>
  <si>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</si>
  <si>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</si>
  <si>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</si>
  <si>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</si>
  <si>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</si>
  <si>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</si>
  <si>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</si>
  <si>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</si>
  <si>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</si>
  <si>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</si>
  <si>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</si>
  <si>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</si>
  <si>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</si>
  <si>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</si>
  <si>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</si>
  <si>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</si>
  <si>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</si>
  <si>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</si>
  <si>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</si>
  <si>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</si>
  <si>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</si>
  <si>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</si>
  <si>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</si>
  <si>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</si>
  <si>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</si>
  <si>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</si>
  <si>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</si>
  <si>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</si>
  <si>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</si>
  <si>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</si>
  <si>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</si>
  <si>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</si>
  <si>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</si>
  <si>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</si>
  <si>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</si>
  <si>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</si>
  <si>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</si>
  <si>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</si>
  <si>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</si>
  <si>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</si>
  <si>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</si>
  <si>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</si>
  <si>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</si>
  <si>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</si>
  <si>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</si>
  <si>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</si>
  <si>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</si>
  <si>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</si>
  <si>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</si>
  <si>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</si>
  <si>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</si>
  <si>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</si>
  <si>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</si>
  <si>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</si>
  <si>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</si>
  <si>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</si>
  <si>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</si>
  <si>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</si>
  <si>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</si>
  <si>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</si>
  <si>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</si>
  <si>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</si>
  <si>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</si>
  <si>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</si>
  <si>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</si>
  <si>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</si>
  <si>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</si>
  <si>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</si>
  <si>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</si>
  <si>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</si>
  <si>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</si>
  <si>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</si>
  <si>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</si>
  <si>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</si>
  <si>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</si>
  <si>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</si>
  <si>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</si>
  <si>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</si>
  <si>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</si>
  <si>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</si>
  <si>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</si>
  <si>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</si>
  <si>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</si>
  <si>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</si>
  <si>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</si>
  <si>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</si>
  <si>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</si>
  <si>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</si>
  <si>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</si>
  <si>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</si>
  <si>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</si>
  <si>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</si>
  <si>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</si>
  <si>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</si>
  <si>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</si>
  <si>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</si>
  <si>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</si>
  <si>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</si>
  <si>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</si>
  <si>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</si>
  <si>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</si>
  <si>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</si>
  <si>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</si>
  <si>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</si>
  <si>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</si>
  <si>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</si>
  <si>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</si>
  <si>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</si>
  <si>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</si>
  <si>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</si>
  <si>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</si>
  <si>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</si>
  <si>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</si>
  <si>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</si>
  <si>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</si>
  <si>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</si>
  <si>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</si>
  <si>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</si>
  <si>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</si>
  <si>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</si>
  <si>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</si>
  <si>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</si>
  <si>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</si>
  <si>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</si>
  <si>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</si>
  <si>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</si>
  <si>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</si>
  <si>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</si>
  <si>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</si>
  <si>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</si>
  <si>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</si>
  <si>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</si>
  <si>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</si>
  <si>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</si>
  <si>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</si>
  <si>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</si>
  <si>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</si>
  <si>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</si>
  <si>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</si>
  <si>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</si>
  <si>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</si>
  <si>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</si>
  <si>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</si>
  <si>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</si>
  <si>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</si>
  <si>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</si>
  <si>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</si>
  <si>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</si>
  <si>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</si>
  <si>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</si>
  <si>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</si>
  <si>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</si>
  <si>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</si>
  <si>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</si>
  <si>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</si>
  <si>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</si>
  <si>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</si>
  <si>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</si>
  <si>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</si>
  <si>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</si>
  <si>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</si>
  <si>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</si>
  <si>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</si>
  <si>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</si>
  <si>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</si>
  <si>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</si>
  <si>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</si>
  <si>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</si>
  <si>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</si>
  <si>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</si>
  <si>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</si>
  <si>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</si>
  <si>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</si>
  <si>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</si>
  <si>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</si>
  <si>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</si>
  <si>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</si>
  <si>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</si>
  <si>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</si>
  <si>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</si>
  <si>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</si>
  <si>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</si>
  <si>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</si>
  <si>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</si>
  <si>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</si>
  <si>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</si>
  <si>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</si>
  <si>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</si>
  <si>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</si>
  <si>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</si>
  <si>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</si>
  <si>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</si>
  <si>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</si>
  <si>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</si>
  <si>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</si>
  <si>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</si>
  <si>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</si>
  <si>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</si>
  <si>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</si>
  <si>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</si>
  <si>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</si>
  <si>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</si>
  <si>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</si>
  <si>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</si>
  <si>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</si>
  <si>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</si>
  <si>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</si>
  <si>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</si>
  <si>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</si>
  <si>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</si>
  <si>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</si>
  <si>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</si>
  <si>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</si>
  <si>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</si>
  <si>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</si>
  <si>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</si>
  <si>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</si>
  <si>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</si>
  <si>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</si>
  <si>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</si>
  <si>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</si>
  <si>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</si>
  <si>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</si>
  <si>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</si>
  <si>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</si>
  <si>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</si>
  <si>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</si>
  <si>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</si>
  <si>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</si>
  <si>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</si>
  <si>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</si>
  <si>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</si>
  <si>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</si>
  <si>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</si>
  <si>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</si>
  <si>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</si>
  <si>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</si>
  <si>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</si>
  <si>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</si>
  <si>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</si>
  <si>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</si>
  <si>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</si>
  <si>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</si>
  <si>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</si>
  <si>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</si>
  <si>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</si>
  <si>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</si>
  <si>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</si>
  <si>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</si>
  <si>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</si>
  <si>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</si>
  <si>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</si>
  <si>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</si>
  <si>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</si>
  <si>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</si>
  <si>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</si>
  <si>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</si>
  <si>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</si>
  <si>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</si>
  <si>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</si>
  <si>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</si>
  <si>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</si>
  <si>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</si>
  <si>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</si>
  <si>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</si>
  <si>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</si>
  <si>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</si>
  <si>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</si>
  <si>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</si>
  <si>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</si>
  <si>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</si>
  <si>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</si>
  <si>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</si>
  <si>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</si>
  <si>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</si>
  <si>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</si>
  <si>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</si>
  <si>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</si>
  <si>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</si>
  <si>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</si>
  <si>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</si>
  <si>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</si>
  <si>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</si>
  <si>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</si>
  <si>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</si>
  <si>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</si>
  <si>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</si>
  <si>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</si>
  <si>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</si>
  <si>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</si>
  <si>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</si>
  <si>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</si>
  <si>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</si>
  <si>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</si>
  <si>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</si>
  <si>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</si>
  <si>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</si>
  <si>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</si>
  <si>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</si>
  <si>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</si>
  <si>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</si>
  <si>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</si>
  <si>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</si>
  <si>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</si>
  <si>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</si>
  <si>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</si>
  <si>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</si>
  <si>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</si>
  <si>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</si>
  <si>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</si>
  <si>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</si>
  <si>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</si>
  <si>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</si>
  <si>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</si>
  <si>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</si>
  <si>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</si>
  <si>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</si>
  <si>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</si>
  <si>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</si>
  <si>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</si>
  <si>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</si>
  <si>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</si>
  <si>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</si>
  <si>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</si>
  <si>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</si>
  <si>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</si>
  <si>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</si>
  <si>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</si>
  <si>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</si>
  <si>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</si>
  <si>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</si>
  <si>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</si>
  <si>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</si>
  <si>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</si>
  <si>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</si>
  <si>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</si>
  <si>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</si>
  <si>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</si>
  <si>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</si>
  <si>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</si>
  <si>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</si>
  <si>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</si>
  <si>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</si>
  <si>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</si>
  <si>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</si>
  <si>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</si>
  <si>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</si>
  <si>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</si>
  <si>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</si>
  <si>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</si>
  <si>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</si>
  <si>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</si>
  <si>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</si>
  <si>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</si>
  <si>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</si>
  <si>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</si>
  <si>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</si>
  <si>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</si>
  <si>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</si>
  <si>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</si>
  <si>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</si>
  <si>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</si>
  <si>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</si>
  <si>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</si>
  <si>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</si>
  <si>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</si>
  <si>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</si>
  <si>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</si>
  <si>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</si>
  <si>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</si>
  <si>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</si>
  <si>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</si>
  <si>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</si>
  <si>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</si>
  <si>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</si>
  <si>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</si>
  <si>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</si>
  <si>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</si>
  <si>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</si>
  <si>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</si>
  <si>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</si>
  <si>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</si>
  <si>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</si>
  <si>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</si>
  <si>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</si>
  <si>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</si>
  <si>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</si>
  <si>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</si>
  <si>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</si>
  <si>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</si>
  <si>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</si>
  <si>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</si>
  <si>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</si>
  <si>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</si>
  <si>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</si>
  <si>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</si>
  <si>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</si>
  <si>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</si>
  <si>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</si>
  <si>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</si>
  <si>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</si>
  <si>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</si>
  <si>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</si>
  <si>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</si>
  <si>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</si>
  <si>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</si>
  <si>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</si>
  <si>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</si>
  <si>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</si>
  <si>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</si>
  <si>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</si>
  <si>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</si>
  <si>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</si>
  <si>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</si>
  <si>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</si>
  <si>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</si>
  <si>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</si>
  <si>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</si>
  <si>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</si>
  <si>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</si>
  <si>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</si>
  <si>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</si>
  <si>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</si>
  <si>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</si>
  <si>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</si>
  <si>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</si>
  <si>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</si>
  <si>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</si>
  <si>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</si>
  <si>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</si>
  <si>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</si>
  <si>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</si>
  <si>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</si>
  <si>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</si>
  <si>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</si>
  <si>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</si>
  <si>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</si>
  <si>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</si>
  <si>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</si>
  <si>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</si>
  <si>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</si>
  <si>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</si>
  <si>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</si>
  <si>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</si>
  <si>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</si>
  <si>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</si>
  <si>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</si>
  <si>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</si>
  <si>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</si>
  <si>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</si>
  <si>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</si>
  <si>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</si>
  <si>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</si>
  <si>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</si>
  <si>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</si>
  <si>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</si>
  <si>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24-032-060C-04</t>
  </si>
  <si>
    <t>Grundy</t>
  </si>
  <si>
    <t>Saratoga Community Consolidated School District 60C</t>
  </si>
  <si>
    <t>Route 47, 4040 N. Division Street</t>
  </si>
  <si>
    <t>Morris</t>
  </si>
  <si>
    <t>kperry@sd60c.org</t>
  </si>
  <si>
    <t>Kathy Perry</t>
  </si>
  <si>
    <t>815-942-2128</t>
  </si>
  <si>
    <t>815-942-0301</t>
  </si>
  <si>
    <t>Mack &amp; Associates, P.C.</t>
  </si>
  <si>
    <t>Tawyna Mack, CPA</t>
  </si>
  <si>
    <t>116 E. Washington St., Suite One</t>
  </si>
  <si>
    <t>IL</t>
  </si>
  <si>
    <t>815-942-3306</t>
  </si>
  <si>
    <t>815-942-9430</t>
  </si>
  <si>
    <t>066-005100</t>
  </si>
  <si>
    <t>tmack@mackcpas.com</t>
  </si>
  <si>
    <t>2016 G.O. Bond, Series 2016 Building Bond</t>
  </si>
  <si>
    <t>x</t>
  </si>
  <si>
    <t>District #54</t>
  </si>
  <si>
    <t>District #54, Morris High School #101, Nettle Creek #24C</t>
  </si>
  <si>
    <t>District #54; Morris HS #101</t>
  </si>
  <si>
    <t>Grundy County Special Education Cooperative</t>
  </si>
  <si>
    <t>District #54; Morris HS #101, Nettle Creek #24C</t>
  </si>
  <si>
    <t>See Below</t>
  </si>
  <si>
    <t>Page 10, Acct. #1790 - Other District Activity - Student Activity Fees</t>
  </si>
  <si>
    <t>Page 14, Acct. #4999 - Other Federal Revenues - E-Rate Reimbursements</t>
  </si>
  <si>
    <t>Page 18, Acct. #5400 - Debt Services - Other - Service Fees</t>
  </si>
  <si>
    <t>Page 21, Acct. #4190 - Other Payments to In-State Gov't Units - School Site Payments</t>
  </si>
  <si>
    <t>PDF in Opinion Page with Signature</t>
  </si>
  <si>
    <t>O&amp;M - O&amp;M PLANT - PURCHASED SERVICES</t>
  </si>
  <si>
    <t>20-2540-300</t>
  </si>
  <si>
    <t>COUNTYWIDE PLUMBING, INC.</t>
  </si>
  <si>
    <t>DEPUE MECHANICAL, INC.</t>
  </si>
  <si>
    <t>JOHANSEN &amp; ANDERSEN, INC.</t>
  </si>
  <si>
    <t>MORRIS ELEMENTARY DISTRICT 54</t>
  </si>
  <si>
    <t>SPECIALITY FLOORS, INC.</t>
  </si>
  <si>
    <t>TEST INC.</t>
  </si>
  <si>
    <t>AUTOMATED LOGIC CHICAGO</t>
  </si>
  <si>
    <t>ED - FOOD SERVICE - PURCHASED SERVICES</t>
  </si>
  <si>
    <t>10-2560-300</t>
  </si>
  <si>
    <t>SUMMIT FINANCIAL RESOURCE</t>
  </si>
  <si>
    <t>Page 10, Acct. #1719 - Admissions - Other - Tournament admissions</t>
  </si>
  <si>
    <t>Page 10, Acct. #1890 - Textbook Income - Other - Misc supply sales</t>
  </si>
  <si>
    <t>Page 11, Acct #1999, Other Local Revenues - Ed - Employee Insurance Reimbursements, EDPA Income;</t>
  </si>
  <si>
    <t>Transportation - Misc. Reimb.; Tort - Ins. Reimb.; Transportation - Misc. Reimbursements; Capital Projects - Reimbursements</t>
  </si>
  <si>
    <t>Page 12, Acct. 3999 - Other Restricted State Revenues - Ed - Library Grant</t>
  </si>
  <si>
    <t>Page 16, Acct. 2900 - Other Support - Miscellaneous Expenses</t>
  </si>
  <si>
    <t xml:space="preserve">District #54 ; Morris HS #101 </t>
  </si>
  <si>
    <t>Morris HS #101</t>
  </si>
  <si>
    <t>Transportation - District #54, Morris HS #101, Nettle Creek #24C, Seneca CCSD#170, Coal City CUSD No.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</si>
</sst>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410DFCDB-B81F-4CDA-AFE5-1BF256D667F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t="s">
        <v>2078</v>
      </c>
      <c r="B13" s="2004"/>
      <c r="C13" s="2004"/>
      <c r="D13" s="2004"/>
      <c r="E13" s="2004"/>
      <c r="F13" s="2004"/>
      <c r="G13" s="2004"/>
      <c r="H13" s="2005"/>
      <c r="I13" s="31"/>
      <c r="J13" s="30"/>
      <c r="K13" s="28"/>
      <c r="L13" s="30"/>
      <c r="M13" s="30"/>
      <c r="N13" s="30"/>
      <c r="O13" s="30"/>
      <c r="P13" s="30"/>
      <c r="Q13" s="30"/>
      <c r="R13" s="30"/>
      <c r="S13" s="30"/>
      <c r="T13" s="2008" t="s">
        <v>2087</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2079</v>
      </c>
      <c r="B15" s="2006"/>
      <c r="C15" s="2006"/>
      <c r="D15" s="2006"/>
      <c r="E15" s="2006"/>
      <c r="F15" s="2006"/>
      <c r="G15" s="2006"/>
      <c r="H15" s="2007"/>
      <c r="T15" s="1969" t="s">
        <v>2088</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2080</v>
      </c>
      <c r="B17" s="2031"/>
      <c r="C17" s="2031"/>
      <c r="D17" s="2031"/>
      <c r="E17" s="2031"/>
      <c r="F17" s="2031"/>
      <c r="G17" s="2031"/>
      <c r="H17" s="2032"/>
      <c r="T17" s="2018" t="s">
        <v>2089</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2081</v>
      </c>
      <c r="B19" s="2002"/>
      <c r="C19" s="2002"/>
      <c r="D19" s="2002"/>
      <c r="E19" s="2002"/>
      <c r="F19" s="2002"/>
      <c r="G19" s="2002"/>
      <c r="H19" s="2000"/>
      <c r="I19" s="30"/>
      <c r="J19" s="99"/>
      <c r="K19" s="40"/>
      <c r="L19" s="38"/>
      <c r="M19" s="112" t="s">
        <v>333</v>
      </c>
      <c r="P19" s="27"/>
      <c r="Q19" s="27"/>
      <c r="R19" s="27"/>
      <c r="S19" s="31"/>
      <c r="T19" s="2001" t="s">
        <v>2082</v>
      </c>
      <c r="U19" s="1999"/>
      <c r="V19" s="1999"/>
      <c r="W19" s="2000"/>
      <c r="X19" s="2016" t="s">
        <v>2090</v>
      </c>
      <c r="Y19" s="2017"/>
      <c r="Z19" s="2014">
        <v>60450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2082</v>
      </c>
      <c r="B21" s="1999"/>
      <c r="C21" s="1999"/>
      <c r="D21" s="1999"/>
      <c r="E21" s="1999"/>
      <c r="F21" s="1999"/>
      <c r="G21" s="1999"/>
      <c r="H21" s="2000"/>
      <c r="I21" s="2024" t="s">
        <v>699</v>
      </c>
      <c r="J21" s="1987"/>
      <c r="K21" s="1987"/>
      <c r="L21" s="1987"/>
      <c r="M21" s="1987"/>
      <c r="N21" s="1987"/>
      <c r="O21" s="1987"/>
      <c r="P21" s="1987"/>
      <c r="Q21" s="1987"/>
      <c r="R21" s="1987"/>
      <c r="S21" s="1988"/>
      <c r="T21" s="1966" t="s">
        <v>2091</v>
      </c>
      <c r="U21" s="1967"/>
      <c r="V21" s="1967"/>
      <c r="W21" s="1967"/>
      <c r="X21" s="1980" t="s">
        <v>2092</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2083</v>
      </c>
      <c r="B23" s="2022"/>
      <c r="C23" s="2022"/>
      <c r="D23" s="2022"/>
      <c r="E23" s="2022"/>
      <c r="F23" s="2022"/>
      <c r="G23" s="2022"/>
      <c r="H23" s="2023"/>
      <c r="T23" s="1961" t="s">
        <v>2093</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60450</v>
      </c>
      <c r="B25" s="1999"/>
      <c r="C25" s="1999"/>
      <c r="D25" s="1999"/>
      <c r="E25" s="1999"/>
      <c r="F25" s="1999"/>
      <c r="G25" s="1999"/>
      <c r="H25" s="2000"/>
      <c r="I25" s="113"/>
      <c r="J25" s="2065"/>
      <c r="K25" s="2065"/>
      <c r="L25" s="2065"/>
      <c r="M25" s="2065"/>
      <c r="N25" s="2065"/>
      <c r="O25" s="2065"/>
      <c r="P25" s="2065"/>
      <c r="Q25" s="2065"/>
      <c r="R25" s="2065"/>
      <c r="S25" s="2066"/>
      <c r="T25" s="1958" t="s">
        <v>2094</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2084</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2083</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2085</v>
      </c>
      <c r="B42" s="2048"/>
      <c r="C42" s="2049"/>
      <c r="D42" s="2062" t="s">
        <v>2086</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3" colorId="8" zoomScale="110" zoomScaleNormal="110" workbookViewId="0">
      <selection activeCell="E21" sqref="E2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3447266</v>
      </c>
      <c r="C4" s="1546"/>
      <c r="D4" s="1774">
        <f>B4-C4</f>
        <v>3447266</v>
      </c>
      <c r="E4" s="1546">
        <v>3430395</v>
      </c>
      <c r="F4" s="1774">
        <f>E4-C4</f>
        <v>3430395</v>
      </c>
    </row>
    <row r="5" spans="1:6" ht="13.7" customHeight="1" x14ac:dyDescent="0.2">
      <c r="A5" s="716" t="s">
        <v>925</v>
      </c>
      <c r="B5" s="1772">
        <f>'Revenues 9-14'!D5</f>
        <v>481463</v>
      </c>
      <c r="C5" s="585"/>
      <c r="D5" s="1775">
        <f t="shared" ref="D5:D18" si="0">B5-C5</f>
        <v>481463</v>
      </c>
      <c r="E5" s="585">
        <v>479105</v>
      </c>
      <c r="F5" s="1775">
        <f>E5-C5</f>
        <v>479105</v>
      </c>
    </row>
    <row r="6" spans="1:6" ht="13.7" customHeight="1" x14ac:dyDescent="0.2">
      <c r="A6" s="716" t="s">
        <v>431</v>
      </c>
      <c r="B6" s="1772">
        <f>'Revenues 9-14'!E5</f>
        <v>995197</v>
      </c>
      <c r="C6" s="585"/>
      <c r="D6" s="1775">
        <f t="shared" si="0"/>
        <v>995197</v>
      </c>
      <c r="E6" s="585">
        <v>862197</v>
      </c>
      <c r="F6" s="1775">
        <f t="shared" ref="F6:F18" si="1">E6-C6</f>
        <v>862197</v>
      </c>
    </row>
    <row r="7" spans="1:6" ht="13.7" customHeight="1" x14ac:dyDescent="0.2">
      <c r="A7" s="716" t="s">
        <v>157</v>
      </c>
      <c r="B7" s="1772">
        <f>'Revenues 9-14'!F5</f>
        <v>231103</v>
      </c>
      <c r="C7" s="585"/>
      <c r="D7" s="1775">
        <f t="shared" si="0"/>
        <v>231103</v>
      </c>
      <c r="E7" s="585">
        <v>229971</v>
      </c>
      <c r="F7" s="1775">
        <f t="shared" si="1"/>
        <v>229971</v>
      </c>
    </row>
    <row r="8" spans="1:6" ht="13.7" customHeight="1" x14ac:dyDescent="0.2">
      <c r="A8" s="716" t="s">
        <v>1241</v>
      </c>
      <c r="B8" s="1772">
        <f>'Revenues 9-14'!G5</f>
        <v>45093</v>
      </c>
      <c r="C8" s="585"/>
      <c r="D8" s="1775">
        <f t="shared" si="0"/>
        <v>45093</v>
      </c>
      <c r="E8" s="585">
        <v>70543</v>
      </c>
      <c r="F8" s="1775">
        <f t="shared" si="1"/>
        <v>70543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96293</v>
      </c>
      <c r="C10" s="585"/>
      <c r="D10" s="1775">
        <f t="shared" si="0"/>
        <v>96293</v>
      </c>
      <c r="E10" s="585">
        <v>95821</v>
      </c>
      <c r="F10" s="1775">
        <f t="shared" si="1"/>
        <v>95821</v>
      </c>
    </row>
    <row r="11" spans="1:6" x14ac:dyDescent="0.2">
      <c r="A11" s="716" t="s">
        <v>429</v>
      </c>
      <c r="B11" s="1772">
        <f>'Revenues 9-14'!J5</f>
        <v>105222</v>
      </c>
      <c r="C11" s="585"/>
      <c r="D11" s="1775">
        <f t="shared" si="0"/>
        <v>105222</v>
      </c>
      <c r="E11" s="585">
        <v>146970</v>
      </c>
      <c r="F11" s="1775">
        <f t="shared" si="1"/>
        <v>146970</v>
      </c>
    </row>
    <row r="12" spans="1:6" ht="13.7" customHeight="1" x14ac:dyDescent="0.2">
      <c r="A12" s="716" t="s">
        <v>159</v>
      </c>
      <c r="B12" s="1772">
        <f>'Revenues 9-14'!K5</f>
        <v>96293</v>
      </c>
      <c r="C12" s="585"/>
      <c r="D12" s="1775">
        <f t="shared" si="0"/>
        <v>96293</v>
      </c>
      <c r="E12" s="585">
        <v>95821</v>
      </c>
      <c r="F12" s="1775">
        <f t="shared" si="1"/>
        <v>95821</v>
      </c>
    </row>
    <row r="13" spans="1:6" ht="13.7" customHeight="1" x14ac:dyDescent="0.2">
      <c r="A13" s="716" t="s">
        <v>993</v>
      </c>
      <c r="B13" s="1772">
        <f>SUM('Revenues 9-14'!C6:D6)</f>
        <v>96293</v>
      </c>
      <c r="C13" s="585"/>
      <c r="D13" s="1775">
        <f t="shared" si="0"/>
        <v>96293</v>
      </c>
      <c r="E13" s="585">
        <v>95821</v>
      </c>
      <c r="F13" s="1775">
        <f t="shared" si="1"/>
        <v>95821</v>
      </c>
    </row>
    <row r="14" spans="1:6" ht="13.7" customHeight="1" x14ac:dyDescent="0.2">
      <c r="A14" s="716" t="s">
        <v>430</v>
      </c>
      <c r="B14" s="1772">
        <f>SUM('Revenues 9-14'!C7:D7,'Revenues 9-14'!F7:H7)</f>
        <v>38517</v>
      </c>
      <c r="C14" s="585"/>
      <c r="D14" s="1775">
        <f t="shared" si="0"/>
        <v>38517</v>
      </c>
      <c r="E14" s="585">
        <v>38329</v>
      </c>
      <c r="F14" s="1775">
        <f t="shared" si="1"/>
        <v>38329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55128</v>
      </c>
      <c r="C16" s="585"/>
      <c r="D16" s="1775">
        <f t="shared" si="0"/>
        <v>55128</v>
      </c>
      <c r="E16" s="585">
        <v>86220</v>
      </c>
      <c r="F16" s="1775">
        <f t="shared" si="1"/>
        <v>86220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5687868</v>
      </c>
      <c r="C19" s="1773">
        <f>SUM(C4:C18)</f>
        <v>0</v>
      </c>
      <c r="D19" s="1773">
        <f>SUM(D4:D18)</f>
        <v>5687868</v>
      </c>
      <c r="E19" s="1773">
        <f>SUM(E4:E18)</f>
        <v>5631193</v>
      </c>
      <c r="F19" s="1773">
        <f>SUM(F4:F18)</f>
        <v>5631193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2"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8" t="s">
        <v>2036</v>
      </c>
      <c r="D2" s="724" t="s">
        <v>2043</v>
      </c>
      <c r="E2" s="724" t="s">
        <v>2044</v>
      </c>
      <c r="F2" s="1908" t="s">
        <v>2037</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2095</v>
      </c>
      <c r="B31" s="734">
        <v>42217</v>
      </c>
      <c r="C31" s="735">
        <v>8450000</v>
      </c>
      <c r="D31" s="736">
        <v>3</v>
      </c>
      <c r="E31" s="735">
        <v>8085000</v>
      </c>
      <c r="F31" s="735"/>
      <c r="G31" s="735"/>
      <c r="H31" s="735">
        <v>670000</v>
      </c>
      <c r="I31" s="1778">
        <f>((E31+F31)-H31)+G31</f>
        <v>7415000</v>
      </c>
      <c r="J31" s="735">
        <f>7415000-633175</f>
        <v>6781825</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8450000</v>
      </c>
      <c r="D49" s="746"/>
      <c r="E49" s="1778">
        <f t="shared" ref="E49:J49" si="2">SUM(E31:E48)</f>
        <v>8085000</v>
      </c>
      <c r="F49" s="1778">
        <f t="shared" si="2"/>
        <v>0</v>
      </c>
      <c r="G49" s="1778">
        <f t="shared" si="2"/>
        <v>0</v>
      </c>
      <c r="H49" s="1778">
        <f t="shared" si="2"/>
        <v>670000</v>
      </c>
      <c r="I49" s="1778">
        <f t="shared" si="2"/>
        <v>7415000</v>
      </c>
      <c r="J49" s="1778">
        <f t="shared" si="2"/>
        <v>6781825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38517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38517</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38517</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38517</v>
      </c>
      <c r="I23" s="1780">
        <f>SUM(I14:I16,I21,I22)</f>
        <v>0</v>
      </c>
      <c r="J23" s="1780">
        <f>SUM(J14:J16,J21,J22)</f>
        <v>0</v>
      </c>
      <c r="K23" s="1780">
        <f>SUM(K14:K16,K21,K22)</f>
        <v>0</v>
      </c>
    </row>
    <row r="24" spans="1:11" ht="14.25" thickTop="1" thickBot="1" x14ac:dyDescent="0.25">
      <c r="A24" s="2252" t="s">
        <v>2024</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3" colorId="8" zoomScale="110" zoomScaleNormal="110" workbookViewId="0">
      <selection activeCell="I17" sqref="I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510156</v>
      </c>
      <c r="D5" s="842"/>
      <c r="E5" s="842"/>
      <c r="F5" s="1782">
        <f>(C5+D5)-E5</f>
        <v>510156</v>
      </c>
      <c r="G5" s="838"/>
      <c r="H5" s="843"/>
      <c r="I5" s="843"/>
      <c r="J5" s="843"/>
      <c r="K5" s="794"/>
      <c r="L5" s="1791">
        <f>F5-K5</f>
        <v>510156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17904524</v>
      </c>
      <c r="D8" s="845"/>
      <c r="E8" s="845"/>
      <c r="F8" s="1782">
        <f>(C8+D8)-E8</f>
        <v>17904524</v>
      </c>
      <c r="G8" s="844">
        <v>50</v>
      </c>
      <c r="H8" s="766">
        <v>5315903</v>
      </c>
      <c r="I8" s="766">
        <v>347266</v>
      </c>
      <c r="J8" s="766"/>
      <c r="K8" s="1791">
        <f>(H8+I8)-J8</f>
        <v>5663169</v>
      </c>
      <c r="L8" s="1791">
        <f>F8-K8</f>
        <v>12241355</v>
      </c>
    </row>
    <row r="9" spans="1:14" ht="14.25" thickTop="1" thickBot="1" x14ac:dyDescent="0.25">
      <c r="A9" s="779" t="s">
        <v>1181</v>
      </c>
      <c r="B9" s="841">
        <v>232</v>
      </c>
      <c r="C9" s="766">
        <v>1535247</v>
      </c>
      <c r="D9" s="766"/>
      <c r="E9" s="766"/>
      <c r="F9" s="1782">
        <f>(C9+D9)-E9</f>
        <v>1535247</v>
      </c>
      <c r="G9" s="844">
        <v>20</v>
      </c>
      <c r="H9" s="766">
        <v>371568</v>
      </c>
      <c r="I9" s="766">
        <v>62061</v>
      </c>
      <c r="J9" s="766"/>
      <c r="K9" s="1791">
        <f>(H9+I9)-J9</f>
        <v>433629</v>
      </c>
      <c r="L9" s="1791">
        <f>F9-K9</f>
        <v>1101618</v>
      </c>
    </row>
    <row r="10" spans="1:14" ht="24" thickTop="1" thickBot="1" x14ac:dyDescent="0.25">
      <c r="A10" s="846" t="s">
        <v>1182</v>
      </c>
      <c r="B10" s="841">
        <v>240</v>
      </c>
      <c r="C10" s="847">
        <v>79358</v>
      </c>
      <c r="D10" s="847">
        <v>37250</v>
      </c>
      <c r="E10" s="847"/>
      <c r="F10" s="1786">
        <f>(C10+D10)-E10</f>
        <v>116608</v>
      </c>
      <c r="G10" s="844">
        <v>20</v>
      </c>
      <c r="H10" s="848">
        <v>55808</v>
      </c>
      <c r="I10" s="848">
        <v>2629</v>
      </c>
      <c r="J10" s="848"/>
      <c r="K10" s="1791">
        <f>(H10+I10)-J10</f>
        <v>58437</v>
      </c>
      <c r="L10" s="1791">
        <f>F10-K10</f>
        <v>58171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331344</v>
      </c>
      <c r="D12" s="845"/>
      <c r="E12" s="845"/>
      <c r="F12" s="1782">
        <f>(C12+D12)-E12</f>
        <v>331344</v>
      </c>
      <c r="G12" s="844">
        <v>10</v>
      </c>
      <c r="H12" s="766">
        <v>223064</v>
      </c>
      <c r="I12" s="766">
        <v>32531</v>
      </c>
      <c r="J12" s="766"/>
      <c r="K12" s="1791">
        <f>(H12+I12)-J12</f>
        <v>255595</v>
      </c>
      <c r="L12" s="1791">
        <f>F12-K12</f>
        <v>75749</v>
      </c>
    </row>
    <row r="13" spans="1:14" ht="14.25" thickTop="1" thickBot="1" x14ac:dyDescent="0.25">
      <c r="A13" s="849" t="s">
        <v>1184</v>
      </c>
      <c r="B13" s="841">
        <v>252</v>
      </c>
      <c r="C13" s="845">
        <v>1415470</v>
      </c>
      <c r="D13" s="845"/>
      <c r="E13" s="845"/>
      <c r="F13" s="1782">
        <f>(C13+D13)-E13</f>
        <v>1415470</v>
      </c>
      <c r="G13" s="844">
        <v>5</v>
      </c>
      <c r="H13" s="766">
        <v>1278129</v>
      </c>
      <c r="I13" s="766">
        <v>36367</v>
      </c>
      <c r="J13" s="766"/>
      <c r="K13" s="1791">
        <f>(H13+I13)-J13</f>
        <v>1314496</v>
      </c>
      <c r="L13" s="1791">
        <f>F13-K13</f>
        <v>100974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21776099</v>
      </c>
      <c r="D16" s="1782">
        <f>SUM(D3,D5:D6,D8:D10,D12:D15)</f>
        <v>37250</v>
      </c>
      <c r="E16" s="1782">
        <f>SUM(E3,E5:E6,E8:E10,E12:E15)</f>
        <v>0</v>
      </c>
      <c r="F16" s="1782">
        <f>SUM(F3,F5:F6,F8:F10,F12:F15)</f>
        <v>21813349</v>
      </c>
      <c r="G16" s="844"/>
      <c r="H16" s="1782">
        <f>SUM(H3,H6,H8:H10,H12:H14,)</f>
        <v>7244472</v>
      </c>
      <c r="I16" s="1782">
        <f>SUM(I3,I6,I8:I10,I12:I14,)</f>
        <v>480854</v>
      </c>
      <c r="J16" s="1782">
        <f>SUM(J3,J6,J8:J10,J12:J14,)</f>
        <v>0</v>
      </c>
      <c r="K16" s="1782">
        <f>(H16+I16)-J16</f>
        <v>7725326</v>
      </c>
      <c r="L16" s="1782">
        <f>F16-K16</f>
        <v>14088023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103006</v>
      </c>
      <c r="G17" s="838">
        <v>10</v>
      </c>
      <c r="H17" s="770"/>
      <c r="I17" s="1791">
        <f>F17/G17</f>
        <v>10300.6</v>
      </c>
      <c r="J17" s="770"/>
      <c r="K17" s="796"/>
      <c r="L17" s="796"/>
    </row>
    <row r="18" spans="1:12" ht="14.25" thickTop="1" thickBot="1" x14ac:dyDescent="0.25">
      <c r="A18" s="1789" t="s">
        <v>706</v>
      </c>
      <c r="B18" s="1790"/>
      <c r="C18" s="772"/>
      <c r="D18" s="772"/>
      <c r="E18" s="772"/>
      <c r="F18" s="851"/>
      <c r="G18" s="852"/>
      <c r="H18" s="774"/>
      <c r="I18" s="1782">
        <f>SUM(I16,I17)</f>
        <v>491154.6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5586241</v>
      </c>
      <c r="G8" s="866"/>
    </row>
    <row r="9" spans="1:7" x14ac:dyDescent="0.2">
      <c r="A9" s="870" t="s">
        <v>480</v>
      </c>
      <c r="B9" s="871" t="s">
        <v>1988</v>
      </c>
      <c r="C9" s="872"/>
      <c r="D9" s="870" t="s">
        <v>522</v>
      </c>
      <c r="E9" s="869"/>
      <c r="F9" s="1934">
        <f>'Expenditures 15-22'!K151</f>
        <v>459712</v>
      </c>
      <c r="G9" s="873"/>
    </row>
    <row r="10" spans="1:7" x14ac:dyDescent="0.2">
      <c r="A10" s="870" t="s">
        <v>520</v>
      </c>
      <c r="B10" s="871" t="s">
        <v>1989</v>
      </c>
      <c r="C10" s="872"/>
      <c r="D10" s="870" t="s">
        <v>522</v>
      </c>
      <c r="E10" s="869"/>
      <c r="F10" s="1934">
        <f>'Expenditures 15-22'!K174</f>
        <v>994300</v>
      </c>
      <c r="G10" s="873"/>
    </row>
    <row r="11" spans="1:7" x14ac:dyDescent="0.2">
      <c r="A11" s="870" t="s">
        <v>481</v>
      </c>
      <c r="B11" s="871" t="s">
        <v>1990</v>
      </c>
      <c r="C11" s="872"/>
      <c r="D11" s="870" t="s">
        <v>522</v>
      </c>
      <c r="E11" s="869"/>
      <c r="F11" s="1934">
        <f>'Expenditures 15-22'!K210</f>
        <v>1372919</v>
      </c>
      <c r="G11" s="873"/>
    </row>
    <row r="12" spans="1:7" x14ac:dyDescent="0.2">
      <c r="A12" s="870" t="s">
        <v>482</v>
      </c>
      <c r="B12" s="871" t="s">
        <v>1991</v>
      </c>
      <c r="C12" s="872"/>
      <c r="D12" s="870" t="s">
        <v>522</v>
      </c>
      <c r="E12" s="869"/>
      <c r="F12" s="1934">
        <f>'Expenditures 15-22'!K295</f>
        <v>290919</v>
      </c>
      <c r="G12" s="873"/>
    </row>
    <row r="13" spans="1:7" x14ac:dyDescent="0.2">
      <c r="A13" s="870" t="s">
        <v>108</v>
      </c>
      <c r="B13" s="871" t="s">
        <v>1992</v>
      </c>
      <c r="C13" s="872"/>
      <c r="D13" s="870" t="s">
        <v>522</v>
      </c>
      <c r="E13" s="869"/>
      <c r="F13" s="1934">
        <f>'Expenditures 15-22'!K342</f>
        <v>232128</v>
      </c>
      <c r="G13" s="874"/>
    </row>
    <row r="14" spans="1:7" ht="12" customHeight="1" thickBot="1" x14ac:dyDescent="0.25">
      <c r="A14" s="1792"/>
      <c r="B14" s="1793"/>
      <c r="C14" s="1794"/>
      <c r="D14" s="1795" t="s">
        <v>522</v>
      </c>
      <c r="E14" s="1796" t="s">
        <v>1015</v>
      </c>
      <c r="F14" s="1797">
        <f>SUM(F8:F13)</f>
        <v>8936219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492220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524957</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95000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49474</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138337</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403953</v>
      </c>
      <c r="G53" s="866"/>
    </row>
    <row r="54" spans="1:7" x14ac:dyDescent="0.2">
      <c r="A54" s="870" t="s">
        <v>479</v>
      </c>
      <c r="B54" s="870" t="s">
        <v>1552</v>
      </c>
      <c r="C54" s="890" t="s">
        <v>1039</v>
      </c>
      <c r="D54" s="886" t="s">
        <v>1157</v>
      </c>
      <c r="E54" s="869"/>
      <c r="F54" s="1938">
        <f>'Expenditures 15-22'!G114</f>
        <v>54419</v>
      </c>
      <c r="G54" s="866"/>
    </row>
    <row r="55" spans="1:7" x14ac:dyDescent="0.2">
      <c r="A55" s="870" t="s">
        <v>479</v>
      </c>
      <c r="B55" s="870" t="s">
        <v>1553</v>
      </c>
      <c r="C55" s="890" t="s">
        <v>1039</v>
      </c>
      <c r="D55" s="886" t="s">
        <v>309</v>
      </c>
      <c r="E55" s="869"/>
      <c r="F55" s="1938">
        <f>'Expenditures 15-22'!I114</f>
        <v>98095</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48864</v>
      </c>
      <c r="G58" s="866"/>
    </row>
    <row r="59" spans="1:7" x14ac:dyDescent="0.2">
      <c r="A59" s="894" t="s">
        <v>480</v>
      </c>
      <c r="B59" s="857" t="s">
        <v>1995</v>
      </c>
      <c r="C59" s="895" t="s">
        <v>1039</v>
      </c>
      <c r="D59" s="857" t="s">
        <v>309</v>
      </c>
      <c r="F59" s="1941">
        <f>'Expenditures 15-22'!I151</f>
        <v>324</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670000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288496</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6660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2870799</v>
      </c>
      <c r="G76" s="866"/>
    </row>
    <row r="77" spans="1:8" s="894" customFormat="1" ht="12" customHeight="1" thickTop="1" thickBot="1" x14ac:dyDescent="0.25">
      <c r="A77" s="1801"/>
      <c r="B77" s="1798"/>
      <c r="C77" s="1794"/>
      <c r="D77" s="1799" t="s">
        <v>2011</v>
      </c>
      <c r="E77" s="1796"/>
      <c r="F77" s="1802">
        <f>(F14-F76)</f>
        <v>6065420</v>
      </c>
      <c r="G77" s="870"/>
    </row>
    <row r="78" spans="1:8" s="894" customFormat="1" ht="12" customHeight="1" thickTop="1" x14ac:dyDescent="0.2">
      <c r="A78" s="1803"/>
      <c r="B78" s="1798"/>
      <c r="C78" s="1794"/>
      <c r="D78" s="1799" t="s">
        <v>2057</v>
      </c>
      <c r="E78" s="1796"/>
      <c r="F78" s="899">
        <v>778.56</v>
      </c>
      <c r="G78" s="900"/>
      <c r="H78" s="870"/>
    </row>
    <row r="79" spans="1:8" s="894" customFormat="1" ht="12" customHeight="1" thickBot="1" x14ac:dyDescent="0.25">
      <c r="A79" s="1804"/>
      <c r="B79" s="1798"/>
      <c r="C79" s="1794"/>
      <c r="D79" s="1799" t="s">
        <v>2012</v>
      </c>
      <c r="E79" s="1796" t="s">
        <v>1015</v>
      </c>
      <c r="F79" s="1805">
        <f>IF(F78&gt;0,F77/F78," Complete Line 78")</f>
        <v>7790.5620632963428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13761</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59385</v>
      </c>
      <c r="G94" s="913"/>
    </row>
    <row r="95" spans="1:7" x14ac:dyDescent="0.2">
      <c r="A95" s="909" t="s">
        <v>142</v>
      </c>
      <c r="B95" s="909" t="s">
        <v>177</v>
      </c>
      <c r="C95" s="911">
        <v>1700</v>
      </c>
      <c r="D95" s="919" t="str">
        <f>'Revenues 9-14'!A82</f>
        <v>Total District/School Activity Income</v>
      </c>
      <c r="E95" s="907"/>
      <c r="F95" s="1811">
        <f>SUM('Revenues 9-14'!C82,'Revenues 9-14'!D82)</f>
        <v>43587</v>
      </c>
      <c r="G95" s="913"/>
    </row>
    <row r="96" spans="1:7" x14ac:dyDescent="0.2">
      <c r="A96" s="909" t="s">
        <v>479</v>
      </c>
      <c r="B96" s="909" t="s">
        <v>178</v>
      </c>
      <c r="C96" s="911">
        <f>'Revenues 9-14'!B84</f>
        <v>1811</v>
      </c>
      <c r="D96" s="912" t="str">
        <f>'Revenues 9-14'!A84</f>
        <v>Rentals - Regular Textbooks</v>
      </c>
      <c r="E96" s="907"/>
      <c r="F96" s="1811">
        <f>'Revenues 9-14'!C84</f>
        <v>71354</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82</v>
      </c>
      <c r="G100" s="913"/>
    </row>
    <row r="101" spans="1:7" x14ac:dyDescent="0.2">
      <c r="A101" s="909" t="s">
        <v>142</v>
      </c>
      <c r="B101" s="909" t="s">
        <v>183</v>
      </c>
      <c r="C101" s="911">
        <f>'Revenues 9-14'!B95</f>
        <v>1910</v>
      </c>
      <c r="D101" s="912" t="str">
        <f>'Revenues 9-14'!A95</f>
        <v>Rentals</v>
      </c>
      <c r="E101" s="907"/>
      <c r="F101" s="1811">
        <f>SUM('Revenues 9-14'!C95:D95)</f>
        <v>2018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50395</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101615</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154480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10332</v>
      </c>
      <c r="G107" s="913"/>
    </row>
    <row r="108" spans="1:7" x14ac:dyDescent="0.2">
      <c r="A108" s="909" t="s">
        <v>479</v>
      </c>
      <c r="B108" s="909" t="s">
        <v>844</v>
      </c>
      <c r="C108" s="921">
        <f>'Revenues 9-14'!B145</f>
        <v>3360</v>
      </c>
      <c r="D108" s="912" t="str">
        <f>'Revenues 9-14'!A145</f>
        <v>State Free Lunch &amp; Breakfast</v>
      </c>
      <c r="E108" s="907"/>
      <c r="F108" s="1811">
        <f>'Revenues 9-14'!C145</f>
        <v>1316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194484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89570</v>
      </c>
      <c r="G129" s="931"/>
    </row>
    <row r="130" spans="1:7" x14ac:dyDescent="0.2">
      <c r="A130" s="928" t="s">
        <v>689</v>
      </c>
      <c r="B130" s="928" t="s">
        <v>804</v>
      </c>
      <c r="C130" s="933">
        <v>4300</v>
      </c>
      <c r="D130" s="934" t="str">
        <f>'Revenues 9-14'!A211</f>
        <v>Total Title I</v>
      </c>
      <c r="E130" s="907"/>
      <c r="F130" s="1811">
        <f>SUM('Revenues 9-14'!C211,'Revenues 9-14'!D211,'Revenues 9-14'!F211,'Revenues 9-14'!G211)</f>
        <v>77345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5199</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77825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2915</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15516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17424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14743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3842</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1008688</v>
      </c>
    </row>
    <row r="179" spans="1:7" ht="12" customHeight="1" x14ac:dyDescent="0.2">
      <c r="A179" s="1792"/>
      <c r="B179" s="1806"/>
      <c r="C179" s="1807"/>
      <c r="D179" s="1808" t="s">
        <v>2014</v>
      </c>
      <c r="E179" s="1809"/>
      <c r="F179" s="1811">
        <f>'PCTC-OEPP 27-28'!F77-F178</f>
        <v>5056732</v>
      </c>
    </row>
    <row r="180" spans="1:7" ht="12" customHeight="1" x14ac:dyDescent="0.2">
      <c r="A180" s="1792"/>
      <c r="B180" s="1806"/>
      <c r="C180" s="1807"/>
      <c r="D180" s="1808" t="s">
        <v>1924</v>
      </c>
      <c r="E180" s="1809"/>
      <c r="F180" s="1811">
        <f>'Cap Outlay Deprec 26'!I18</f>
        <v>491154.6</v>
      </c>
    </row>
    <row r="181" spans="1:7" ht="12" customHeight="1" x14ac:dyDescent="0.2">
      <c r="A181" s="1792"/>
      <c r="B181" s="1806"/>
      <c r="C181" s="1807"/>
      <c r="D181" s="1808" t="s">
        <v>2015</v>
      </c>
      <c r="E181" s="1809"/>
      <c r="F181" s="1811">
        <f>F179+F180</f>
        <v>5547886.5999999996</v>
      </c>
    </row>
    <row r="182" spans="1:7" ht="12" customHeight="1" x14ac:dyDescent="0.2">
      <c r="A182" s="1792"/>
      <c r="B182" s="1812"/>
      <c r="C182" s="1807"/>
      <c r="D182" s="1808" t="str">
        <f>D78</f>
        <v>9 Month ADA from District Average Daily Attendance/Prior General State Aid Inquiry 2017-2018</v>
      </c>
      <c r="E182" s="1809"/>
      <c r="F182" s="1813">
        <f>'PCTC-OEPP 27-28'!F78</f>
        <v>778.56</v>
      </c>
      <c r="G182" s="931"/>
    </row>
    <row r="183" spans="1:7" ht="12" customHeight="1" thickBot="1" x14ac:dyDescent="0.25">
      <c r="A183" s="1792"/>
      <c r="B183" s="1812"/>
      <c r="C183" s="1807"/>
      <c r="D183" s="1808" t="s">
        <v>2016</v>
      </c>
      <c r="E183" s="1809" t="s">
        <v>1626</v>
      </c>
      <c r="F183" s="1814">
        <f>F181/F182</f>
        <v>7125.8305076037814</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6" sqref="D26"/>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2108</v>
      </c>
      <c r="B17" s="1956" t="s">
        <v>2109</v>
      </c>
      <c r="C17" s="1957" t="s">
        <v>2110</v>
      </c>
      <c r="D17" s="1867">
        <v>2951</v>
      </c>
      <c r="E17" s="1562">
        <f t="shared" ref="E17:E141" si="1">IF(D17&lt;=25000,D17,IF(D17&gt;25000,25000,0))</f>
        <v>2951</v>
      </c>
      <c r="F17" s="1815">
        <f t="shared" si="0"/>
        <v>2951</v>
      </c>
      <c r="G17" s="1816">
        <f>IF(F17=0,0,D17-F17)</f>
        <v>0</v>
      </c>
      <c r="H17" s="1669"/>
    </row>
    <row r="18" spans="1:8" x14ac:dyDescent="0.25">
      <c r="A18" s="1955" t="s">
        <v>2108</v>
      </c>
      <c r="B18" s="1956" t="s">
        <v>2109</v>
      </c>
      <c r="C18" s="1957" t="s">
        <v>2111</v>
      </c>
      <c r="D18" s="1867">
        <v>3616</v>
      </c>
      <c r="E18" s="1562">
        <f t="shared" ref="E18:E140" si="2">IF(D18&lt;=25000,D18,IF(D18&gt;25000,25000,0))</f>
        <v>3616</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3616</v>
      </c>
      <c r="G18" s="1816">
        <f t="shared" ref="G18:G140" si="4">IF(F18=0,0,D18-F18)</f>
        <v>0</v>
      </c>
    </row>
    <row r="19" spans="1:8" x14ac:dyDescent="0.25">
      <c r="A19" s="1955" t="s">
        <v>2108</v>
      </c>
      <c r="B19" s="1956" t="s">
        <v>2109</v>
      </c>
      <c r="C19" s="1957" t="s">
        <v>2112</v>
      </c>
      <c r="D19" s="1867">
        <v>2137</v>
      </c>
      <c r="E19" s="1562">
        <f t="shared" si="2"/>
        <v>2137</v>
      </c>
      <c r="F19" s="1815">
        <f t="shared" si="3"/>
        <v>2137</v>
      </c>
      <c r="G19" s="1816">
        <f t="shared" si="4"/>
        <v>0</v>
      </c>
    </row>
    <row r="20" spans="1:8" x14ac:dyDescent="0.25">
      <c r="A20" s="1955" t="s">
        <v>2108</v>
      </c>
      <c r="B20" s="1956" t="s">
        <v>2109</v>
      </c>
      <c r="C20" s="1957" t="s">
        <v>2113</v>
      </c>
      <c r="D20" s="1867">
        <f>4153+9848</f>
        <v>14001</v>
      </c>
      <c r="E20" s="1562">
        <f t="shared" si="2"/>
        <v>14001</v>
      </c>
      <c r="F20" s="1815">
        <f t="shared" si="3"/>
        <v>14001</v>
      </c>
      <c r="G20" s="1816">
        <f t="shared" si="4"/>
        <v>0</v>
      </c>
    </row>
    <row r="21" spans="1:8" x14ac:dyDescent="0.25">
      <c r="A21" s="1955" t="s">
        <v>2108</v>
      </c>
      <c r="B21" s="1956" t="s">
        <v>2109</v>
      </c>
      <c r="C21" s="1957" t="s">
        <v>2114</v>
      </c>
      <c r="D21" s="1867">
        <v>1795</v>
      </c>
      <c r="E21" s="1562">
        <f t="shared" si="2"/>
        <v>1795</v>
      </c>
      <c r="F21" s="1815">
        <f t="shared" si="3"/>
        <v>1795</v>
      </c>
      <c r="G21" s="1816">
        <f t="shared" si="4"/>
        <v>0</v>
      </c>
    </row>
    <row r="22" spans="1:8" x14ac:dyDescent="0.25">
      <c r="A22" s="1955" t="s">
        <v>2108</v>
      </c>
      <c r="B22" s="1956" t="s">
        <v>2109</v>
      </c>
      <c r="C22" s="1957" t="s">
        <v>2115</v>
      </c>
      <c r="D22" s="1867">
        <v>3204</v>
      </c>
      <c r="E22" s="1562">
        <f t="shared" si="2"/>
        <v>3204</v>
      </c>
      <c r="F22" s="1815">
        <f t="shared" si="3"/>
        <v>3204</v>
      </c>
      <c r="G22" s="1816">
        <f t="shared" si="4"/>
        <v>0</v>
      </c>
    </row>
    <row r="23" spans="1:8" x14ac:dyDescent="0.25">
      <c r="A23" s="1955" t="s">
        <v>2108</v>
      </c>
      <c r="B23" s="1956" t="s">
        <v>2109</v>
      </c>
      <c r="C23" s="1957" t="s">
        <v>2116</v>
      </c>
      <c r="D23" s="1867">
        <v>8461</v>
      </c>
      <c r="E23" s="1562">
        <f t="shared" si="2"/>
        <v>8461</v>
      </c>
      <c r="F23" s="1815">
        <f t="shared" si="3"/>
        <v>8461</v>
      </c>
      <c r="G23" s="1816">
        <f t="shared" si="4"/>
        <v>0</v>
      </c>
    </row>
    <row r="24" spans="1:8" x14ac:dyDescent="0.25">
      <c r="A24" s="1955" t="s">
        <v>2117</v>
      </c>
      <c r="B24" s="1956" t="s">
        <v>2118</v>
      </c>
      <c r="C24" s="1957" t="s">
        <v>2113</v>
      </c>
      <c r="D24" s="1867">
        <f>160883-9848-5803-4153-2721-2007-1942-444-156</f>
        <v>133809</v>
      </c>
      <c r="E24" s="1562">
        <f t="shared" si="2"/>
        <v>25000</v>
      </c>
      <c r="F24" s="1815">
        <f t="shared" si="3"/>
        <v>25000</v>
      </c>
      <c r="G24" s="1816">
        <f t="shared" si="4"/>
        <v>108809</v>
      </c>
    </row>
    <row r="25" spans="1:8" x14ac:dyDescent="0.25">
      <c r="A25" s="1955" t="s">
        <v>2117</v>
      </c>
      <c r="B25" s="1956" t="s">
        <v>2118</v>
      </c>
      <c r="C25" s="1957" t="s">
        <v>2119</v>
      </c>
      <c r="D25" s="1867">
        <v>2080</v>
      </c>
      <c r="E25" s="1562">
        <f t="shared" si="2"/>
        <v>2080</v>
      </c>
      <c r="F25" s="1815">
        <f t="shared" si="3"/>
        <v>2080</v>
      </c>
      <c r="G25" s="1816">
        <f t="shared" si="4"/>
        <v>0</v>
      </c>
    </row>
    <row r="26" spans="1:8" x14ac:dyDescent="0.25">
      <c r="A26" s="1675"/>
      <c r="B26" s="1868"/>
      <c r="C26" s="1676"/>
      <c r="D26" s="1867"/>
      <c r="E26" s="1562">
        <f t="shared" si="2"/>
        <v>0</v>
      </c>
      <c r="F26" s="1815">
        <f t="shared" si="3"/>
        <v>0</v>
      </c>
      <c r="G26" s="1816">
        <f t="shared" si="4"/>
        <v>0</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172054</v>
      </c>
      <c r="E141" s="1563">
        <f t="shared" si="1"/>
        <v>25000</v>
      </c>
      <c r="F141" s="1817">
        <f>SUM(F17:F140)</f>
        <v>63245</v>
      </c>
      <c r="G141" s="1818">
        <f>SUM(G17:G140)</f>
        <v>108809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89570</v>
      </c>
      <c r="F10" s="975"/>
      <c r="G10" s="976"/>
      <c r="H10" s="162"/>
      <c r="I10" s="162"/>
    </row>
    <row r="11" spans="1:9" s="669" customFormat="1" ht="22.5" customHeight="1" x14ac:dyDescent="0.2">
      <c r="A11" s="2304" t="s">
        <v>1944</v>
      </c>
      <c r="B11" s="2305"/>
      <c r="C11" s="2305"/>
      <c r="D11" s="2306"/>
      <c r="E11" s="978">
        <v>16478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3857270</v>
      </c>
      <c r="F19" s="1822"/>
      <c r="G19" s="1824">
        <f>'Expenditures 15-22'!K33-SUM('Expenditures 15-22'!G33,'Expenditures 15-22'!I33)+'Expenditures 15-22'!D229</f>
        <v>3857270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346750</v>
      </c>
      <c r="F21" s="1825"/>
      <c r="G21" s="1828">
        <f>'Expenditures 15-22'!K42-SUM('Expenditures 15-22'!G42,'Expenditures 15-22'!I42)+'Expenditures 15-22'!K120-SUM('Expenditures 15-22'!G120,'Expenditures 15-22'!I120)+'Expenditures 15-22'!K180-SUM('Expenditures 15-22'!G180,'Expenditures 15-22'!I180)+'Expenditures 15-22'!D238</f>
        <v>346750</v>
      </c>
      <c r="H21" s="988"/>
      <c r="I21" s="162"/>
    </row>
    <row r="22" spans="1:9" s="669" customFormat="1" ht="12" customHeight="1" x14ac:dyDescent="0.2">
      <c r="A22" s="995" t="s">
        <v>585</v>
      </c>
      <c r="B22" s="996"/>
      <c r="C22" s="994">
        <v>2200</v>
      </c>
      <c r="D22" s="1825"/>
      <c r="E22" s="1827">
        <f>'Expenditures 15-22'!K47-SUM('Expenditures 15-22'!G47,'Expenditures 15-22'!I47)+'Expenditures 15-22'!D243</f>
        <v>260571</v>
      </c>
      <c r="F22" s="1825"/>
      <c r="G22" s="1828">
        <f>'Expenditures 15-22'!K47-SUM('Expenditures 15-22'!G47,'Expenditures 15-22'!I47)+'Expenditures 15-22'!D243</f>
        <v>260571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464679</v>
      </c>
      <c r="F23" s="1825"/>
      <c r="G23" s="1827">
        <f>'Expenditures 15-22'!K53-SUM('Expenditures 15-22'!G53,'Expenditures 15-22'!I53)+'Expenditures 15-22'!D257+'Expenditures 15-22'!K330-SUM('Expenditures 15-22'!G330,'Expenditures 15-22'!I330)</f>
        <v>464679</v>
      </c>
      <c r="H23" s="988"/>
      <c r="I23" s="162"/>
    </row>
    <row r="24" spans="1:9" s="669" customFormat="1" ht="12" customHeight="1" x14ac:dyDescent="0.2">
      <c r="A24" s="995" t="s">
        <v>587</v>
      </c>
      <c r="B24" s="996"/>
      <c r="C24" s="994">
        <v>2400</v>
      </c>
      <c r="D24" s="1825"/>
      <c r="E24" s="1827">
        <f>'Expenditures 15-22'!K57-SUM('Expenditures 15-22'!G57,'Expenditures 15-22'!I57)+'Expenditures 15-22'!D261</f>
        <v>198988</v>
      </c>
      <c r="F24" s="1825"/>
      <c r="G24" s="1828">
        <f>'Expenditures 15-22'!K57-SUM('Expenditures 15-22'!G57,'Expenditures 15-22'!I57)+'Expenditures 15-22'!D261</f>
        <v>198988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271</v>
      </c>
      <c r="E26" s="1827">
        <f>'Expenditures 15-22'!K122-SUM('Expenditures 15-22'!G122,'Expenditures 15-22'!I122)+E7</f>
        <v>22638</v>
      </c>
      <c r="F26" s="1827">
        <f>'Expenditures 15-22'!K59-SUM('Expenditures 15-22'!G59,'Expenditures 15-22'!I59)+'Expenditures 15-22'!D263-E7</f>
        <v>271</v>
      </c>
      <c r="G26" s="1828">
        <f>'Expenditures 15-22'!K122-SUM('Expenditures 15-22'!G122,'Expenditures 15-22'!I122)+E7</f>
        <v>22638</v>
      </c>
      <c r="H26" s="988"/>
      <c r="I26" s="162"/>
    </row>
    <row r="27" spans="1:9" s="669" customFormat="1" ht="12" customHeight="1" x14ac:dyDescent="0.2">
      <c r="A27" s="995" t="s">
        <v>483</v>
      </c>
      <c r="B27" s="998"/>
      <c r="C27" s="994">
        <v>2520</v>
      </c>
      <c r="D27" s="1827">
        <f>'Expenditures 15-22'!K60-SUM('Expenditures 15-22'!G60,'Expenditures 15-22'!I60)+'Expenditures 15-22'!D264-E8</f>
        <v>77023</v>
      </c>
      <c r="E27" s="1827">
        <f>E8</f>
        <v>0</v>
      </c>
      <c r="F27" s="1827">
        <f>'Expenditures 15-22'!K60-SUM('Expenditures 15-22'!G60,'Expenditures 15-22'!I60)+'Expenditures 15-22'!D264-E8</f>
        <v>77023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412124</v>
      </c>
      <c r="F28" s="1829">
        <f>'Expenditures 15-22'!K61-SUM('Expenditures 15-22'!G61,'Expenditures 15-22'!I61)+'Expenditures 15-22'!K124-SUM('Expenditures 15-22'!G124,'Expenditures 15-22'!I124)+'Expenditures 15-22'!D266-E9</f>
        <v>412124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1209288</v>
      </c>
      <c r="F29" s="1825"/>
      <c r="G29" s="1828">
        <f>'Expenditures 15-22'!K62-SUM('Expenditures 15-22'!G62,'Expenditures 15-22'!I62)+'Expenditures 15-22'!K125-SUM('Expenditures 15-22'!G125,'Expenditures 15-22'!I125)+'Expenditures 15-22'!K182-SUM('Expenditures 15-22'!G182,'Expenditures 15-22'!I182)+'Expenditures 15-22'!D267</f>
        <v>1209288</v>
      </c>
      <c r="H29" s="986"/>
    </row>
    <row r="30" spans="1:9" ht="12" customHeight="1" x14ac:dyDescent="0.2">
      <c r="A30" s="995" t="s">
        <v>102</v>
      </c>
      <c r="B30" s="998"/>
      <c r="C30" s="994">
        <v>2560</v>
      </c>
      <c r="D30" s="1825"/>
      <c r="E30" s="1827">
        <f>'Expenditures 15-22'!K63-SUM('Expenditures 15-22'!G63,'Expenditures 15-22'!I63)+'Expenditures 15-22'!D268-E10</f>
        <v>104653</v>
      </c>
      <c r="F30" s="1825"/>
      <c r="G30" s="1827">
        <f>'Expenditures 15-22'!K63-SUM('Expenditures 15-22'!G63,'Expenditures 15-22'!I63)+'Expenditures 15-22'!D268-E10</f>
        <v>104653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3391</v>
      </c>
      <c r="E36" s="1827">
        <f>E13</f>
        <v>0</v>
      </c>
      <c r="F36" s="1827">
        <f>'Expenditures 15-22'!K70-SUM('Expenditures 15-22'!G70,'Expenditures 15-22'!I70)+'Expenditures 15-22'!D275-E13</f>
        <v>3391</v>
      </c>
      <c r="G36" s="1827">
        <f>E13</f>
        <v>0</v>
      </c>
    </row>
    <row r="37" spans="1:7" ht="12" customHeight="1" x14ac:dyDescent="0.2">
      <c r="A37" s="995" t="s">
        <v>424</v>
      </c>
      <c r="B37" s="998"/>
      <c r="C37" s="994">
        <v>2660</v>
      </c>
      <c r="D37" s="1827">
        <f>'Expenditures 15-22'!K71-SUM('Expenditures 15-22'!G71,'Expenditures 15-22'!I71)+'Expenditures 15-22'!D276-E14</f>
        <v>460</v>
      </c>
      <c r="E37" s="1827">
        <f>E14</f>
        <v>0</v>
      </c>
      <c r="F37" s="1827">
        <f>'Expenditures 15-22'!K71-SUM('Expenditures 15-22'!G71,'Expenditures 15-22'!I71)+'Expenditures 15-22'!D276-E14</f>
        <v>460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92</v>
      </c>
      <c r="F38" s="1825"/>
      <c r="G38" s="1827">
        <f>'Expenditures 15-22'!K73-SUM('Expenditures 15-22'!G73,'Expenditures 15-22'!I73)+'Expenditures 15-22'!K128-SUM('Expenditures 15-22'!G128,'Expenditures 15-22'!I128)+'Expenditures 15-22'!K183-SUM('Expenditures 15-22'!G183,'Expenditures 15-22'!I183)+'Expenditures 15-22'!D278</f>
        <v>92</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-108809</v>
      </c>
      <c r="F40" s="1825"/>
      <c r="G40" s="1829">
        <f>-'Contracts Paid in CY 29'!G141</f>
        <v>-108809</v>
      </c>
    </row>
    <row r="41" spans="1:7" ht="12" customHeight="1" x14ac:dyDescent="0.2">
      <c r="A41" s="999" t="s">
        <v>158</v>
      </c>
      <c r="B41" s="1000"/>
      <c r="C41" s="1001"/>
      <c r="D41" s="1829">
        <f>SUM(D19:D39)</f>
        <v>81145</v>
      </c>
      <c r="E41" s="1829">
        <f>SUM(E19:E40)</f>
        <v>6768244</v>
      </c>
      <c r="F41" s="1829">
        <f>SUM(F19:F39)</f>
        <v>493269</v>
      </c>
      <c r="G41" s="1829">
        <f>SUM(G19:G40)</f>
        <v>6356120</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81145</v>
      </c>
      <c r="F43" s="1830" t="s">
        <v>495</v>
      </c>
      <c r="G43" s="1831">
        <f>F41</f>
        <v>493269</v>
      </c>
    </row>
    <row r="44" spans="1:7" ht="12" customHeight="1" x14ac:dyDescent="0.2">
      <c r="A44" s="988"/>
      <c r="B44" s="162"/>
      <c r="C44" s="1002"/>
      <c r="D44" s="1830" t="s">
        <v>494</v>
      </c>
      <c r="E44" s="1831">
        <f>E41</f>
        <v>6768244</v>
      </c>
      <c r="F44" s="1830" t="s">
        <v>494</v>
      </c>
      <c r="G44" s="1831">
        <f>G41</f>
        <v>6356120</v>
      </c>
    </row>
    <row r="45" spans="1:7" ht="12" customHeight="1" x14ac:dyDescent="0.2">
      <c r="A45" s="988"/>
      <c r="B45" s="162"/>
      <c r="C45" s="162"/>
      <c r="D45" s="1832" t="s">
        <v>1063</v>
      </c>
      <c r="E45" s="1833">
        <f>(E43/E44)</f>
        <v>1.1989077225939254E-2</v>
      </c>
      <c r="F45" s="1832" t="s">
        <v>1063</v>
      </c>
      <c r="G45" s="1833">
        <f>(G43/G44)</f>
        <v>7.7605363020207291E-2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42" sqref="A42:F42"/>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Saratoga Community Consolidated School District 60C</v>
      </c>
      <c r="D6" s="2314"/>
      <c r="E6" s="2314"/>
      <c r="F6" s="1876"/>
    </row>
    <row r="7" spans="1:10" ht="11.25" customHeight="1" thickBot="1" x14ac:dyDescent="0.3">
      <c r="A7" s="1874"/>
      <c r="B7" s="1875"/>
      <c r="C7" s="2315" t="str">
        <f>COVER!A13</f>
        <v>24-032-060C-04</v>
      </c>
      <c r="D7" s="2315"/>
      <c r="E7" s="2315"/>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2096</v>
      </c>
      <c r="D16" s="1889" t="s">
        <v>2096</v>
      </c>
      <c r="E16" s="1892"/>
      <c r="F16" s="1891" t="s">
        <v>2097</v>
      </c>
      <c r="H16" s="1902">
        <f t="shared" si="0"/>
        <v>5</v>
      </c>
      <c r="I16" s="1902">
        <f t="shared" si="1"/>
        <v>5</v>
      </c>
      <c r="J16" s="1902">
        <f t="shared" si="2"/>
        <v>0</v>
      </c>
    </row>
    <row r="17" spans="1:12" ht="12" customHeight="1" x14ac:dyDescent="0.2">
      <c r="A17" s="1887" t="s">
        <v>1456</v>
      </c>
      <c r="B17" s="1888"/>
      <c r="C17" s="1889"/>
      <c r="D17" s="1889" t="s">
        <v>2096</v>
      </c>
      <c r="E17" s="1892"/>
      <c r="F17" s="1891" t="s">
        <v>2097</v>
      </c>
      <c r="H17" s="1902">
        <f t="shared" si="0"/>
        <v>0</v>
      </c>
      <c r="I17" s="1902">
        <f t="shared" si="1"/>
        <v>5</v>
      </c>
      <c r="J17" s="1902">
        <f t="shared" si="2"/>
        <v>0</v>
      </c>
    </row>
    <row r="18" spans="1:12" ht="12" customHeight="1" x14ac:dyDescent="0.2">
      <c r="A18" s="1887" t="s">
        <v>1457</v>
      </c>
      <c r="B18" s="1888"/>
      <c r="C18" s="1889" t="s">
        <v>2096</v>
      </c>
      <c r="D18" s="1889" t="s">
        <v>2096</v>
      </c>
      <c r="E18" s="1892"/>
      <c r="F18" s="1891" t="s">
        <v>2098</v>
      </c>
      <c r="H18" s="1902">
        <f t="shared" si="0"/>
        <v>5</v>
      </c>
      <c r="I18" s="1902">
        <f t="shared" si="1"/>
        <v>5</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t="s">
        <v>2096</v>
      </c>
      <c r="D21" s="1889" t="s">
        <v>2096</v>
      </c>
      <c r="E21" s="1892"/>
      <c r="F21" s="1891" t="s">
        <v>2099</v>
      </c>
      <c r="H21" s="1902">
        <f t="shared" si="0"/>
        <v>5</v>
      </c>
      <c r="I21" s="1902">
        <f t="shared" si="1"/>
        <v>5</v>
      </c>
      <c r="J21" s="1902">
        <f t="shared" si="2"/>
        <v>0</v>
      </c>
    </row>
    <row r="22" spans="1:12" ht="12" customHeight="1" x14ac:dyDescent="0.2">
      <c r="A22" s="1887" t="s">
        <v>1611</v>
      </c>
      <c r="B22" s="1888"/>
      <c r="C22" s="1889" t="s">
        <v>2096</v>
      </c>
      <c r="D22" s="1889" t="s">
        <v>2096</v>
      </c>
      <c r="E22" s="1892"/>
      <c r="F22" s="1891" t="s">
        <v>2099</v>
      </c>
      <c r="H22" s="1902">
        <f t="shared" si="0"/>
        <v>5</v>
      </c>
      <c r="I22" s="1902">
        <f t="shared" si="1"/>
        <v>5</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2096</v>
      </c>
      <c r="D24" s="1889" t="s">
        <v>2096</v>
      </c>
      <c r="E24" s="1892"/>
      <c r="F24" s="1891" t="s">
        <v>2099</v>
      </c>
      <c r="H24" s="1902">
        <f t="shared" si="0"/>
        <v>5</v>
      </c>
      <c r="I24" s="1902">
        <f t="shared" si="1"/>
        <v>5</v>
      </c>
      <c r="J24" s="1902">
        <f t="shared" si="2"/>
        <v>0</v>
      </c>
    </row>
    <row r="25" spans="1:12" ht="12" customHeight="1" x14ac:dyDescent="0.2">
      <c r="A25" s="1887" t="s">
        <v>1614</v>
      </c>
      <c r="B25" s="1888"/>
      <c r="C25" s="1889" t="s">
        <v>2096</v>
      </c>
      <c r="D25" s="1889" t="s">
        <v>2096</v>
      </c>
      <c r="E25" s="1892"/>
      <c r="F25" s="1891" t="s">
        <v>2126</v>
      </c>
      <c r="H25" s="1902">
        <f t="shared" si="0"/>
        <v>5</v>
      </c>
      <c r="I25" s="1902">
        <f t="shared" si="1"/>
        <v>5</v>
      </c>
      <c r="J25" s="1902">
        <f t="shared" si="2"/>
        <v>0</v>
      </c>
    </row>
    <row r="26" spans="1:12" ht="12" customHeight="1" x14ac:dyDescent="0.2">
      <c r="A26" s="1887" t="s">
        <v>1615</v>
      </c>
      <c r="B26" s="1888"/>
      <c r="C26" s="1889" t="s">
        <v>2096</v>
      </c>
      <c r="D26" s="1889" t="s">
        <v>2096</v>
      </c>
      <c r="E26" s="1892"/>
      <c r="F26" s="1891" t="s">
        <v>2100</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2096</v>
      </c>
      <c r="D28" s="1889" t="s">
        <v>2096</v>
      </c>
      <c r="E28" s="1892"/>
      <c r="F28" s="1891" t="s">
        <v>2101</v>
      </c>
      <c r="H28" s="1902">
        <f t="shared" si="0"/>
        <v>5</v>
      </c>
      <c r="I28" s="1902">
        <f t="shared" si="1"/>
        <v>5</v>
      </c>
      <c r="J28" s="1902">
        <f t="shared" si="2"/>
        <v>0</v>
      </c>
    </row>
    <row r="29" spans="1:12" ht="12" customHeight="1" x14ac:dyDescent="0.2">
      <c r="A29" s="1887" t="s">
        <v>1618</v>
      </c>
      <c r="B29" s="1888"/>
      <c r="C29" s="1889" t="s">
        <v>2096</v>
      </c>
      <c r="D29" s="1889" t="s">
        <v>2096</v>
      </c>
      <c r="E29" s="1892"/>
      <c r="F29" s="1891" t="s">
        <v>2127</v>
      </c>
      <c r="H29" s="1902">
        <f t="shared" si="0"/>
        <v>5</v>
      </c>
      <c r="I29" s="1902">
        <f t="shared" si="1"/>
        <v>5</v>
      </c>
      <c r="J29" s="1902">
        <f t="shared" si="2"/>
        <v>0</v>
      </c>
    </row>
    <row r="30" spans="1:12" ht="12" customHeight="1" x14ac:dyDescent="0.2">
      <c r="A30" s="1887" t="s">
        <v>1619</v>
      </c>
      <c r="B30" s="1888"/>
      <c r="C30" s="1889" t="s">
        <v>2096</v>
      </c>
      <c r="D30" s="1889" t="s">
        <v>2096</v>
      </c>
      <c r="E30" s="1892"/>
      <c r="F30" s="1891" t="s">
        <v>2102</v>
      </c>
      <c r="H30" s="1902">
        <f t="shared" si="0"/>
        <v>5</v>
      </c>
      <c r="I30" s="1902">
        <f t="shared" si="1"/>
        <v>5</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50</v>
      </c>
      <c r="I34" s="1902">
        <f>SUM(I11:I32)</f>
        <v>55</v>
      </c>
      <c r="J34" s="1902">
        <f>SUM(J11:J32)</f>
        <v>0</v>
      </c>
      <c r="K34" s="1902">
        <f>SUM(H34:J34)</f>
        <v>105</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t="s">
        <v>2128</v>
      </c>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Saratoga Community Consolidated School District 60C</v>
      </c>
      <c r="J6" s="2335"/>
      <c r="Q6" s="1686"/>
    </row>
    <row r="7" spans="1:17" x14ac:dyDescent="0.2">
      <c r="A7" s="2336" t="s">
        <v>924</v>
      </c>
      <c r="B7" s="2337"/>
      <c r="C7" s="2337"/>
      <c r="D7" s="2337"/>
      <c r="E7" s="2338"/>
      <c r="F7" s="1018"/>
      <c r="G7" s="1010"/>
      <c r="H7" s="1017" t="s">
        <v>390</v>
      </c>
      <c r="I7" s="2339" t="str">
        <f>COVER!A13</f>
        <v>24-032-060C-04</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133789</v>
      </c>
      <c r="F12" s="1040"/>
      <c r="G12" s="1834">
        <f t="shared" ref="G12:G18" si="0">SUM(E12:F12)</f>
        <v>133789</v>
      </c>
      <c r="H12" s="1041">
        <v>133790</v>
      </c>
      <c r="I12" s="1040"/>
      <c r="J12" s="1834">
        <f t="shared" ref="J12:J18" si="1">SUM(H12:I12)</f>
        <v>133790</v>
      </c>
    </row>
    <row r="13" spans="1:17" ht="15" customHeight="1" x14ac:dyDescent="0.2">
      <c r="A13" s="1036">
        <v>2</v>
      </c>
      <c r="B13" s="1037" t="s">
        <v>44</v>
      </c>
      <c r="C13" s="1038"/>
      <c r="D13" s="1039">
        <v>2330</v>
      </c>
      <c r="E13" s="1834">
        <f>'Expenditures 15-22'!K51</f>
        <v>42109</v>
      </c>
      <c r="F13" s="1040"/>
      <c r="G13" s="1834">
        <f t="shared" si="0"/>
        <v>42109</v>
      </c>
      <c r="H13" s="1041">
        <v>43275</v>
      </c>
      <c r="I13" s="1040"/>
      <c r="J13" s="1834">
        <f t="shared" si="1"/>
        <v>43275</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22638</v>
      </c>
      <c r="G15" s="1834">
        <f t="shared" si="0"/>
        <v>22638</v>
      </c>
      <c r="H15" s="1041"/>
      <c r="I15" s="1041">
        <v>27530</v>
      </c>
      <c r="J15" s="1834">
        <f t="shared" si="1"/>
        <v>27530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v>13043</v>
      </c>
      <c r="F18" s="1044">
        <v>2397</v>
      </c>
      <c r="G18" s="1835">
        <f t="shared" si="0"/>
        <v>15440</v>
      </c>
      <c r="H18" s="1041">
        <v>13360</v>
      </c>
      <c r="I18" s="1041">
        <v>2925</v>
      </c>
      <c r="J18" s="1834">
        <f t="shared" si="1"/>
        <v>16285</v>
      </c>
    </row>
    <row r="19" spans="1:10" ht="12.75" customHeight="1" thickBot="1" x14ac:dyDescent="0.25">
      <c r="A19" s="1036">
        <v>8</v>
      </c>
      <c r="B19" s="1045" t="s">
        <v>1223</v>
      </c>
      <c r="D19" s="1046"/>
      <c r="E19" s="1836">
        <f t="shared" ref="E19:J19" si="2">SUM(E12:E17)-E18</f>
        <v>162855</v>
      </c>
      <c r="F19" s="1836">
        <f t="shared" si="2"/>
        <v>20241</v>
      </c>
      <c r="G19" s="1836">
        <f t="shared" si="2"/>
        <v>183096</v>
      </c>
      <c r="H19" s="1836">
        <f t="shared" si="2"/>
        <v>163705</v>
      </c>
      <c r="I19" s="1836">
        <f t="shared" si="2"/>
        <v>24605</v>
      </c>
      <c r="J19" s="1836">
        <f t="shared" si="2"/>
        <v>188310</v>
      </c>
    </row>
    <row r="20" spans="1:10" ht="13.5" thickTop="1" x14ac:dyDescent="0.2">
      <c r="A20" s="1036">
        <v>9</v>
      </c>
      <c r="B20" s="2346" t="s">
        <v>1703</v>
      </c>
      <c r="C20" s="2346"/>
      <c r="D20" s="2347"/>
      <c r="E20" s="1047"/>
      <c r="F20" s="1047"/>
      <c r="G20" s="1047"/>
      <c r="H20" s="1047"/>
      <c r="I20" s="1047"/>
      <c r="J20" s="1837">
        <f>IF(AND(G19&gt;0,J19&gt;0),(((J19-G19)/G19)),"Enter Budget Data")</f>
        <v>2.8476864595621969E-2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5" sqref="A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2120</v>
      </c>
    </row>
    <row r="6" spans="1:2" x14ac:dyDescent="0.2">
      <c r="A6" s="1069">
        <v>2</v>
      </c>
      <c r="B6" s="329" t="s">
        <v>2103</v>
      </c>
    </row>
    <row r="7" spans="1:2" x14ac:dyDescent="0.2">
      <c r="A7" s="1069">
        <v>3</v>
      </c>
      <c r="B7" s="329" t="s">
        <v>2121</v>
      </c>
    </row>
    <row r="8" spans="1:2" x14ac:dyDescent="0.2">
      <c r="A8" s="1069">
        <v>4</v>
      </c>
      <c r="B8" s="329" t="s">
        <v>2122</v>
      </c>
    </row>
    <row r="9" spans="1:2" x14ac:dyDescent="0.2">
      <c r="A9" s="1070"/>
      <c r="B9" s="329" t="s">
        <v>2123</v>
      </c>
    </row>
    <row r="10" spans="1:2" x14ac:dyDescent="0.2">
      <c r="A10" s="1069">
        <v>5</v>
      </c>
      <c r="B10" s="329" t="s">
        <v>2104</v>
      </c>
    </row>
    <row r="11" spans="1:2" x14ac:dyDescent="0.2">
      <c r="A11" s="1069">
        <v>6</v>
      </c>
      <c r="B11" s="329" t="s">
        <v>2105</v>
      </c>
    </row>
    <row r="12" spans="1:2" x14ac:dyDescent="0.2">
      <c r="A12" s="1069">
        <v>7</v>
      </c>
      <c r="B12" s="329" t="s">
        <v>2106</v>
      </c>
    </row>
    <row r="13" spans="1:2" x14ac:dyDescent="0.2">
      <c r="A13" s="1069">
        <v>8</v>
      </c>
      <c r="B13" s="329" t="s">
        <v>2124</v>
      </c>
    </row>
    <row r="14" spans="1:2" x14ac:dyDescent="0.2">
      <c r="A14" s="1069">
        <v>9</v>
      </c>
      <c r="B14" s="329" t="s">
        <v>2125</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Saratoga Community Consolidated School District 60C</v>
      </c>
    </row>
    <row r="65" spans="2:2" x14ac:dyDescent="0.2">
      <c r="B65" s="1071" t="str">
        <f>COVER!A13</f>
        <v>24-032-060C-04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9" sqref="B2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8</xdr:row>
                <xdr:rowOff>0</xdr:rowOff>
              </from>
              <to>
                <xdr:col>1</xdr:col>
                <xdr:colOff>790575</xdr:colOff>
                <xdr:row>12</xdr:row>
                <xdr:rowOff>38100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5643089</v>
      </c>
      <c r="C8" s="1838">
        <f>'Acct Summary 7-8'!D8</f>
        <v>523963</v>
      </c>
      <c r="D8" s="1838">
        <f>'Acct Summary 7-8'!F8</f>
        <v>1460236</v>
      </c>
      <c r="E8" s="1838">
        <f>'Acct Summary 7-8'!I8</f>
        <v>103198</v>
      </c>
      <c r="F8" s="1838">
        <f>SUM(B8:E8)</f>
        <v>7730486</v>
      </c>
    </row>
    <row r="9" spans="1:8" s="1080" customFormat="1" ht="14.25" customHeight="1" thickBot="1" x14ac:dyDescent="0.25">
      <c r="A9" s="1079" t="s">
        <v>1436</v>
      </c>
      <c r="B9" s="1839">
        <f>'Acct Summary 7-8'!C17</f>
        <v>5586241</v>
      </c>
      <c r="C9" s="1839">
        <f>'Acct Summary 7-8'!D17</f>
        <v>459712</v>
      </c>
      <c r="D9" s="1839">
        <f>'Acct Summary 7-8'!F17</f>
        <v>1372919</v>
      </c>
      <c r="E9" s="1838"/>
      <c r="F9" s="1838">
        <f>SUM(B9:E9)</f>
        <v>7418872</v>
      </c>
    </row>
    <row r="10" spans="1:8" s="1080" customFormat="1" ht="14.25" thickTop="1" thickBot="1" x14ac:dyDescent="0.25">
      <c r="A10" s="1081" t="s">
        <v>1437</v>
      </c>
      <c r="B10" s="1840">
        <f>(B8-B9)</f>
        <v>56848</v>
      </c>
      <c r="C10" s="1840">
        <f>(C8-C9)</f>
        <v>64251</v>
      </c>
      <c r="D10" s="1840">
        <f>(D8-D9)</f>
        <v>87317</v>
      </c>
      <c r="E10" s="1839">
        <f>(E8-E9)</f>
        <v>103198</v>
      </c>
      <c r="F10" s="1841">
        <f>SUM(F8-F9)</f>
        <v>311614</v>
      </c>
    </row>
    <row r="11" spans="1:8" s="1080" customFormat="1" ht="14.25" thickTop="1" thickBot="1" x14ac:dyDescent="0.25">
      <c r="A11" s="1082" t="s">
        <v>1785</v>
      </c>
      <c r="B11" s="1842">
        <f>'Acct Summary 7-8'!C81</f>
        <v>2500307</v>
      </c>
      <c r="C11" s="1842">
        <f>'Acct Summary 7-8'!D81</f>
        <v>692568</v>
      </c>
      <c r="D11" s="1842">
        <f>'Acct Summary 7-8'!F81</f>
        <v>721240</v>
      </c>
      <c r="E11" s="1842">
        <f>'Acct Summary 7-8'!I81</f>
        <v>525834</v>
      </c>
      <c r="F11" s="1843">
        <f>SUM(B11:E11)</f>
        <v>4439949</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9" colorId="8" zoomScale="110" zoomScaleNormal="110" workbookViewId="0">
      <selection activeCell="D62" sqref="D6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24-032-060C-04</v>
      </c>
    </row>
    <row r="3" spans="1:2" x14ac:dyDescent="0.2">
      <c r="A3" t="s">
        <v>1013</v>
      </c>
      <c r="B3" s="138" t="str">
        <f>COVER!A15</f>
        <v>Grundy</v>
      </c>
    </row>
    <row r="4" spans="1:2" x14ac:dyDescent="0.2">
      <c r="A4" t="s">
        <v>1064</v>
      </c>
      <c r="B4" s="138" t="str">
        <f>COVER!A17</f>
        <v>Saratoga Community Consolidated School District 60C</v>
      </c>
    </row>
    <row r="5" spans="1:2" x14ac:dyDescent="0.2">
      <c r="A5" t="s">
        <v>728</v>
      </c>
      <c r="B5" s="138" t="str">
        <f>COVER!A38</f>
        <v>Kathy Perry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Tawyna Mack, CPA</v>
      </c>
    </row>
    <row r="18" spans="1:2" x14ac:dyDescent="0.2">
      <c r="A18" t="s">
        <v>1212</v>
      </c>
      <c r="B18" s="138" t="str">
        <f>COVER!T17</f>
        <v>116 E. Washington St.,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1954040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2500307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2049512</v>
      </c>
      <c r="D92" s="2" t="str">
        <f t="shared" si="0"/>
        <v>Error?</v>
      </c>
    </row>
    <row r="93" spans="1:4" x14ac:dyDescent="0.2">
      <c r="A93" s="5">
        <v>32</v>
      </c>
      <c r="B93" s="138">
        <f>'Assets-Liab 5-6'!C41</f>
        <v>2500307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380106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692568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692568</v>
      </c>
      <c r="D123" s="2" t="str">
        <f t="shared" si="0"/>
        <v>Error?</v>
      </c>
    </row>
    <row r="124" spans="1:4" x14ac:dyDescent="0.2">
      <c r="A124" s="5">
        <v>63</v>
      </c>
      <c r="B124" s="138">
        <f>'Assets-Liab 5-6'!D41</f>
        <v>692568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266178</v>
      </c>
      <c r="D129" s="2" t="str">
        <f t="shared" si="1"/>
        <v>Error?</v>
      </c>
    </row>
    <row r="130" spans="1:4" x14ac:dyDescent="0.2">
      <c r="A130" s="5">
        <v>69</v>
      </c>
      <c r="B130" s="138">
        <f>'Assets-Liab 5-6'!E12</f>
        <v>0</v>
      </c>
      <c r="D130" s="2" t="str">
        <f t="shared" si="1"/>
        <v>Error?</v>
      </c>
    </row>
    <row r="131" spans="1:4" x14ac:dyDescent="0.2">
      <c r="A131" s="5">
        <v>70</v>
      </c>
      <c r="B131" s="138">
        <f>'Assets-Liab 5-6'!E13</f>
        <v>633175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633175</v>
      </c>
      <c r="D140" s="2" t="str">
        <f t="shared" si="1"/>
        <v>Error?</v>
      </c>
    </row>
    <row r="141" spans="1:4" x14ac:dyDescent="0.2">
      <c r="A141" s="5">
        <v>80</v>
      </c>
      <c r="B141" s="138">
        <f>'Assets-Liab 5-6'!E41</f>
        <v>633175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224276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721240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721240</v>
      </c>
      <c r="D170" s="2" t="str">
        <f t="shared" si="1"/>
        <v>Error?</v>
      </c>
    </row>
    <row r="171" spans="1:4" x14ac:dyDescent="0.2">
      <c r="A171" s="5">
        <v>110</v>
      </c>
      <c r="B171" s="138">
        <f>'Assets-Liab 5-6'!F41</f>
        <v>721240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115074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201433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146002</v>
      </c>
      <c r="D189" s="2" t="str">
        <f t="shared" si="1"/>
        <v>Error?</v>
      </c>
    </row>
    <row r="190" spans="1:4" x14ac:dyDescent="0.2">
      <c r="A190" s="5">
        <v>129</v>
      </c>
      <c r="B190" s="138">
        <f>'Assets-Liab 5-6'!G41</f>
        <v>201433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58918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469469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469469</v>
      </c>
      <c r="D212" s="2" t="str">
        <f t="shared" si="2"/>
        <v>Error?</v>
      </c>
    </row>
    <row r="213" spans="1:4" x14ac:dyDescent="0.2">
      <c r="A213" s="12">
        <v>152</v>
      </c>
      <c r="B213" s="138">
        <f>'Assets-Liab 5-6'!H41</f>
        <v>469469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510156</v>
      </c>
      <c r="D273" s="2" t="str">
        <f t="shared" si="3"/>
        <v>Error?</v>
      </c>
    </row>
    <row r="274" spans="1:4" x14ac:dyDescent="0.2">
      <c r="A274" s="5">
        <v>213</v>
      </c>
      <c r="B274" s="138">
        <f>'Assets-Liab 5-6'!M17</f>
        <v>13342973</v>
      </c>
      <c r="D274" s="2" t="str">
        <f t="shared" si="3"/>
        <v>Error?</v>
      </c>
    </row>
    <row r="275" spans="1:4" x14ac:dyDescent="0.2">
      <c r="A275" s="5">
        <v>214</v>
      </c>
      <c r="B275" s="138">
        <f>'Assets-Liab 5-6'!M18</f>
        <v>58171</v>
      </c>
      <c r="D275" s="2" t="str">
        <f t="shared" si="3"/>
        <v>Error?</v>
      </c>
    </row>
    <row r="276" spans="1:4" x14ac:dyDescent="0.2">
      <c r="A276" s="5">
        <v>215</v>
      </c>
      <c r="B276" s="138">
        <f>'Assets-Liab 5-6'!M19</f>
        <v>176723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14088023</v>
      </c>
      <c r="C279" s="2" t="s">
        <v>594</v>
      </c>
      <c r="D279" s="2" t="str">
        <f t="shared" si="3"/>
        <v>Error?</v>
      </c>
    </row>
    <row r="280" spans="1:4" x14ac:dyDescent="0.2">
      <c r="A280" s="5">
        <v>219</v>
      </c>
      <c r="B280" s="138">
        <f>'Assets-Liab 5-6'!M40</f>
        <v>14088023</v>
      </c>
      <c r="D280" s="2" t="str">
        <f t="shared" si="3"/>
        <v>Error?</v>
      </c>
    </row>
    <row r="281" spans="1:4" x14ac:dyDescent="0.2">
      <c r="A281" s="5">
        <v>220</v>
      </c>
      <c r="B281" s="138">
        <f>'Assets-Liab 5-6'!M41</f>
        <v>14088023</v>
      </c>
      <c r="C281" s="2" t="s">
        <v>594</v>
      </c>
      <c r="D281" s="2" t="str">
        <f t="shared" si="3"/>
        <v>Error?</v>
      </c>
    </row>
    <row r="282" spans="1:4" x14ac:dyDescent="0.2">
      <c r="A282" s="5">
        <v>221</v>
      </c>
      <c r="B282" s="138">
        <f>'Assets-Liab 5-6'!N21</f>
        <v>633175</v>
      </c>
      <c r="D282" s="2" t="str">
        <f t="shared" si="3"/>
        <v>Error?</v>
      </c>
    </row>
    <row r="283" spans="1:4" x14ac:dyDescent="0.2">
      <c r="A283" s="5">
        <v>222</v>
      </c>
      <c r="B283" s="138">
        <f>'Assets-Liab 5-6'!N22</f>
        <v>6781825</v>
      </c>
      <c r="D283" s="2" t="str">
        <f t="shared" si="3"/>
        <v>Error?</v>
      </c>
    </row>
    <row r="284" spans="1:4" x14ac:dyDescent="0.2">
      <c r="A284" s="5">
        <v>223</v>
      </c>
      <c r="B284" s="138">
        <f>'Assets-Liab 5-6'!N23</f>
        <v>7415000</v>
      </c>
      <c r="C284" s="2" t="s">
        <v>594</v>
      </c>
      <c r="D284" s="2" t="str">
        <f t="shared" si="3"/>
        <v>Error?</v>
      </c>
    </row>
    <row r="285" spans="1:4" x14ac:dyDescent="0.2">
      <c r="A285" s="5">
        <v>224</v>
      </c>
      <c r="B285" s="138">
        <f>'Assets-Liab 5-6'!N36</f>
        <v>7415000</v>
      </c>
      <c r="D285" s="2" t="str">
        <f t="shared" si="3"/>
        <v>Error?</v>
      </c>
    </row>
    <row r="286" spans="1:4" x14ac:dyDescent="0.2">
      <c r="A286" s="10">
        <v>225</v>
      </c>
      <c r="D286" s="2" t="str">
        <f t="shared" si="3"/>
        <v>OK</v>
      </c>
    </row>
    <row r="287" spans="1:4" x14ac:dyDescent="0.2">
      <c r="A287" s="5">
        <v>226</v>
      </c>
      <c r="B287" s="138">
        <f>'Assets-Liab 5-6'!N37</f>
        <v>7415000</v>
      </c>
      <c r="C287" s="2" t="s">
        <v>594</v>
      </c>
      <c r="D287" s="2" t="str">
        <f t="shared" si="3"/>
        <v>Error?</v>
      </c>
    </row>
    <row r="288" spans="1:4" x14ac:dyDescent="0.2">
      <c r="A288" s="5">
        <v>227</v>
      </c>
      <c r="B288" s="138">
        <f>'Assets-Liab 5-6'!N41</f>
        <v>7415000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2142204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49379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82259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2902423</v>
      </c>
      <c r="C720" s="2" t="s">
        <v>594</v>
      </c>
      <c r="D720" s="2" t="str">
        <f t="shared" si="10"/>
        <v>Error?</v>
      </c>
    </row>
    <row r="721" spans="1:4" x14ac:dyDescent="0.2">
      <c r="A721" s="5">
        <v>660</v>
      </c>
      <c r="B721" s="138">
        <f>'Expenditures 15-22'!C36</f>
        <v>106729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52895</v>
      </c>
      <c r="D723" s="2" t="str">
        <f t="shared" si="10"/>
        <v>Error?</v>
      </c>
    </row>
    <row r="724" spans="1:4" x14ac:dyDescent="0.2">
      <c r="A724" s="5">
        <v>663</v>
      </c>
      <c r="B724" s="138">
        <f>'Expenditures 15-22'!C39</f>
        <v>34291</v>
      </c>
      <c r="D724" s="2" t="str">
        <f t="shared" si="10"/>
        <v>Error?</v>
      </c>
    </row>
    <row r="725" spans="1:4" x14ac:dyDescent="0.2">
      <c r="A725" s="5">
        <v>664</v>
      </c>
      <c r="B725" s="138">
        <f>'Expenditures 15-22'!C40</f>
        <v>79764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273679</v>
      </c>
      <c r="C727" s="2" t="s">
        <v>594</v>
      </c>
      <c r="D727" s="2" t="str">
        <f t="shared" si="10"/>
        <v>Error?</v>
      </c>
    </row>
    <row r="728" spans="1:4" x14ac:dyDescent="0.2">
      <c r="A728" s="5">
        <v>667</v>
      </c>
      <c r="B728" s="138">
        <f>'Expenditures 15-22'!C44</f>
        <v>30266</v>
      </c>
      <c r="D728" s="2" t="str">
        <f t="shared" si="10"/>
        <v>Error?</v>
      </c>
    </row>
    <row r="729" spans="1:4" x14ac:dyDescent="0.2">
      <c r="A729" s="5">
        <v>668</v>
      </c>
      <c r="B729" s="138">
        <f>'Expenditures 15-22'!C45</f>
        <v>140568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170834</v>
      </c>
      <c r="C731" s="2" t="s">
        <v>594</v>
      </c>
      <c r="D731" s="2" t="str">
        <f t="shared" si="10"/>
        <v>Error?</v>
      </c>
    </row>
    <row r="732" spans="1:4" x14ac:dyDescent="0.2">
      <c r="A732" s="5">
        <v>671</v>
      </c>
      <c r="B732" s="138">
        <f>'Expenditures 15-22'!C49</f>
        <v>3294</v>
      </c>
      <c r="D732" s="2" t="str">
        <f t="shared" si="10"/>
        <v>Error?</v>
      </c>
    </row>
    <row r="733" spans="1:4" x14ac:dyDescent="0.2">
      <c r="A733" s="5">
        <v>672</v>
      </c>
      <c r="B733" s="138">
        <f>'Expenditures 15-22'!C50</f>
        <v>113568</v>
      </c>
      <c r="D733" s="2" t="str">
        <f t="shared" si="10"/>
        <v>Error?</v>
      </c>
    </row>
    <row r="734" spans="1:4" x14ac:dyDescent="0.2">
      <c r="A734" s="5">
        <v>673</v>
      </c>
      <c r="B734" s="138">
        <f>'Expenditures 15-22'!C53</f>
        <v>151153</v>
      </c>
      <c r="C734" s="2" t="s">
        <v>594</v>
      </c>
      <c r="D734" s="2" t="str">
        <f t="shared" si="10"/>
        <v>Error?</v>
      </c>
    </row>
    <row r="735" spans="1:4" x14ac:dyDescent="0.2">
      <c r="A735" s="5">
        <v>674</v>
      </c>
      <c r="B735" s="138">
        <f>'Expenditures 15-22'!C55</f>
        <v>168685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168685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57096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51667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108763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873114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3775537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451017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4744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6507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543732</v>
      </c>
      <c r="C778" s="2" t="s">
        <v>594</v>
      </c>
      <c r="D778" s="2" t="str">
        <f t="shared" si="11"/>
        <v>Error?</v>
      </c>
    </row>
    <row r="779" spans="1:4" x14ac:dyDescent="0.2">
      <c r="A779" s="5">
        <v>718</v>
      </c>
      <c r="B779" s="138">
        <f>'Expenditures 15-22'!D36</f>
        <v>13235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7245</v>
      </c>
      <c r="D782" s="2" t="str">
        <f t="shared" si="11"/>
        <v>Error?</v>
      </c>
    </row>
    <row r="783" spans="1:4" x14ac:dyDescent="0.2">
      <c r="A783" s="5">
        <v>722</v>
      </c>
      <c r="B783" s="138">
        <f>'Expenditures 15-22'!D40</f>
        <v>21949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42429</v>
      </c>
      <c r="C785" s="2" t="s">
        <v>594</v>
      </c>
      <c r="D785" s="2" t="str">
        <f t="shared" si="11"/>
        <v>Error?</v>
      </c>
    </row>
    <row r="786" spans="1:4" x14ac:dyDescent="0.2">
      <c r="A786" s="5">
        <v>725</v>
      </c>
      <c r="B786" s="138">
        <f>'Expenditures 15-22'!D44</f>
        <v>7054</v>
      </c>
      <c r="D786" s="2" t="str">
        <f t="shared" si="11"/>
        <v>Error?</v>
      </c>
    </row>
    <row r="787" spans="1:4" x14ac:dyDescent="0.2">
      <c r="A787" s="5">
        <v>726</v>
      </c>
      <c r="B787" s="138">
        <f>'Expenditures 15-22'!D45</f>
        <v>21678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28732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17278</v>
      </c>
      <c r="D791" s="2" t="str">
        <f t="shared" si="11"/>
        <v>Error?</v>
      </c>
    </row>
    <row r="792" spans="1:4" x14ac:dyDescent="0.2">
      <c r="A792" s="5">
        <v>731</v>
      </c>
      <c r="B792" s="138">
        <f>'Expenditures 15-22'!D53</f>
        <v>24593</v>
      </c>
      <c r="C792" s="2" t="s">
        <v>594</v>
      </c>
      <c r="D792" s="2" t="str">
        <f t="shared" si="11"/>
        <v>Error?</v>
      </c>
    </row>
    <row r="793" spans="1:4" x14ac:dyDescent="0.2">
      <c r="A793" s="5">
        <v>732</v>
      </c>
      <c r="B793" s="138">
        <f>'Expenditures 15-22'!D55</f>
        <v>15886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15886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5509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5509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117149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660881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29196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35258</v>
      </c>
      <c r="C836" s="2" t="s">
        <v>594</v>
      </c>
      <c r="D836" s="2" t="str">
        <f t="shared" si="12"/>
        <v>Error?</v>
      </c>
    </row>
    <row r="837" spans="1:4" x14ac:dyDescent="0.2">
      <c r="A837" s="5">
        <v>776</v>
      </c>
      <c r="B837" s="138">
        <f>'Expenditures 15-22'!E36</f>
        <v>7837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1257</v>
      </c>
      <c r="D839" s="2" t="str">
        <f t="shared" si="12"/>
        <v>Error?</v>
      </c>
    </row>
    <row r="840" spans="1:4" x14ac:dyDescent="0.2">
      <c r="A840" s="5">
        <v>779</v>
      </c>
      <c r="B840" s="138">
        <f>'Expenditures 15-22'!E39</f>
        <v>1081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10175</v>
      </c>
      <c r="C843" s="2" t="s">
        <v>594</v>
      </c>
      <c r="D843" s="2" t="str">
        <f t="shared" si="12"/>
        <v>Error?</v>
      </c>
    </row>
    <row r="844" spans="1:4" x14ac:dyDescent="0.2">
      <c r="A844" s="5">
        <v>783</v>
      </c>
      <c r="B844" s="138">
        <f>'Expenditures 15-22'!E44</f>
        <v>22614</v>
      </c>
      <c r="D844" s="2" t="str">
        <f t="shared" si="12"/>
        <v>Error?</v>
      </c>
    </row>
    <row r="845" spans="1:4" x14ac:dyDescent="0.2">
      <c r="A845" s="5">
        <v>784</v>
      </c>
      <c r="B845" s="138">
        <f>'Expenditures 15-22'!E45</f>
        <v>15592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38206</v>
      </c>
      <c r="C847" s="2" t="s">
        <v>594</v>
      </c>
      <c r="D847" s="2" t="str">
        <f t="shared" si="12"/>
        <v>Error?</v>
      </c>
    </row>
    <row r="848" spans="1:4" x14ac:dyDescent="0.2">
      <c r="A848" s="5">
        <v>787</v>
      </c>
      <c r="B848" s="138">
        <f>'Expenditures 15-22'!E49</f>
        <v>22362</v>
      </c>
      <c r="D848" s="2" t="str">
        <f t="shared" si="12"/>
        <v>Error?</v>
      </c>
    </row>
    <row r="849" spans="1:4" x14ac:dyDescent="0.2">
      <c r="A849" s="5">
        <v>788</v>
      </c>
      <c r="B849" s="138">
        <f>'Expenditures 15-22'!E50</f>
        <v>143</v>
      </c>
      <c r="D849" s="2" t="str">
        <f t="shared" si="12"/>
        <v>Error?</v>
      </c>
    </row>
    <row r="850" spans="1:4" x14ac:dyDescent="0.2">
      <c r="A850" s="5">
        <v>789</v>
      </c>
      <c r="B850" s="138">
        <f>'Expenditures 15-22'!E53</f>
        <v>22505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119411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119411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460</v>
      </c>
      <c r="D867" s="2" t="str">
        <f t="shared" si="12"/>
        <v>Error?</v>
      </c>
    </row>
    <row r="868" spans="1:4" x14ac:dyDescent="0.2">
      <c r="A868" s="10">
        <v>807</v>
      </c>
      <c r="D868" s="2" t="str">
        <f t="shared" si="12"/>
        <v>OK</v>
      </c>
    </row>
    <row r="869" spans="1:4" x14ac:dyDescent="0.2">
      <c r="A869" s="5">
        <v>808</v>
      </c>
      <c r="B869" s="138">
        <f>'Expenditures 15-22'!E72</f>
        <v>460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190757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226015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133145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6154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157376</v>
      </c>
      <c r="C894" s="2" t="s">
        <v>594</v>
      </c>
      <c r="D894" s="2" t="str">
        <f t="shared" si="12"/>
        <v>Error?</v>
      </c>
    </row>
    <row r="895" spans="1:4" x14ac:dyDescent="0.2">
      <c r="A895" s="5">
        <v>834</v>
      </c>
      <c r="B895" s="138">
        <f>'Expenditures 15-22'!F36</f>
        <v>4663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744</v>
      </c>
      <c r="D897" s="2" t="str">
        <f t="shared" si="13"/>
        <v>Error?</v>
      </c>
    </row>
    <row r="898" spans="1:4" x14ac:dyDescent="0.2">
      <c r="A898" s="5">
        <v>837</v>
      </c>
      <c r="B898" s="138">
        <f>'Expenditures 15-22'!F39</f>
        <v>666</v>
      </c>
      <c r="D898" s="2" t="str">
        <f t="shared" si="13"/>
        <v>Error?</v>
      </c>
    </row>
    <row r="899" spans="1:4" x14ac:dyDescent="0.2">
      <c r="A899" s="5">
        <v>838</v>
      </c>
      <c r="B899" s="138">
        <f>'Expenditures 15-22'!F40</f>
        <v>1880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7953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13844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13844</v>
      </c>
      <c r="C905" s="2" t="s">
        <v>594</v>
      </c>
      <c r="D905" s="2" t="str">
        <f t="shared" si="13"/>
        <v>Error?</v>
      </c>
    </row>
    <row r="906" spans="1:4" x14ac:dyDescent="0.2">
      <c r="A906" s="5">
        <v>845</v>
      </c>
      <c r="B906" s="138">
        <f>'Expenditures 15-22'!F49</f>
        <v>9979</v>
      </c>
      <c r="D906" s="2" t="str">
        <f t="shared" si="13"/>
        <v>Error?</v>
      </c>
    </row>
    <row r="907" spans="1:4" x14ac:dyDescent="0.2">
      <c r="A907" s="5">
        <v>846</v>
      </c>
      <c r="B907" s="138">
        <f>'Expenditures 15-22'!F50</f>
        <v>357</v>
      </c>
      <c r="D907" s="2" t="str">
        <f t="shared" si="13"/>
        <v>Error?</v>
      </c>
    </row>
    <row r="908" spans="1:4" x14ac:dyDescent="0.2">
      <c r="A908" s="5">
        <v>847</v>
      </c>
      <c r="B908" s="138">
        <f>'Expenditures 15-22'!F53</f>
        <v>10839</v>
      </c>
      <c r="C908" s="2" t="s">
        <v>594</v>
      </c>
      <c r="D908" s="2" t="str">
        <f t="shared" si="13"/>
        <v>Error?</v>
      </c>
    </row>
    <row r="909" spans="1:4" x14ac:dyDescent="0.2">
      <c r="A909" s="5">
        <v>848</v>
      </c>
      <c r="B909" s="138">
        <f>'Expenditures 15-22'!F55</f>
        <v>376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4622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17980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22602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3391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3391</v>
      </c>
      <c r="C927" s="2" t="s">
        <v>594</v>
      </c>
      <c r="D927" s="2" t="str">
        <f t="shared" si="13"/>
        <v>Error?</v>
      </c>
    </row>
    <row r="928" spans="1:4" x14ac:dyDescent="0.2">
      <c r="A928" s="5">
        <v>867</v>
      </c>
      <c r="B928" s="138">
        <f>'Expenditures 15-22'!F73</f>
        <v>92</v>
      </c>
      <c r="D928" s="2" t="str">
        <f t="shared" si="13"/>
        <v>Error?</v>
      </c>
    </row>
    <row r="929" spans="1:4" x14ac:dyDescent="0.2">
      <c r="A929" s="5">
        <v>868</v>
      </c>
      <c r="B929" s="138">
        <f>'Expenditures 15-22'!F74</f>
        <v>59097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216473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54419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54419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54419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54419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558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4308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143203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335</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335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4133</v>
      </c>
      <c r="D1022" s="2" t="str">
        <f t="shared" si="14"/>
        <v>Error?</v>
      </c>
    </row>
    <row r="1023" spans="1:4" x14ac:dyDescent="0.2">
      <c r="A1023" s="5">
        <v>962</v>
      </c>
      <c r="B1023" s="138">
        <f>'Expenditures 15-22'!H50</f>
        <v>2443</v>
      </c>
      <c r="D1023" s="2" t="str">
        <f t="shared" ref="D1023:D1086" si="15">IF(ISBLANK(B1023),"OK",IF(A1023-B1023=0,"OK","Error?"))</f>
        <v>Error?</v>
      </c>
    </row>
    <row r="1024" spans="1:4" x14ac:dyDescent="0.2">
      <c r="A1024" s="5">
        <v>963</v>
      </c>
      <c r="B1024" s="138">
        <f>'Expenditures 15-22'!H53</f>
        <v>6576</v>
      </c>
      <c r="C1024" s="2" t="s">
        <v>594</v>
      </c>
      <c r="D1024" s="2" t="str">
        <f t="shared" si="15"/>
        <v>Error?</v>
      </c>
    </row>
    <row r="1025" spans="1:4" x14ac:dyDescent="0.2">
      <c r="A1025" s="5">
        <v>964</v>
      </c>
      <c r="B1025" s="138">
        <f>'Expenditures 15-22'!H55</f>
        <v>754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754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7665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403953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554821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2756120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54173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99777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3783285</v>
      </c>
      <c r="C1108" s="2" t="s">
        <v>594</v>
      </c>
      <c r="D1108" s="2" t="str">
        <f t="shared" si="16"/>
        <v>Error?</v>
      </c>
    </row>
    <row r="1109" spans="1:4" x14ac:dyDescent="0.2">
      <c r="A1109" s="5">
        <v>1048</v>
      </c>
      <c r="B1109" s="138">
        <f>'Expenditures 15-22'!K36</f>
        <v>132464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54896</v>
      </c>
      <c r="C1111" s="2" t="s">
        <v>594</v>
      </c>
      <c r="D1111" s="2" t="str">
        <f t="shared" si="16"/>
        <v>Error?</v>
      </c>
    </row>
    <row r="1112" spans="1:4" x14ac:dyDescent="0.2">
      <c r="A1112" s="5">
        <v>1051</v>
      </c>
      <c r="B1112" s="138">
        <f>'Expenditures 15-22'!K39</f>
        <v>43618</v>
      </c>
      <c r="C1112" s="2" t="s">
        <v>594</v>
      </c>
      <c r="D1112" s="2" t="str">
        <f t="shared" si="16"/>
        <v>Error?</v>
      </c>
    </row>
    <row r="1113" spans="1:4" x14ac:dyDescent="0.2">
      <c r="A1113" s="5">
        <v>1052</v>
      </c>
      <c r="B1113" s="138">
        <f>'Expenditures 15-22'!K40</f>
        <v>103593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334571</v>
      </c>
      <c r="C1115" s="2" t="s">
        <v>594</v>
      </c>
      <c r="D1115" s="2" t="str">
        <f t="shared" si="16"/>
        <v>Error?</v>
      </c>
    </row>
    <row r="1116" spans="1:4" x14ac:dyDescent="0.2">
      <c r="A1116" s="5">
        <v>1055</v>
      </c>
      <c r="B1116" s="138">
        <f>'Expenditures 15-22'!K44</f>
        <v>59934</v>
      </c>
      <c r="C1116" s="2" t="s">
        <v>594</v>
      </c>
      <c r="D1116" s="2" t="str">
        <f t="shared" si="16"/>
        <v>Error?</v>
      </c>
    </row>
    <row r="1117" spans="1:4" x14ac:dyDescent="0.2">
      <c r="A1117" s="5">
        <v>1056</v>
      </c>
      <c r="B1117" s="138">
        <f>'Expenditures 15-22'!K45</f>
        <v>342903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402837</v>
      </c>
      <c r="C1119" s="2" t="s">
        <v>594</v>
      </c>
      <c r="D1119" s="2" t="str">
        <f t="shared" si="16"/>
        <v>Error?</v>
      </c>
    </row>
    <row r="1120" spans="1:4" x14ac:dyDescent="0.2">
      <c r="A1120" s="5">
        <v>1059</v>
      </c>
      <c r="B1120" s="138">
        <f>'Expenditures 15-22'!K49</f>
        <v>39768</v>
      </c>
      <c r="C1120" s="2" t="s">
        <v>594</v>
      </c>
      <c r="D1120" s="2" t="str">
        <f t="shared" si="16"/>
        <v>Error?</v>
      </c>
    </row>
    <row r="1121" spans="1:4" x14ac:dyDescent="0.2">
      <c r="A1121" s="5">
        <v>1060</v>
      </c>
      <c r="B1121" s="138">
        <f>'Expenditures 15-22'!K50</f>
        <v>133789</v>
      </c>
      <c r="C1121" s="2" t="s">
        <v>594</v>
      </c>
      <c r="D1121" s="2" t="str">
        <f t="shared" si="16"/>
        <v>Error?</v>
      </c>
    </row>
    <row r="1122" spans="1:4" x14ac:dyDescent="0.2">
      <c r="A1122" s="5">
        <v>1061</v>
      </c>
      <c r="B1122" s="138">
        <f>'Expenditures 15-22'!K53</f>
        <v>215666</v>
      </c>
      <c r="C1122" s="2" t="s">
        <v>594</v>
      </c>
      <c r="D1122" s="2" t="str">
        <f t="shared" si="16"/>
        <v>Error?</v>
      </c>
    </row>
    <row r="1123" spans="1:4" x14ac:dyDescent="0.2">
      <c r="A1123" s="5">
        <v>1062</v>
      </c>
      <c r="B1123" s="138">
        <f>'Expenditures 15-22'!K55</f>
        <v>185701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185701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67227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189058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256285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3391</v>
      </c>
      <c r="C1137" s="2" t="s">
        <v>594</v>
      </c>
      <c r="D1137" s="2" t="str">
        <f t="shared" si="16"/>
        <v>Error?</v>
      </c>
    </row>
    <row r="1138" spans="1:4" x14ac:dyDescent="0.2">
      <c r="A1138" s="10">
        <v>1077</v>
      </c>
      <c r="D1138" s="2" t="str">
        <f t="shared" si="16"/>
        <v>OK</v>
      </c>
    </row>
    <row r="1139" spans="1:4" x14ac:dyDescent="0.2">
      <c r="A1139" s="5">
        <v>1078</v>
      </c>
      <c r="B1139" s="138">
        <f>'Expenditures 15-22'!K71</f>
        <v>460</v>
      </c>
      <c r="C1139" s="2" t="s">
        <v>594</v>
      </c>
      <c r="D1139" s="2" t="str">
        <f t="shared" si="16"/>
        <v>Error?</v>
      </c>
    </row>
    <row r="1140" spans="1:4" x14ac:dyDescent="0.2">
      <c r="A1140" s="10">
        <v>1079</v>
      </c>
      <c r="D1140" s="2" t="str">
        <f t="shared" si="16"/>
        <v>OK</v>
      </c>
    </row>
    <row r="1141" spans="1:4" x14ac:dyDescent="0.2">
      <c r="A1141" s="5">
        <v>1080</v>
      </c>
      <c r="B1141" s="138">
        <f>'Expenditures 15-22'!K72</f>
        <v>3851</v>
      </c>
      <c r="C1141" s="2" t="s">
        <v>594</v>
      </c>
      <c r="D1141" s="2" t="str">
        <f t="shared" si="16"/>
        <v>Error?</v>
      </c>
    </row>
    <row r="1142" spans="1:4" x14ac:dyDescent="0.2">
      <c r="A1142" s="5">
        <v>1081</v>
      </c>
      <c r="B1142" s="138">
        <f>'Expenditures 15-22'!K73</f>
        <v>92</v>
      </c>
      <c r="C1142" s="2" t="s">
        <v>594</v>
      </c>
      <c r="D1142" s="2" t="str">
        <f t="shared" si="16"/>
        <v>Error?</v>
      </c>
    </row>
    <row r="1143" spans="1:4" x14ac:dyDescent="0.2">
      <c r="A1143" s="5">
        <v>1082</v>
      </c>
      <c r="B1143" s="138">
        <f>'Expenditures 15-22'!K74</f>
        <v>1399003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403953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5586241</v>
      </c>
      <c r="C1152" s="2" t="s">
        <v>594</v>
      </c>
      <c r="D1152" s="2" t="str">
        <f t="shared" si="17"/>
        <v>Error?</v>
      </c>
    </row>
    <row r="1153" spans="1:4" x14ac:dyDescent="0.2">
      <c r="A1153" s="5">
        <v>1092</v>
      </c>
      <c r="B1153" s="138">
        <f>'Expenditures 15-22'!K115</f>
        <v>56848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19322</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156015</v>
      </c>
      <c r="D1221" s="2" t="str">
        <f t="shared" si="18"/>
        <v>Error?</v>
      </c>
    </row>
    <row r="1222" spans="1:4" x14ac:dyDescent="0.2">
      <c r="A1222" s="10">
        <v>1161</v>
      </c>
      <c r="D1222" s="2" t="str">
        <f t="shared" si="18"/>
        <v>OK</v>
      </c>
    </row>
    <row r="1223" spans="1:4" x14ac:dyDescent="0.2">
      <c r="A1223" s="5">
        <v>1162</v>
      </c>
      <c r="B1223" s="138">
        <f>'Expenditures 15-22'!C127</f>
        <v>175337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175337</v>
      </c>
      <c r="C1225" s="2" t="s">
        <v>594</v>
      </c>
      <c r="D1225" s="2" t="str">
        <f t="shared" si="18"/>
        <v>Error?</v>
      </c>
    </row>
    <row r="1226" spans="1:4" x14ac:dyDescent="0.2">
      <c r="A1226" s="5">
        <v>1165</v>
      </c>
      <c r="B1226" s="138">
        <f>'Expenditures 15-22'!C151</f>
        <v>175337</v>
      </c>
      <c r="C1226" s="2" t="s">
        <v>594</v>
      </c>
      <c r="D1226" s="2" t="str">
        <f t="shared" si="18"/>
        <v>Error?</v>
      </c>
    </row>
    <row r="1227" spans="1:4" x14ac:dyDescent="0.2">
      <c r="A1227" s="5">
        <v>1166</v>
      </c>
      <c r="B1227" s="138">
        <f>'Expenditures 15-22'!D122</f>
        <v>3316</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20024</v>
      </c>
      <c r="D1229" s="2" t="str">
        <f t="shared" si="18"/>
        <v>Error?</v>
      </c>
    </row>
    <row r="1230" spans="1:4" x14ac:dyDescent="0.2">
      <c r="A1230" s="10">
        <v>1169</v>
      </c>
      <c r="D1230" s="2" t="str">
        <f t="shared" si="18"/>
        <v>OK</v>
      </c>
    </row>
    <row r="1231" spans="1:4" x14ac:dyDescent="0.2">
      <c r="A1231" s="5">
        <v>1170</v>
      </c>
      <c r="B1231" s="138">
        <f>'Expenditures 15-22'!D127</f>
        <v>23340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23340</v>
      </c>
      <c r="C1233" s="2" t="s">
        <v>594</v>
      </c>
      <c r="D1233" s="2" t="str">
        <f t="shared" si="18"/>
        <v>Error?</v>
      </c>
    </row>
    <row r="1234" spans="1:4" x14ac:dyDescent="0.2">
      <c r="A1234" s="5">
        <v>1173</v>
      </c>
      <c r="B1234" s="138">
        <f>'Expenditures 15-22'!D151</f>
        <v>23340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72591</v>
      </c>
      <c r="D1237" s="2" t="str">
        <f t="shared" si="18"/>
        <v>Error?</v>
      </c>
    </row>
    <row r="1238" spans="1:4" x14ac:dyDescent="0.2">
      <c r="A1238" s="10">
        <v>1177</v>
      </c>
      <c r="D1238" s="2" t="str">
        <f t="shared" si="18"/>
        <v>OK</v>
      </c>
    </row>
    <row r="1239" spans="1:4" x14ac:dyDescent="0.2">
      <c r="A1239" s="5">
        <v>1178</v>
      </c>
      <c r="B1239" s="138">
        <f>'Expenditures 15-22'!E127</f>
        <v>72591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72591</v>
      </c>
      <c r="C1241" s="2" t="s">
        <v>594</v>
      </c>
      <c r="D1241" s="2" t="str">
        <f t="shared" si="18"/>
        <v>Error?</v>
      </c>
    </row>
    <row r="1242" spans="1:4" x14ac:dyDescent="0.2">
      <c r="A1242" s="5">
        <v>1181</v>
      </c>
      <c r="B1242" s="138">
        <f>'Expenditures 15-22'!E151</f>
        <v>72591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139256</v>
      </c>
      <c r="D1245" s="2" t="str">
        <f t="shared" si="18"/>
        <v>Error?</v>
      </c>
    </row>
    <row r="1246" spans="1:4" x14ac:dyDescent="0.2">
      <c r="A1246" s="10">
        <v>1185</v>
      </c>
      <c r="D1246" s="2" t="str">
        <f t="shared" si="18"/>
        <v>OK</v>
      </c>
    </row>
    <row r="1247" spans="1:4" x14ac:dyDescent="0.2">
      <c r="A1247" s="5">
        <v>1186</v>
      </c>
      <c r="B1247" s="138">
        <f>'Expenditures 15-22'!F127</f>
        <v>139256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139256</v>
      </c>
      <c r="C1249" s="2" t="s">
        <v>594</v>
      </c>
      <c r="D1249" s="2" t="str">
        <f t="shared" si="18"/>
        <v>Error?</v>
      </c>
    </row>
    <row r="1250" spans="1:4" x14ac:dyDescent="0.2">
      <c r="A1250" s="5">
        <v>1189</v>
      </c>
      <c r="B1250" s="138">
        <f>'Expenditures 15-22'!F151</f>
        <v>139256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48864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48864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48864</v>
      </c>
      <c r="C1258" s="2" t="s">
        <v>594</v>
      </c>
      <c r="D1258" s="2" t="str">
        <f t="shared" si="18"/>
        <v>Error?</v>
      </c>
    </row>
    <row r="1259" spans="1:4" x14ac:dyDescent="0.2">
      <c r="A1259" s="5">
        <v>1198</v>
      </c>
      <c r="B1259" s="138">
        <f>'Expenditures 15-22'!G151</f>
        <v>48864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22638</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437074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459712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459712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459712</v>
      </c>
      <c r="C1288" s="2" t="s">
        <v>594</v>
      </c>
      <c r="D1288" s="2" t="str">
        <f t="shared" si="19"/>
        <v>Error?</v>
      </c>
    </row>
    <row r="1289" spans="1:4" x14ac:dyDescent="0.2">
      <c r="A1289" s="5">
        <v>1228</v>
      </c>
      <c r="B1289" s="138">
        <f>'Expenditures 15-22'!K152</f>
        <v>64251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323400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670000</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994300</v>
      </c>
      <c r="C1317" s="2" t="s">
        <v>594</v>
      </c>
      <c r="D1317" s="2" t="str">
        <f t="shared" si="19"/>
        <v>Error?</v>
      </c>
    </row>
    <row r="1318" spans="1:4" x14ac:dyDescent="0.2">
      <c r="A1318" s="5">
        <v>1257</v>
      </c>
      <c r="B1318" s="138">
        <f>'Expenditures 15-22'!H174</f>
        <v>994300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323400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670000</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994300</v>
      </c>
      <c r="C1331" s="2" t="s">
        <v>594</v>
      </c>
      <c r="D1331" s="2" t="str">
        <f t="shared" si="19"/>
        <v>Error?</v>
      </c>
    </row>
    <row r="1332" spans="1:4" x14ac:dyDescent="0.2">
      <c r="A1332" s="5">
        <v>1271</v>
      </c>
      <c r="B1332" s="138">
        <f>'Expenditures 15-22'!K174</f>
        <v>994300</v>
      </c>
      <c r="C1332" s="2" t="s">
        <v>594</v>
      </c>
      <c r="D1332" s="2" t="str">
        <f t="shared" si="19"/>
        <v>Error?</v>
      </c>
    </row>
    <row r="1333" spans="1:4" x14ac:dyDescent="0.2">
      <c r="A1333" s="5">
        <v>1272</v>
      </c>
      <c r="B1333" s="138">
        <f>'Expenditures 15-22'!K175</f>
        <v>351194</v>
      </c>
      <c r="C1333" s="2" t="s">
        <v>594</v>
      </c>
      <c r="D1333" s="2" t="str">
        <f t="shared" si="19"/>
        <v>Error?</v>
      </c>
    </row>
    <row r="1334" spans="1:4" x14ac:dyDescent="0.2">
      <c r="A1334" s="10">
        <v>1273</v>
      </c>
      <c r="D1334" s="2" t="str">
        <f t="shared" si="19"/>
        <v>OK</v>
      </c>
    </row>
    <row r="1335" spans="1:4" x14ac:dyDescent="0.2">
      <c r="A1335" s="5">
        <v>1274</v>
      </c>
      <c r="B1335" s="138">
        <f>'Expenditures 15-22'!C182</f>
        <v>764899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764899</v>
      </c>
      <c r="C1339" s="2" t="s">
        <v>594</v>
      </c>
      <c r="D1339" s="2" t="str">
        <f t="shared" si="19"/>
        <v>Error?</v>
      </c>
    </row>
    <row r="1340" spans="1:4" x14ac:dyDescent="0.2">
      <c r="A1340" s="5">
        <v>1279</v>
      </c>
      <c r="B1340" s="138">
        <f>'Expenditures 15-22'!C210</f>
        <v>764899</v>
      </c>
      <c r="C1340" s="2" t="s">
        <v>594</v>
      </c>
      <c r="D1340" s="2" t="str">
        <f t="shared" si="19"/>
        <v>Error?</v>
      </c>
    </row>
    <row r="1341" spans="1:4" x14ac:dyDescent="0.2">
      <c r="A1341" s="5">
        <v>1280</v>
      </c>
      <c r="B1341" s="138">
        <f>'Expenditures 15-22'!D182</f>
        <v>16288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16288</v>
      </c>
      <c r="C1345" s="2" t="s">
        <v>594</v>
      </c>
      <c r="D1345" s="2" t="str">
        <f t="shared" si="20"/>
        <v>Error?</v>
      </c>
    </row>
    <row r="1346" spans="1:4" x14ac:dyDescent="0.2">
      <c r="A1346" s="5">
        <v>1285</v>
      </c>
      <c r="B1346" s="138">
        <f>'Expenditures 15-22'!D210</f>
        <v>16288</v>
      </c>
      <c r="C1346" s="2" t="s">
        <v>594</v>
      </c>
      <c r="D1346" s="2" t="str">
        <f t="shared" si="20"/>
        <v>Error?</v>
      </c>
    </row>
    <row r="1347" spans="1:4" x14ac:dyDescent="0.2">
      <c r="A1347" s="5">
        <v>1286</v>
      </c>
      <c r="B1347" s="138">
        <f>'Expenditures 15-22'!E182</f>
        <v>126273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126273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126273</v>
      </c>
      <c r="C1353" s="2" t="s">
        <v>594</v>
      </c>
      <c r="D1353" s="2" t="str">
        <f t="shared" si="20"/>
        <v>Error?</v>
      </c>
    </row>
    <row r="1354" spans="1:4" x14ac:dyDescent="0.2">
      <c r="A1354" s="5">
        <v>1293</v>
      </c>
      <c r="B1354" s="138">
        <f>'Expenditures 15-22'!F182</f>
        <v>176963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176963</v>
      </c>
      <c r="C1358" s="2" t="s">
        <v>594</v>
      </c>
      <c r="D1358" s="2" t="str">
        <f t="shared" si="20"/>
        <v>Error?</v>
      </c>
    </row>
    <row r="1359" spans="1:4" x14ac:dyDescent="0.2">
      <c r="A1359" s="5">
        <v>1298</v>
      </c>
      <c r="B1359" s="138">
        <f>'Expenditures 15-22'!F210</f>
        <v>176963</v>
      </c>
      <c r="C1359" s="2" t="s">
        <v>594</v>
      </c>
      <c r="D1359" s="2" t="str">
        <f t="shared" si="20"/>
        <v>Error?</v>
      </c>
    </row>
    <row r="1360" spans="1:4" x14ac:dyDescent="0.2">
      <c r="A1360" s="5">
        <v>1299</v>
      </c>
      <c r="B1360" s="138">
        <f>'Expenditures 15-22'!G182</f>
        <v>288496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288496</v>
      </c>
      <c r="C1364" s="2" t="s">
        <v>594</v>
      </c>
      <c r="D1364" s="2" t="str">
        <f t="shared" si="20"/>
        <v>Error?</v>
      </c>
    </row>
    <row r="1365" spans="1:4" x14ac:dyDescent="0.2">
      <c r="A1365" s="5">
        <v>1304</v>
      </c>
      <c r="B1365" s="138">
        <f>'Expenditures 15-22'!G210</f>
        <v>288496</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1372919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1372919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1372919</v>
      </c>
      <c r="C1388" s="2" t="s">
        <v>594</v>
      </c>
      <c r="D1388" s="2" t="str">
        <f t="shared" si="20"/>
        <v>Error?</v>
      </c>
    </row>
    <row r="1389" spans="1:4" x14ac:dyDescent="0.2">
      <c r="A1389" s="5">
        <v>1328</v>
      </c>
      <c r="B1389" s="138">
        <f>'Expenditures 15-22'!K211</f>
        <v>87317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1290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2438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75278</v>
      </c>
      <c r="C1410" s="2" t="s">
        <v>594</v>
      </c>
      <c r="D1410" s="2" t="str">
        <f t="shared" si="21"/>
        <v>Error?</v>
      </c>
    </row>
    <row r="1411" spans="1:4" x14ac:dyDescent="0.2">
      <c r="A1411" s="5">
        <v>1350</v>
      </c>
      <c r="B1411" s="138">
        <f>'Expenditures 15-22'!D232</f>
        <v>1521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9080</v>
      </c>
      <c r="D1413" s="2" t="str">
        <f t="shared" si="21"/>
        <v>Error?</v>
      </c>
    </row>
    <row r="1414" spans="1:4" x14ac:dyDescent="0.2">
      <c r="A1414" s="5">
        <v>1353</v>
      </c>
      <c r="B1414" s="138">
        <f>'Expenditures 15-22'!D235</f>
        <v>461</v>
      </c>
      <c r="D1414" s="2" t="str">
        <f t="shared" si="21"/>
        <v>Error?</v>
      </c>
    </row>
    <row r="1415" spans="1:4" x14ac:dyDescent="0.2">
      <c r="A1415" s="5">
        <v>1354</v>
      </c>
      <c r="B1415" s="138">
        <f>'Expenditures 15-22'!D236</f>
        <v>1117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12179</v>
      </c>
      <c r="C1417" s="2" t="s">
        <v>594</v>
      </c>
      <c r="D1417" s="2" t="str">
        <f t="shared" si="21"/>
        <v>Error?</v>
      </c>
    </row>
    <row r="1418" spans="1:4" x14ac:dyDescent="0.2">
      <c r="A1418" s="5">
        <v>1357</v>
      </c>
      <c r="B1418" s="138">
        <f>'Expenditures 15-22'!D240</f>
        <v>439</v>
      </c>
      <c r="D1418" s="2" t="str">
        <f t="shared" si="21"/>
        <v>Error?</v>
      </c>
    </row>
    <row r="1419" spans="1:4" x14ac:dyDescent="0.2">
      <c r="A1419" s="5">
        <v>1358</v>
      </c>
      <c r="B1419" s="138">
        <f>'Expenditures 15-22'!D241</f>
        <v>8516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8955</v>
      </c>
      <c r="C1421" s="2" t="s">
        <v>594</v>
      </c>
      <c r="D1421" s="2" t="str">
        <f t="shared" si="21"/>
        <v>Error?</v>
      </c>
    </row>
    <row r="1422" spans="1:4" x14ac:dyDescent="0.2">
      <c r="A1422" s="5">
        <v>1361</v>
      </c>
      <c r="B1422" s="138">
        <f>'Expenditures 15-22'!D245</f>
        <v>577</v>
      </c>
      <c r="D1422" s="2" t="str">
        <f t="shared" si="21"/>
        <v>Error?</v>
      </c>
    </row>
    <row r="1423" spans="1:4" x14ac:dyDescent="0.2">
      <c r="A1423" s="5">
        <v>1362</v>
      </c>
      <c r="B1423" s="138">
        <f>'Expenditures 15-22'!D246</f>
        <v>8337</v>
      </c>
      <c r="D1423" s="2" t="str">
        <f t="shared" si="21"/>
        <v>Error?</v>
      </c>
    </row>
    <row r="1424" spans="1:4" x14ac:dyDescent="0.2">
      <c r="A1424" s="5">
        <v>1363</v>
      </c>
      <c r="B1424" s="138">
        <f>'Expenditures 15-22'!D257</f>
        <v>16885</v>
      </c>
      <c r="C1424" s="2" t="s">
        <v>594</v>
      </c>
      <c r="D1424" s="2" t="str">
        <f t="shared" si="21"/>
        <v>Error?</v>
      </c>
    </row>
    <row r="1425" spans="1:4" x14ac:dyDescent="0.2">
      <c r="A1425" s="5">
        <v>1364</v>
      </c>
      <c r="B1425" s="138">
        <f>'Expenditures 15-22'!D259</f>
        <v>13287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13287</v>
      </c>
      <c r="C1427" s="2" t="s">
        <v>594</v>
      </c>
      <c r="D1427" s="2" t="str">
        <f t="shared" si="21"/>
        <v>Error?</v>
      </c>
    </row>
    <row r="1428" spans="1:4" x14ac:dyDescent="0.2">
      <c r="A1428" s="5">
        <v>1367</v>
      </c>
      <c r="B1428" s="138">
        <f>'Expenditures 15-22'!D263</f>
        <v>271</v>
      </c>
      <c r="D1428" s="2" t="str">
        <f t="shared" si="21"/>
        <v>Error?</v>
      </c>
    </row>
    <row r="1429" spans="1:4" x14ac:dyDescent="0.2">
      <c r="A1429" s="5">
        <v>1368</v>
      </c>
      <c r="B1429" s="138">
        <f>'Expenditures 15-22'!D264</f>
        <v>9796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24238</v>
      </c>
      <c r="D1431" s="2" t="str">
        <f t="shared" si="21"/>
        <v>Error?</v>
      </c>
    </row>
    <row r="1432" spans="1:4" x14ac:dyDescent="0.2">
      <c r="A1432" s="5">
        <v>1371</v>
      </c>
      <c r="B1432" s="138">
        <f>'Expenditures 15-22'!D267</f>
        <v>124865</v>
      </c>
      <c r="D1432" s="2" t="str">
        <f t="shared" si="21"/>
        <v>Error?</v>
      </c>
    </row>
    <row r="1433" spans="1:4" x14ac:dyDescent="0.2">
      <c r="A1433" s="5">
        <v>1372</v>
      </c>
      <c r="B1433" s="138">
        <f>'Expenditures 15-22'!D268</f>
        <v>5165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164335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215641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290919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1290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2438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75278</v>
      </c>
      <c r="C1474" s="2" t="s">
        <v>594</v>
      </c>
      <c r="D1474" s="2" t="str">
        <f t="shared" si="22"/>
        <v>Error?</v>
      </c>
    </row>
    <row r="1475" spans="1:4" x14ac:dyDescent="0.2">
      <c r="A1475" s="5">
        <v>1414</v>
      </c>
      <c r="B1475" s="138">
        <f>'Expenditures 15-22'!K232</f>
        <v>1521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9080</v>
      </c>
      <c r="C1477" s="2" t="s">
        <v>594</v>
      </c>
      <c r="D1477" s="2" t="str">
        <f t="shared" si="22"/>
        <v>Error?</v>
      </c>
    </row>
    <row r="1478" spans="1:4" x14ac:dyDescent="0.2">
      <c r="A1478" s="5">
        <v>1417</v>
      </c>
      <c r="B1478" s="138">
        <f>'Expenditures 15-22'!K235</f>
        <v>461</v>
      </c>
      <c r="C1478" s="2" t="s">
        <v>594</v>
      </c>
      <c r="D1478" s="2" t="str">
        <f t="shared" si="22"/>
        <v>Error?</v>
      </c>
    </row>
    <row r="1479" spans="1:4" x14ac:dyDescent="0.2">
      <c r="A1479" s="5">
        <v>1418</v>
      </c>
      <c r="B1479" s="138">
        <f>'Expenditures 15-22'!K236</f>
        <v>1117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12179</v>
      </c>
      <c r="C1481" s="2" t="s">
        <v>594</v>
      </c>
      <c r="D1481" s="2" t="str">
        <f t="shared" si="22"/>
        <v>Error?</v>
      </c>
    </row>
    <row r="1482" spans="1:4" x14ac:dyDescent="0.2">
      <c r="A1482" s="5">
        <v>1421</v>
      </c>
      <c r="B1482" s="138">
        <f>'Expenditures 15-22'!K240</f>
        <v>439</v>
      </c>
      <c r="C1482" s="2" t="s">
        <v>594</v>
      </c>
      <c r="D1482" s="2" t="str">
        <f t="shared" si="22"/>
        <v>Error?</v>
      </c>
    </row>
    <row r="1483" spans="1:4" x14ac:dyDescent="0.2">
      <c r="A1483" s="5">
        <v>1422</v>
      </c>
      <c r="B1483" s="138">
        <f>'Expenditures 15-22'!K241</f>
        <v>8516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8955</v>
      </c>
      <c r="C1485" s="2" t="s">
        <v>594</v>
      </c>
      <c r="D1485" s="2" t="str">
        <f t="shared" si="22"/>
        <v>Error?</v>
      </c>
    </row>
    <row r="1486" spans="1:4" x14ac:dyDescent="0.2">
      <c r="A1486" s="5">
        <v>1425</v>
      </c>
      <c r="B1486" s="138">
        <f>'Expenditures 15-22'!K245</f>
        <v>577</v>
      </c>
      <c r="C1486" s="2" t="s">
        <v>594</v>
      </c>
      <c r="D1486" s="2" t="str">
        <f t="shared" si="22"/>
        <v>Error?</v>
      </c>
    </row>
    <row r="1487" spans="1:4" x14ac:dyDescent="0.2">
      <c r="A1487" s="5">
        <v>1426</v>
      </c>
      <c r="B1487" s="138">
        <f>'Expenditures 15-22'!K246</f>
        <v>8337</v>
      </c>
      <c r="C1487" s="2" t="s">
        <v>594</v>
      </c>
      <c r="D1487" s="2" t="str">
        <f t="shared" si="22"/>
        <v>Error?</v>
      </c>
    </row>
    <row r="1488" spans="1:4" x14ac:dyDescent="0.2">
      <c r="A1488" s="5">
        <v>1427</v>
      </c>
      <c r="B1488" s="138">
        <f>'Expenditures 15-22'!K257</f>
        <v>16885</v>
      </c>
      <c r="C1488" s="2" t="s">
        <v>594</v>
      </c>
      <c r="D1488" s="2" t="str">
        <f t="shared" si="22"/>
        <v>Error?</v>
      </c>
    </row>
    <row r="1489" spans="1:4" x14ac:dyDescent="0.2">
      <c r="A1489" s="5">
        <v>1428</v>
      </c>
      <c r="B1489" s="138">
        <f>'Expenditures 15-22'!K259</f>
        <v>13287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13287</v>
      </c>
      <c r="C1491" s="2" t="s">
        <v>594</v>
      </c>
      <c r="D1491" s="2" t="str">
        <f t="shared" si="22"/>
        <v>Error?</v>
      </c>
    </row>
    <row r="1492" spans="1:4" x14ac:dyDescent="0.2">
      <c r="A1492" s="5">
        <v>1431</v>
      </c>
      <c r="B1492" s="138">
        <f>'Expenditures 15-22'!K263</f>
        <v>271</v>
      </c>
      <c r="C1492" s="2" t="s">
        <v>594</v>
      </c>
      <c r="D1492" s="2" t="str">
        <f t="shared" si="22"/>
        <v>Error?</v>
      </c>
    </row>
    <row r="1493" spans="1:4" x14ac:dyDescent="0.2">
      <c r="A1493" s="5">
        <v>1432</v>
      </c>
      <c r="B1493" s="138">
        <f>'Expenditures 15-22'!K264</f>
        <v>9796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24238</v>
      </c>
      <c r="C1495" s="2" t="s">
        <v>594</v>
      </c>
      <c r="D1495" s="2" t="str">
        <f t="shared" si="22"/>
        <v>Error?</v>
      </c>
    </row>
    <row r="1496" spans="1:4" x14ac:dyDescent="0.2">
      <c r="A1496" s="5">
        <v>1435</v>
      </c>
      <c r="B1496" s="138">
        <f>'Expenditures 15-22'!K267</f>
        <v>124865</v>
      </c>
      <c r="C1496" s="2" t="s">
        <v>594</v>
      </c>
      <c r="D1496" s="2" t="str">
        <f t="shared" si="22"/>
        <v>Error?</v>
      </c>
    </row>
    <row r="1497" spans="1:4" x14ac:dyDescent="0.2">
      <c r="A1497" s="5">
        <v>1436</v>
      </c>
      <c r="B1497" s="138">
        <f>'Expenditures 15-22'!K268</f>
        <v>5165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164335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215641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290919</v>
      </c>
      <c r="C1517" s="2" t="s">
        <v>594</v>
      </c>
      <c r="D1517" s="2" t="str">
        <f t="shared" si="22"/>
        <v>Error?</v>
      </c>
    </row>
    <row r="1518" spans="1:4" x14ac:dyDescent="0.2">
      <c r="A1518" s="5">
        <v>1457</v>
      </c>
      <c r="B1518" s="138">
        <f>'Expenditures 15-22'!K296</f>
        <v>-82748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28014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28014</v>
      </c>
      <c r="C1535" s="2" t="s">
        <v>594</v>
      </c>
      <c r="D1535" s="2" t="str">
        <f t="shared" ref="D1535:D1598" si="23">IF(ISBLANK(B1535),"OK",IF(A1535-B1535=0,"OK","Error?"))</f>
        <v>Error?</v>
      </c>
    </row>
    <row r="1536" spans="1:4" x14ac:dyDescent="0.2">
      <c r="A1536" s="5">
        <v>1475</v>
      </c>
      <c r="B1536" s="138">
        <f>'Expenditures 15-22'!E312</f>
        <v>28014</v>
      </c>
      <c r="C1536" s="2" t="s">
        <v>594</v>
      </c>
      <c r="D1536" s="2" t="str">
        <f t="shared" si="23"/>
        <v>Error?</v>
      </c>
    </row>
    <row r="1537" spans="1:4" x14ac:dyDescent="0.2">
      <c r="A1537" s="5">
        <v>1476</v>
      </c>
      <c r="B1537" s="138">
        <f>'Expenditures 15-22'!F301</f>
        <v>5379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5379</v>
      </c>
      <c r="C1541" s="2" t="s">
        <v>594</v>
      </c>
      <c r="D1541" s="2" t="str">
        <f t="shared" si="23"/>
        <v>Error?</v>
      </c>
    </row>
    <row r="1542" spans="1:4" x14ac:dyDescent="0.2">
      <c r="A1542" s="5">
        <v>1481</v>
      </c>
      <c r="B1542" s="138">
        <f>'Expenditures 15-22'!F312</f>
        <v>5379</v>
      </c>
      <c r="C1542" s="2" t="s">
        <v>594</v>
      </c>
      <c r="D1542" s="2" t="str">
        <f t="shared" si="23"/>
        <v>Error?</v>
      </c>
    </row>
    <row r="1543" spans="1:4" x14ac:dyDescent="0.2">
      <c r="A1543" s="5">
        <v>1482</v>
      </c>
      <c r="B1543" s="138">
        <f>'Expenditures 15-22'!G301</f>
        <v>262844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262844</v>
      </c>
      <c r="C1547" s="2" t="s">
        <v>594</v>
      </c>
      <c r="D1547" s="2" t="str">
        <f t="shared" si="23"/>
        <v>Error?</v>
      </c>
    </row>
    <row r="1548" spans="1:4" x14ac:dyDescent="0.2">
      <c r="A1548" s="5">
        <v>1487</v>
      </c>
      <c r="B1548" s="138">
        <f>'Expenditures 15-22'!G312</f>
        <v>262844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10068</v>
      </c>
      <c r="C1554" s="2" t="s">
        <v>594</v>
      </c>
      <c r="D1554" s="2" t="str">
        <f t="shared" si="23"/>
        <v>Error?</v>
      </c>
    </row>
    <row r="1555" spans="1:4" x14ac:dyDescent="0.2">
      <c r="A1555" s="5">
        <v>1494</v>
      </c>
      <c r="B1555" s="138">
        <f>'Expenditures 15-22'!K301</f>
        <v>300824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300824</v>
      </c>
      <c r="C1559" s="2" t="s">
        <v>594</v>
      </c>
      <c r="D1559" s="2" t="str">
        <f t="shared" si="23"/>
        <v>Error?</v>
      </c>
    </row>
    <row r="1560" spans="1:4" x14ac:dyDescent="0.2">
      <c r="A1560" s="5">
        <v>1499</v>
      </c>
      <c r="B1560" s="138">
        <f>'Expenditures 15-22'!K312</f>
        <v>310892</v>
      </c>
      <c r="C1560" s="2" t="s">
        <v>594</v>
      </c>
      <c r="D1560" s="2" t="str">
        <f t="shared" si="23"/>
        <v>Error?</v>
      </c>
    </row>
    <row r="1561" spans="1:4" x14ac:dyDescent="0.2">
      <c r="A1561" s="5">
        <v>1500</v>
      </c>
      <c r="B1561" s="138">
        <f>'Expenditures 15-22'!K313</f>
        <v>-99099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2353459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2500307</v>
      </c>
      <c r="C1630" s="2" t="s">
        <v>594</v>
      </c>
      <c r="D1630" s="2" t="str">
        <f t="shared" si="24"/>
        <v>Error?</v>
      </c>
    </row>
    <row r="1631" spans="1:4" x14ac:dyDescent="0.2">
      <c r="A1631" s="5">
        <v>1570</v>
      </c>
      <c r="B1631" s="138">
        <f>'Acct Summary 7-8'!D79</f>
        <v>828317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692568</v>
      </c>
      <c r="C1644" s="2" t="s">
        <v>594</v>
      </c>
      <c r="D1644" s="2" t="str">
        <f t="shared" si="24"/>
        <v>Error?</v>
      </c>
    </row>
    <row r="1645" spans="1:4" x14ac:dyDescent="0.2">
      <c r="A1645" s="5">
        <v>1584</v>
      </c>
      <c r="B1645" s="138">
        <f>'Acct Summary 7-8'!E79</f>
        <v>281981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633175</v>
      </c>
      <c r="C1658" s="2" t="s">
        <v>594</v>
      </c>
      <c r="D1658" s="2" t="str">
        <f t="shared" si="24"/>
        <v>Error?</v>
      </c>
    </row>
    <row r="1659" spans="1:4" x14ac:dyDescent="0.2">
      <c r="A1659" s="5">
        <v>1598</v>
      </c>
      <c r="B1659" s="138">
        <f>'Acct Summary 7-8'!F79</f>
        <v>633923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721240</v>
      </c>
      <c r="C1672" s="2" t="s">
        <v>594</v>
      </c>
      <c r="D1672" s="2" t="str">
        <f t="shared" si="25"/>
        <v>Error?</v>
      </c>
    </row>
    <row r="1673" spans="1:4" x14ac:dyDescent="0.2">
      <c r="A1673" s="5">
        <v>1612</v>
      </c>
      <c r="B1673" s="138">
        <f>'Acct Summary 7-8'!G79</f>
        <v>284181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201433</v>
      </c>
      <c r="C1686" s="2" t="s">
        <v>594</v>
      </c>
      <c r="D1686" s="2" t="str">
        <f t="shared" si="25"/>
        <v>Error?</v>
      </c>
    </row>
    <row r="1687" spans="1:4" x14ac:dyDescent="0.2">
      <c r="A1687" s="5">
        <v>1626</v>
      </c>
      <c r="B1687" s="138">
        <f>'Acct Summary 7-8'!H79</f>
        <v>368568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469469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3447266</v>
      </c>
      <c r="C1744" s="2" t="s">
        <v>594</v>
      </c>
      <c r="D1744" s="2" t="str">
        <f t="shared" si="26"/>
        <v>Error?</v>
      </c>
    </row>
    <row r="1745" spans="1:5" x14ac:dyDescent="0.2">
      <c r="A1745" s="5">
        <v>1684</v>
      </c>
      <c r="B1745" s="138">
        <f>'Tax Sched 23'!B5</f>
        <v>481463</v>
      </c>
      <c r="C1745" s="2" t="s">
        <v>594</v>
      </c>
      <c r="D1745" s="2" t="str">
        <f t="shared" si="26"/>
        <v>Error?</v>
      </c>
    </row>
    <row r="1746" spans="1:5" x14ac:dyDescent="0.2">
      <c r="A1746" s="5">
        <v>1685</v>
      </c>
      <c r="B1746" s="138">
        <f>'Tax Sched 23'!B6</f>
        <v>995197</v>
      </c>
      <c r="C1746" s="2" t="s">
        <v>594</v>
      </c>
      <c r="D1746" s="2" t="str">
        <f t="shared" si="26"/>
        <v>Error?</v>
      </c>
    </row>
    <row r="1747" spans="1:5" x14ac:dyDescent="0.2">
      <c r="A1747" s="5">
        <v>1686</v>
      </c>
      <c r="B1747" s="138">
        <f>'Tax Sched 23'!B7</f>
        <v>231103</v>
      </c>
      <c r="C1747" s="2" t="s">
        <v>594</v>
      </c>
      <c r="D1747" s="2" t="str">
        <f t="shared" si="26"/>
        <v>Error?</v>
      </c>
    </row>
    <row r="1748" spans="1:5" x14ac:dyDescent="0.2">
      <c r="A1748" s="5">
        <v>1687</v>
      </c>
      <c r="B1748" s="138">
        <f>'Tax Sched 23'!B8</f>
        <v>45093</v>
      </c>
      <c r="C1748" s="2" t="s">
        <v>594</v>
      </c>
      <c r="D1748" s="2" t="str">
        <f t="shared" si="26"/>
        <v>Error?</v>
      </c>
    </row>
    <row r="1749" spans="1:5" x14ac:dyDescent="0.2">
      <c r="A1749" s="5">
        <v>1688</v>
      </c>
      <c r="B1749" s="138">
        <f>'Tax Sched 23'!B10</f>
        <v>96293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105222</v>
      </c>
      <c r="C1752" s="2" t="s">
        <v>594</v>
      </c>
      <c r="D1752" s="2" t="str">
        <f t="shared" si="26"/>
        <v>Error?</v>
      </c>
    </row>
    <row r="1753" spans="1:5" x14ac:dyDescent="0.2">
      <c r="A1753" s="5">
        <v>1692</v>
      </c>
      <c r="B1753" s="138">
        <f>'Tax Sched 23'!B12</f>
        <v>96293</v>
      </c>
      <c r="C1753" s="2" t="s">
        <v>594</v>
      </c>
      <c r="D1753" s="2" t="str">
        <f t="shared" si="26"/>
        <v>Error?</v>
      </c>
    </row>
    <row r="1754" spans="1:5" x14ac:dyDescent="0.2">
      <c r="A1754" s="5">
        <v>1693</v>
      </c>
      <c r="B1754" s="138">
        <f>'Tax Sched 23'!B14</f>
        <v>38517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5687868</v>
      </c>
      <c r="C1759" s="2" t="s">
        <v>594</v>
      </c>
      <c r="D1759" s="2" t="str">
        <f t="shared" si="26"/>
        <v>Error?</v>
      </c>
    </row>
    <row r="1760" spans="1:5" x14ac:dyDescent="0.2">
      <c r="A1760" s="5">
        <v>1699</v>
      </c>
      <c r="B1760" s="138">
        <f>'Tax Sched 23'!D4</f>
        <v>3447266</v>
      </c>
      <c r="C1760" s="2" t="s">
        <v>594</v>
      </c>
      <c r="D1760" s="2" t="str">
        <f t="shared" si="26"/>
        <v>Error?</v>
      </c>
    </row>
    <row r="1761" spans="1:5" x14ac:dyDescent="0.2">
      <c r="A1761" s="5">
        <v>1700</v>
      </c>
      <c r="B1761" s="138">
        <f>'Tax Sched 23'!D5</f>
        <v>481463</v>
      </c>
      <c r="C1761" s="2" t="s">
        <v>594</v>
      </c>
      <c r="D1761" s="2" t="str">
        <f t="shared" si="26"/>
        <v>Error?</v>
      </c>
    </row>
    <row r="1762" spans="1:5" s="8" customFormat="1" x14ac:dyDescent="0.2">
      <c r="A1762" s="5">
        <v>1701</v>
      </c>
      <c r="B1762" s="138">
        <f>'Tax Sched 23'!D6</f>
        <v>995197</v>
      </c>
      <c r="C1762" s="2" t="s">
        <v>594</v>
      </c>
      <c r="D1762" s="2" t="str">
        <f t="shared" si="26"/>
        <v>Error?</v>
      </c>
      <c r="E1762" s="9"/>
    </row>
    <row r="1763" spans="1:5" x14ac:dyDescent="0.2">
      <c r="A1763" s="5">
        <v>1702</v>
      </c>
      <c r="B1763" s="138">
        <f>'Tax Sched 23'!D7</f>
        <v>231103</v>
      </c>
      <c r="C1763" s="2" t="s">
        <v>594</v>
      </c>
      <c r="D1763" s="2" t="str">
        <f t="shared" si="26"/>
        <v>Error?</v>
      </c>
    </row>
    <row r="1764" spans="1:5" x14ac:dyDescent="0.2">
      <c r="A1764" s="5">
        <v>1703</v>
      </c>
      <c r="B1764" s="138">
        <f>'Tax Sched 23'!D8</f>
        <v>45093</v>
      </c>
      <c r="C1764" s="2" t="s">
        <v>594</v>
      </c>
      <c r="D1764" s="2" t="str">
        <f t="shared" si="26"/>
        <v>Error?</v>
      </c>
    </row>
    <row r="1765" spans="1:5" x14ac:dyDescent="0.2">
      <c r="A1765" s="5">
        <v>1704</v>
      </c>
      <c r="B1765" s="138">
        <f>'Tax Sched 23'!D10</f>
        <v>96293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105222</v>
      </c>
      <c r="C1768" s="2" t="s">
        <v>594</v>
      </c>
      <c r="D1768" s="2" t="str">
        <f t="shared" si="26"/>
        <v>Error?</v>
      </c>
    </row>
    <row r="1769" spans="1:5" x14ac:dyDescent="0.2">
      <c r="A1769" s="5">
        <v>1708</v>
      </c>
      <c r="B1769" s="138">
        <f>'Tax Sched 23'!D12</f>
        <v>96293</v>
      </c>
      <c r="C1769" s="2" t="s">
        <v>594</v>
      </c>
      <c r="D1769" s="2" t="str">
        <f t="shared" si="26"/>
        <v>Error?</v>
      </c>
    </row>
    <row r="1770" spans="1:5" x14ac:dyDescent="0.2">
      <c r="A1770" s="5">
        <v>1709</v>
      </c>
      <c r="B1770" s="138">
        <f>'Tax Sched 23'!D14</f>
        <v>38517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5687868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3430395</v>
      </c>
      <c r="C1792" s="2" t="s">
        <v>594</v>
      </c>
      <c r="D1792" s="2" t="str">
        <f t="shared" si="27"/>
        <v>Error?</v>
      </c>
    </row>
    <row r="1793" spans="1:4" x14ac:dyDescent="0.2">
      <c r="A1793" s="5">
        <v>1732</v>
      </c>
      <c r="B1793" s="138">
        <f>'Tax Sched 23'!F5</f>
        <v>479105</v>
      </c>
      <c r="C1793" s="2" t="s">
        <v>594</v>
      </c>
      <c r="D1793" s="2" t="str">
        <f t="shared" si="27"/>
        <v>Error?</v>
      </c>
    </row>
    <row r="1794" spans="1:4" x14ac:dyDescent="0.2">
      <c r="A1794" s="5">
        <v>1733</v>
      </c>
      <c r="B1794" s="138">
        <f>'Tax Sched 23'!F6</f>
        <v>862197</v>
      </c>
      <c r="C1794" s="2" t="s">
        <v>594</v>
      </c>
      <c r="D1794" s="2" t="str">
        <f t="shared" si="27"/>
        <v>Error?</v>
      </c>
    </row>
    <row r="1795" spans="1:4" x14ac:dyDescent="0.2">
      <c r="A1795" s="5">
        <v>1734</v>
      </c>
      <c r="B1795" s="138">
        <f>'Tax Sched 23'!F7</f>
        <v>229971</v>
      </c>
      <c r="C1795" s="2" t="s">
        <v>594</v>
      </c>
      <c r="D1795" s="2" t="str">
        <f t="shared" si="27"/>
        <v>Error?</v>
      </c>
    </row>
    <row r="1796" spans="1:4" x14ac:dyDescent="0.2">
      <c r="A1796" s="5">
        <v>1735</v>
      </c>
      <c r="B1796" s="138">
        <f>'Tax Sched 23'!F8</f>
        <v>70543</v>
      </c>
      <c r="C1796" s="2" t="s">
        <v>594</v>
      </c>
      <c r="D1796" s="2" t="str">
        <f t="shared" si="27"/>
        <v>Error?</v>
      </c>
    </row>
    <row r="1797" spans="1:4" x14ac:dyDescent="0.2">
      <c r="A1797" s="5">
        <v>1736</v>
      </c>
      <c r="B1797" s="138">
        <f>'Tax Sched 23'!F10</f>
        <v>95821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146970</v>
      </c>
      <c r="C1800" s="2" t="s">
        <v>594</v>
      </c>
      <c r="D1800" s="2" t="str">
        <f t="shared" si="27"/>
        <v>Error?</v>
      </c>
    </row>
    <row r="1801" spans="1:4" x14ac:dyDescent="0.2">
      <c r="A1801" s="5">
        <v>1740</v>
      </c>
      <c r="B1801" s="138">
        <f>'Tax Sched 23'!F12</f>
        <v>95821</v>
      </c>
      <c r="C1801" s="2" t="s">
        <v>594</v>
      </c>
      <c r="D1801" s="2" t="str">
        <f t="shared" si="27"/>
        <v>Error?</v>
      </c>
    </row>
    <row r="1802" spans="1:4" x14ac:dyDescent="0.2">
      <c r="A1802" s="5">
        <v>1741</v>
      </c>
      <c r="B1802" s="138">
        <f>'Tax Sched 23'!F14</f>
        <v>38329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5631193</v>
      </c>
      <c r="C1807" s="2" t="s">
        <v>594</v>
      </c>
      <c r="D1807" s="2" t="str">
        <f t="shared" si="27"/>
        <v>Error?</v>
      </c>
    </row>
    <row r="1808" spans="1:4" x14ac:dyDescent="0.2">
      <c r="A1808" s="5">
        <v>1747</v>
      </c>
      <c r="B1808" s="138">
        <f>'Tax Sched 23'!E4</f>
        <v>3430395</v>
      </c>
      <c r="D1808" s="2" t="str">
        <f t="shared" si="27"/>
        <v>Error?</v>
      </c>
    </row>
    <row r="1809" spans="1:4" x14ac:dyDescent="0.2">
      <c r="A1809" s="5">
        <v>1748</v>
      </c>
      <c r="B1809" s="138">
        <f>'Tax Sched 23'!E5</f>
        <v>479105</v>
      </c>
      <c r="D1809" s="2" t="str">
        <f t="shared" si="27"/>
        <v>Error?</v>
      </c>
    </row>
    <row r="1810" spans="1:4" x14ac:dyDescent="0.2">
      <c r="A1810" s="5">
        <v>1749</v>
      </c>
      <c r="B1810" s="138">
        <f>'Tax Sched 23'!E6</f>
        <v>862197</v>
      </c>
      <c r="D1810" s="2" t="str">
        <f t="shared" si="27"/>
        <v>Error?</v>
      </c>
    </row>
    <row r="1811" spans="1:4" x14ac:dyDescent="0.2">
      <c r="A1811" s="5">
        <v>1750</v>
      </c>
      <c r="B1811" s="138">
        <f>'Tax Sched 23'!E7</f>
        <v>229971</v>
      </c>
      <c r="D1811" s="2" t="str">
        <f t="shared" si="27"/>
        <v>Error?</v>
      </c>
    </row>
    <row r="1812" spans="1:4" x14ac:dyDescent="0.2">
      <c r="A1812" s="5">
        <v>1751</v>
      </c>
      <c r="B1812" s="138">
        <f>'Tax Sched 23'!E8</f>
        <v>70543</v>
      </c>
      <c r="D1812" s="2" t="str">
        <f t="shared" si="27"/>
        <v>Error?</v>
      </c>
    </row>
    <row r="1813" spans="1:4" x14ac:dyDescent="0.2">
      <c r="A1813" s="5">
        <v>1752</v>
      </c>
      <c r="B1813" s="138">
        <f>'Tax Sched 23'!E10</f>
        <v>95821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146970</v>
      </c>
      <c r="D1816" s="2" t="str">
        <f t="shared" si="27"/>
        <v>Error?</v>
      </c>
    </row>
    <row r="1817" spans="1:4" x14ac:dyDescent="0.2">
      <c r="A1817" s="5">
        <v>1756</v>
      </c>
      <c r="B1817" s="138">
        <f>'Tax Sched 23'!E12</f>
        <v>95821</v>
      </c>
      <c r="D1817" s="2" t="str">
        <f t="shared" si="27"/>
        <v>Error?</v>
      </c>
    </row>
    <row r="1818" spans="1:4" x14ac:dyDescent="0.2">
      <c r="A1818" s="5">
        <v>1757</v>
      </c>
      <c r="B1818" s="138">
        <f>'Tax Sched 23'!E14</f>
        <v>38329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5631193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8085000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38517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38517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38517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510156</v>
      </c>
      <c r="D2008" s="2" t="str">
        <f t="shared" si="30"/>
        <v>Error?</v>
      </c>
    </row>
    <row r="2009" spans="1:4" x14ac:dyDescent="0.2">
      <c r="A2009" s="5">
        <v>1948</v>
      </c>
      <c r="B2009" s="138">
        <f>'Cap Outlay Deprec 26'!C8</f>
        <v>17904524</v>
      </c>
      <c r="D2009" s="2" t="str">
        <f t="shared" si="30"/>
        <v>Error?</v>
      </c>
    </row>
    <row r="2010" spans="1:4" x14ac:dyDescent="0.2">
      <c r="A2010" s="5">
        <v>1949</v>
      </c>
      <c r="B2010" s="138">
        <f>'Cap Outlay Deprec 26'!C10</f>
        <v>79358</v>
      </c>
      <c r="D2010" s="2" t="str">
        <f t="shared" si="30"/>
        <v>Error?</v>
      </c>
    </row>
    <row r="2011" spans="1:4" x14ac:dyDescent="0.2">
      <c r="A2011" s="5">
        <v>1950</v>
      </c>
      <c r="B2011" s="138">
        <f>'Cap Outlay Deprec 26'!C12</f>
        <v>331344</v>
      </c>
      <c r="D2011" s="2" t="str">
        <f t="shared" si="30"/>
        <v>Error?</v>
      </c>
    </row>
    <row r="2012" spans="1:4" x14ac:dyDescent="0.2">
      <c r="A2012" s="5">
        <v>1951</v>
      </c>
      <c r="B2012" s="138">
        <f>'Cap Outlay Deprec 26'!C13</f>
        <v>1415470</v>
      </c>
      <c r="D2012" s="2" t="str">
        <f t="shared" si="30"/>
        <v>Error?</v>
      </c>
    </row>
    <row r="2013" spans="1:4" x14ac:dyDescent="0.2">
      <c r="A2013" s="5">
        <v>1952</v>
      </c>
      <c r="B2013" s="138">
        <f>'Cap Outlay Deprec 26'!C16</f>
        <v>21776099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37250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37250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510156</v>
      </c>
      <c r="C2026" s="2" t="s">
        <v>594</v>
      </c>
      <c r="D2026" s="2" t="str">
        <f t="shared" si="30"/>
        <v>Error?</v>
      </c>
    </row>
    <row r="2027" spans="1:4" x14ac:dyDescent="0.2">
      <c r="A2027" s="5">
        <v>1966</v>
      </c>
      <c r="B2027" s="138">
        <f>'Cap Outlay Deprec 26'!F8</f>
        <v>17904524</v>
      </c>
      <c r="C2027" s="2" t="s">
        <v>594</v>
      </c>
      <c r="D2027" s="2" t="str">
        <f t="shared" si="30"/>
        <v>Error?</v>
      </c>
    </row>
    <row r="2028" spans="1:4" x14ac:dyDescent="0.2">
      <c r="A2028" s="5">
        <v>1967</v>
      </c>
      <c r="B2028" s="138">
        <f>'Cap Outlay Deprec 26'!F10</f>
        <v>116608</v>
      </c>
      <c r="C2028" s="2" t="s">
        <v>594</v>
      </c>
      <c r="D2028" s="2" t="str">
        <f t="shared" si="30"/>
        <v>Error?</v>
      </c>
    </row>
    <row r="2029" spans="1:4" x14ac:dyDescent="0.2">
      <c r="A2029" s="5">
        <v>1968</v>
      </c>
      <c r="B2029" s="138">
        <f>'Cap Outlay Deprec 26'!F12</f>
        <v>331344</v>
      </c>
      <c r="C2029" s="2" t="s">
        <v>594</v>
      </c>
      <c r="D2029" s="2" t="str">
        <f t="shared" si="30"/>
        <v>Error?</v>
      </c>
    </row>
    <row r="2030" spans="1:4" x14ac:dyDescent="0.2">
      <c r="A2030" s="5">
        <v>1969</v>
      </c>
      <c r="B2030" s="138">
        <f>'Cap Outlay Deprec 26'!F13</f>
        <v>1415470</v>
      </c>
      <c r="C2030" s="2" t="s">
        <v>594</v>
      </c>
      <c r="D2030" s="2" t="str">
        <f t="shared" si="30"/>
        <v>Error?</v>
      </c>
    </row>
    <row r="2031" spans="1:4" x14ac:dyDescent="0.2">
      <c r="A2031" s="5">
        <v>1970</v>
      </c>
      <c r="B2031" s="138">
        <f>'Cap Outlay Deprec 26'!F16</f>
        <v>21813349</v>
      </c>
      <c r="C2031" s="2" t="s">
        <v>594</v>
      </c>
      <c r="D2031" s="2" t="str">
        <f t="shared" si="30"/>
        <v>Error?</v>
      </c>
    </row>
    <row r="2032" spans="1:4" x14ac:dyDescent="0.2">
      <c r="A2032" s="10">
        <v>1971</v>
      </c>
      <c r="D2032" s="2" t="str">
        <f t="shared" si="30"/>
        <v>OK</v>
      </c>
    </row>
    <row r="2033" spans="1:4" x14ac:dyDescent="0.2">
      <c r="A2033" s="5">
        <v>1972</v>
      </c>
      <c r="B2033" s="138">
        <f>'Cap Outlay Deprec 26'!H8</f>
        <v>5315903</v>
      </c>
      <c r="D2033" s="2" t="str">
        <f t="shared" si="30"/>
        <v>Error?</v>
      </c>
    </row>
    <row r="2034" spans="1:4" x14ac:dyDescent="0.2">
      <c r="A2034" s="5">
        <v>1973</v>
      </c>
      <c r="B2034" s="138">
        <f>'Cap Outlay Deprec 26'!H10</f>
        <v>55808</v>
      </c>
      <c r="D2034" s="2" t="str">
        <f t="shared" si="30"/>
        <v>Error?</v>
      </c>
    </row>
    <row r="2035" spans="1:4" x14ac:dyDescent="0.2">
      <c r="A2035" s="5">
        <v>1974</v>
      </c>
      <c r="B2035" s="138">
        <f>'Cap Outlay Deprec 26'!H12</f>
        <v>223064</v>
      </c>
      <c r="D2035" s="2" t="str">
        <f t="shared" si="30"/>
        <v>Error?</v>
      </c>
    </row>
    <row r="2036" spans="1:4" x14ac:dyDescent="0.2">
      <c r="A2036" s="5">
        <v>1975</v>
      </c>
      <c r="B2036" s="138">
        <f>'Cap Outlay Deprec 26'!H13</f>
        <v>1278129</v>
      </c>
      <c r="D2036" s="2" t="str">
        <f t="shared" si="30"/>
        <v>Error?</v>
      </c>
    </row>
    <row r="2037" spans="1:4" x14ac:dyDescent="0.2">
      <c r="A2037" s="5">
        <v>1976</v>
      </c>
      <c r="B2037" s="138">
        <f>'Cap Outlay Deprec 26'!H16</f>
        <v>7244472</v>
      </c>
      <c r="C2037" s="2" t="s">
        <v>594</v>
      </c>
      <c r="D2037" s="2" t="str">
        <f t="shared" si="30"/>
        <v>Error?</v>
      </c>
    </row>
    <row r="2038" spans="1:4" x14ac:dyDescent="0.2">
      <c r="A2038" s="10">
        <v>1977</v>
      </c>
      <c r="D2038" s="2" t="str">
        <f t="shared" si="30"/>
        <v>OK</v>
      </c>
    </row>
    <row r="2039" spans="1:4" x14ac:dyDescent="0.2">
      <c r="A2039" s="5">
        <v>1978</v>
      </c>
      <c r="B2039" s="138">
        <f>'Cap Outlay Deprec 26'!I8</f>
        <v>347266</v>
      </c>
      <c r="D2039" s="2" t="str">
        <f t="shared" si="30"/>
        <v>Error?</v>
      </c>
    </row>
    <row r="2040" spans="1:4" x14ac:dyDescent="0.2">
      <c r="A2040" s="5">
        <v>1979</v>
      </c>
      <c r="B2040" s="138">
        <f>'Cap Outlay Deprec 26'!I10</f>
        <v>2629</v>
      </c>
      <c r="D2040" s="2" t="str">
        <f t="shared" si="30"/>
        <v>Error?</v>
      </c>
    </row>
    <row r="2041" spans="1:4" x14ac:dyDescent="0.2">
      <c r="A2041" s="5">
        <v>1980</v>
      </c>
      <c r="B2041" s="138">
        <f>'Cap Outlay Deprec 26'!I12</f>
        <v>32531</v>
      </c>
      <c r="D2041" s="2" t="str">
        <f t="shared" si="30"/>
        <v>Error?</v>
      </c>
    </row>
    <row r="2042" spans="1:4" x14ac:dyDescent="0.2">
      <c r="A2042" s="5">
        <v>1981</v>
      </c>
      <c r="B2042" s="138">
        <f>'Cap Outlay Deprec 26'!I13</f>
        <v>36367</v>
      </c>
      <c r="D2042" s="2" t="str">
        <f t="shared" si="30"/>
        <v>Error?</v>
      </c>
    </row>
    <row r="2043" spans="1:4" x14ac:dyDescent="0.2">
      <c r="A2043" s="5">
        <v>1982</v>
      </c>
      <c r="B2043" s="138">
        <f>'Cap Outlay Deprec 26'!I16</f>
        <v>480854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5663169</v>
      </c>
      <c r="C2051" s="2" t="s">
        <v>594</v>
      </c>
      <c r="D2051" s="2" t="str">
        <f t="shared" si="31"/>
        <v>Error?</v>
      </c>
    </row>
    <row r="2052" spans="1:4" x14ac:dyDescent="0.2">
      <c r="A2052" s="5">
        <v>1991</v>
      </c>
      <c r="B2052" s="138">
        <f>'Cap Outlay Deprec 26'!K10</f>
        <v>58437</v>
      </c>
      <c r="C2052" s="2" t="s">
        <v>594</v>
      </c>
      <c r="D2052" s="2" t="str">
        <f t="shared" si="31"/>
        <v>Error?</v>
      </c>
    </row>
    <row r="2053" spans="1:4" x14ac:dyDescent="0.2">
      <c r="A2053" s="5">
        <v>1992</v>
      </c>
      <c r="B2053" s="138">
        <f>'Cap Outlay Deprec 26'!K12</f>
        <v>255595</v>
      </c>
      <c r="C2053" s="2" t="s">
        <v>594</v>
      </c>
      <c r="D2053" s="2" t="str">
        <f t="shared" si="31"/>
        <v>Error?</v>
      </c>
    </row>
    <row r="2054" spans="1:4" x14ac:dyDescent="0.2">
      <c r="A2054" s="5">
        <v>1993</v>
      </c>
      <c r="B2054" s="138">
        <f>'Cap Outlay Deprec 26'!K13</f>
        <v>1314496</v>
      </c>
      <c r="C2054" s="2" t="s">
        <v>594</v>
      </c>
      <c r="D2054" s="2" t="str">
        <f t="shared" si="31"/>
        <v>Error?</v>
      </c>
    </row>
    <row r="2055" spans="1:4" x14ac:dyDescent="0.2">
      <c r="A2055" s="5">
        <v>1994</v>
      </c>
      <c r="B2055" s="138">
        <f>'Cap Outlay Deprec 26'!K16</f>
        <v>7725326</v>
      </c>
      <c r="C2055" s="2" t="s">
        <v>594</v>
      </c>
      <c r="D2055" s="2" t="str">
        <f t="shared" si="31"/>
        <v>Error?</v>
      </c>
    </row>
    <row r="2056" spans="1:4" x14ac:dyDescent="0.2">
      <c r="A2056" s="5">
        <v>1995</v>
      </c>
      <c r="B2056" s="138">
        <f>'Cap Outlay Deprec 26'!L5</f>
        <v>510156</v>
      </c>
      <c r="C2056" s="2" t="s">
        <v>594</v>
      </c>
      <c r="D2056" s="2" t="str">
        <f t="shared" si="31"/>
        <v>Error?</v>
      </c>
    </row>
    <row r="2057" spans="1:4" x14ac:dyDescent="0.2">
      <c r="A2057" s="5">
        <v>1996</v>
      </c>
      <c r="B2057" s="138">
        <f>'Cap Outlay Deprec 26'!L8</f>
        <v>12241355</v>
      </c>
      <c r="C2057" s="2" t="s">
        <v>594</v>
      </c>
      <c r="D2057" s="2" t="str">
        <f t="shared" si="31"/>
        <v>Error?</v>
      </c>
    </row>
    <row r="2058" spans="1:4" x14ac:dyDescent="0.2">
      <c r="A2058" s="5">
        <v>1997</v>
      </c>
      <c r="B2058" s="138">
        <f>'Cap Outlay Deprec 26'!L10</f>
        <v>58171</v>
      </c>
      <c r="C2058" s="2" t="s">
        <v>594</v>
      </c>
      <c r="D2058" s="2" t="str">
        <f t="shared" si="31"/>
        <v>Error?</v>
      </c>
    </row>
    <row r="2059" spans="1:4" x14ac:dyDescent="0.2">
      <c r="A2059" s="5">
        <v>1998</v>
      </c>
      <c r="B2059" s="138">
        <f>'Cap Outlay Deprec 26'!L12</f>
        <v>75749</v>
      </c>
      <c r="C2059" s="2" t="s">
        <v>594</v>
      </c>
      <c r="D2059" s="2" t="str">
        <f t="shared" si="31"/>
        <v>Error?</v>
      </c>
    </row>
    <row r="2060" spans="1:4" x14ac:dyDescent="0.2">
      <c r="A2060" s="5">
        <v>1999</v>
      </c>
      <c r="B2060" s="138">
        <f>'Cap Outlay Deprec 26'!L13</f>
        <v>100974</v>
      </c>
      <c r="C2060" s="2" t="s">
        <v>594</v>
      </c>
      <c r="D2060" s="2" t="str">
        <f t="shared" si="31"/>
        <v>Error?</v>
      </c>
    </row>
    <row r="2061" spans="1:4" x14ac:dyDescent="0.2">
      <c r="A2061" s="5">
        <v>2000</v>
      </c>
      <c r="B2061" s="138">
        <f>'Cap Outlay Deprec 26'!L16</f>
        <v>14088023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46147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46147</v>
      </c>
      <c r="C2088" s="2" t="s">
        <v>594</v>
      </c>
      <c r="D2088" s="2" t="str">
        <f t="shared" si="31"/>
        <v>Error?</v>
      </c>
    </row>
    <row r="2089" spans="1:4" x14ac:dyDescent="0.2">
      <c r="A2089" s="5">
        <v>2028</v>
      </c>
      <c r="B2089" s="138">
        <f>'Expenditures 15-22'!K92</f>
        <v>357806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10068</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450795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55431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4100370</v>
      </c>
      <c r="C2551" s="2" t="s">
        <v>594</v>
      </c>
      <c r="D2551" s="2" t="str">
        <f t="shared" si="38"/>
        <v>Error?</v>
      </c>
    </row>
    <row r="2552" spans="1:4" x14ac:dyDescent="0.2">
      <c r="A2552" s="10">
        <v>2491</v>
      </c>
      <c r="D2552" s="2" t="str">
        <f t="shared" si="38"/>
        <v>OK</v>
      </c>
    </row>
    <row r="2553" spans="1:4" x14ac:dyDescent="0.2">
      <c r="A2553" s="5">
        <v>2492</v>
      </c>
      <c r="B2553" s="138">
        <f>'Acct Summary 7-8'!C6</f>
        <v>1234437</v>
      </c>
      <c r="C2553" s="2" t="s">
        <v>594</v>
      </c>
      <c r="D2553" s="2" t="str">
        <f t="shared" si="38"/>
        <v>Error?</v>
      </c>
    </row>
    <row r="2554" spans="1:4" x14ac:dyDescent="0.2">
      <c r="A2554" s="5">
        <v>2493</v>
      </c>
      <c r="B2554" s="138">
        <f>'Acct Summary 7-8'!C7</f>
        <v>300537</v>
      </c>
      <c r="C2554" s="2" t="s">
        <v>594</v>
      </c>
      <c r="D2554" s="2" t="str">
        <f t="shared" si="38"/>
        <v>Error?</v>
      </c>
    </row>
    <row r="2555" spans="1:4" x14ac:dyDescent="0.2">
      <c r="A2555" s="5">
        <v>2494</v>
      </c>
      <c r="B2555" s="138">
        <f>'Acct Summary 7-8'!C8</f>
        <v>5643089</v>
      </c>
      <c r="C2555" s="2" t="s">
        <v>594</v>
      </c>
      <c r="D2555" s="2" t="str">
        <f t="shared" si="38"/>
        <v>Error?</v>
      </c>
    </row>
    <row r="2556" spans="1:4" x14ac:dyDescent="0.2">
      <c r="A2556" s="5">
        <v>2495</v>
      </c>
      <c r="B2556" s="138">
        <f>'Acct Summary 7-8'!C12</f>
        <v>3783285</v>
      </c>
      <c r="C2556" s="2" t="s">
        <v>594</v>
      </c>
      <c r="D2556" s="2" t="str">
        <f t="shared" si="38"/>
        <v>Error?</v>
      </c>
    </row>
    <row r="2557" spans="1:4" x14ac:dyDescent="0.2">
      <c r="A2557" s="5">
        <v>2496</v>
      </c>
      <c r="B2557" s="138">
        <f>'Acct Summary 7-8'!C13</f>
        <v>1399003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403953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5586241</v>
      </c>
      <c r="C2561" s="2" t="s">
        <v>594</v>
      </c>
      <c r="D2561" s="2" t="str">
        <f t="shared" si="39"/>
        <v>Error?</v>
      </c>
    </row>
    <row r="2562" spans="1:4" x14ac:dyDescent="0.2">
      <c r="A2562" s="5">
        <v>2501</v>
      </c>
      <c r="B2562" s="138">
        <f>'Acct Summary 7-8'!C20</f>
        <v>56848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520121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3842</v>
      </c>
      <c r="C2567" s="2" t="s">
        <v>594</v>
      </c>
      <c r="D2567" s="2" t="str">
        <f t="shared" si="39"/>
        <v>Error?</v>
      </c>
    </row>
    <row r="2568" spans="1:4" x14ac:dyDescent="0.2">
      <c r="A2568" s="5">
        <v>2507</v>
      </c>
      <c r="B2568" s="138">
        <f>'Acct Summary 7-8'!D8</f>
        <v>523963</v>
      </c>
      <c r="C2568" s="2" t="s">
        <v>594</v>
      </c>
      <c r="D2568" s="2" t="str">
        <f t="shared" si="39"/>
        <v>Error?</v>
      </c>
    </row>
    <row r="2569" spans="1:4" x14ac:dyDescent="0.2">
      <c r="A2569" s="5">
        <v>2508</v>
      </c>
      <c r="B2569" s="138">
        <f>'Acct Summary 7-8'!D13</f>
        <v>459712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459712</v>
      </c>
      <c r="C2573" s="2" t="s">
        <v>594</v>
      </c>
      <c r="D2573" s="2" t="str">
        <f t="shared" si="39"/>
        <v>Error?</v>
      </c>
    </row>
    <row r="2574" spans="1:4" x14ac:dyDescent="0.2">
      <c r="A2574" s="5">
        <v>2513</v>
      </c>
      <c r="B2574" s="138">
        <f>'Acct Summary 7-8'!D20</f>
        <v>64251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1265752</v>
      </c>
      <c r="C2591" s="2" t="s">
        <v>594</v>
      </c>
      <c r="D2591" s="2" t="str">
        <f t="shared" si="39"/>
        <v>Error?</v>
      </c>
    </row>
    <row r="2592" spans="1:4" x14ac:dyDescent="0.2">
      <c r="A2592" s="10">
        <v>2531</v>
      </c>
      <c r="D2592" s="2" t="str">
        <f t="shared" si="39"/>
        <v>OK</v>
      </c>
    </row>
    <row r="2593" spans="1:4" x14ac:dyDescent="0.2">
      <c r="A2593" s="5">
        <v>2532</v>
      </c>
      <c r="B2593" s="138">
        <f>'Acct Summary 7-8'!F6</f>
        <v>194484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1460236</v>
      </c>
      <c r="C2595" s="2" t="s">
        <v>594</v>
      </c>
      <c r="D2595" s="2" t="str">
        <f t="shared" si="39"/>
        <v>Error?</v>
      </c>
    </row>
    <row r="2596" spans="1:4" x14ac:dyDescent="0.2">
      <c r="A2596" s="5">
        <v>2535</v>
      </c>
      <c r="B2596" s="138">
        <f>'Acct Summary 7-8'!F13</f>
        <v>1372919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1372919</v>
      </c>
      <c r="C2600" s="2" t="s">
        <v>594</v>
      </c>
      <c r="D2600" s="2" t="str">
        <f t="shared" si="39"/>
        <v>Error?</v>
      </c>
    </row>
    <row r="2601" spans="1:4" x14ac:dyDescent="0.2">
      <c r="A2601" s="5">
        <v>2540</v>
      </c>
      <c r="B2601" s="138">
        <f>'Acct Summary 7-8'!F20</f>
        <v>87317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208171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208171</v>
      </c>
      <c r="C2606" s="2" t="s">
        <v>594</v>
      </c>
      <c r="D2606" s="2" t="str">
        <f t="shared" si="39"/>
        <v>Error?</v>
      </c>
    </row>
    <row r="2607" spans="1:4" x14ac:dyDescent="0.2">
      <c r="A2607" s="5">
        <v>2546</v>
      </c>
      <c r="B2607" s="138">
        <f>'Acct Summary 7-8'!G12</f>
        <v>75278</v>
      </c>
      <c r="C2607" s="2" t="s">
        <v>594</v>
      </c>
      <c r="D2607" s="2" t="str">
        <f t="shared" si="39"/>
        <v>Error?</v>
      </c>
    </row>
    <row r="2608" spans="1:4" x14ac:dyDescent="0.2">
      <c r="A2608" s="5">
        <v>2547</v>
      </c>
      <c r="B2608" s="138">
        <f>'Acct Summary 7-8'!G13</f>
        <v>215641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290919</v>
      </c>
      <c r="C2612" s="2" t="s">
        <v>594</v>
      </c>
      <c r="D2612" s="2" t="str">
        <f t="shared" si="39"/>
        <v>Error?</v>
      </c>
    </row>
    <row r="2613" spans="1:4" x14ac:dyDescent="0.2">
      <c r="A2613" s="5">
        <v>2552</v>
      </c>
      <c r="B2613" s="138">
        <f>'Acct Summary 7-8'!G20</f>
        <v>-82748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1345494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1345494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994300</v>
      </c>
      <c r="C2634" s="2" t="s">
        <v>594</v>
      </c>
      <c r="D2634" s="2" t="str">
        <f t="shared" si="40"/>
        <v>Error?</v>
      </c>
    </row>
    <row r="2635" spans="1:4" x14ac:dyDescent="0.2">
      <c r="A2635" s="5">
        <v>2574</v>
      </c>
      <c r="B2635" s="138">
        <f>'Acct Summary 7-8'!E17</f>
        <v>994300</v>
      </c>
      <c r="C2635" s="2" t="s">
        <v>594</v>
      </c>
      <c r="D2635" s="2" t="str">
        <f t="shared" si="40"/>
        <v>Error?</v>
      </c>
    </row>
    <row r="2636" spans="1:4" x14ac:dyDescent="0.2">
      <c r="A2636" s="5">
        <v>2575</v>
      </c>
      <c r="B2636" s="138">
        <f>'Acct Summary 7-8'!E20</f>
        <v>351194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211793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211793</v>
      </c>
      <c r="C2658" s="2" t="s">
        <v>594</v>
      </c>
      <c r="D2658" s="2" t="str">
        <f t="shared" si="40"/>
        <v>Error?</v>
      </c>
    </row>
    <row r="2659" spans="1:4" x14ac:dyDescent="0.2">
      <c r="A2659" s="5">
        <v>2598</v>
      </c>
      <c r="B2659" s="138">
        <f>'Acct Summary 7-8'!H13</f>
        <v>300824</v>
      </c>
      <c r="C2659" s="2" t="s">
        <v>594</v>
      </c>
      <c r="D2659" s="2" t="str">
        <f t="shared" si="40"/>
        <v>Error?</v>
      </c>
    </row>
    <row r="2660" spans="1:4" x14ac:dyDescent="0.2">
      <c r="A2660" s="5">
        <v>2599</v>
      </c>
      <c r="B2660" s="138">
        <f>'Acct Summary 7-8'!H15</f>
        <v>10068</v>
      </c>
      <c r="C2660" s="2" t="s">
        <v>594</v>
      </c>
      <c r="D2660" s="2" t="str">
        <f t="shared" si="40"/>
        <v>Error?</v>
      </c>
    </row>
    <row r="2661" spans="1:4" x14ac:dyDescent="0.2">
      <c r="A2661" s="5">
        <v>2600</v>
      </c>
      <c r="B2661" s="138">
        <f>'Acct Summary 7-8'!H17</f>
        <v>310892</v>
      </c>
      <c r="C2661" s="2" t="s">
        <v>594</v>
      </c>
      <c r="D2661" s="2" t="str">
        <f t="shared" si="40"/>
        <v>Error?</v>
      </c>
    </row>
    <row r="2662" spans="1:4" x14ac:dyDescent="0.2">
      <c r="A2662" s="5">
        <v>2601</v>
      </c>
      <c r="B2662" s="138">
        <f>'Acct Summary 7-8'!H20</f>
        <v>-99099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34291</v>
      </c>
      <c r="D2718" s="2" t="str">
        <f t="shared" si="41"/>
        <v>Error?</v>
      </c>
    </row>
    <row r="2719" spans="1:4" x14ac:dyDescent="0.2">
      <c r="A2719" s="5">
        <v>2658</v>
      </c>
      <c r="B2719" s="138">
        <f>'Expenditures 15-22'!D51</f>
        <v>7315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503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42109</v>
      </c>
      <c r="C2724" s="2" t="s">
        <v>594</v>
      </c>
      <c r="D2724" s="2" t="str">
        <f t="shared" si="41"/>
        <v>Error?</v>
      </c>
    </row>
    <row r="2725" spans="1:4" x14ac:dyDescent="0.2">
      <c r="A2725" s="5">
        <v>2664</v>
      </c>
      <c r="B2725" s="138">
        <f>'Expenditures 15-22'!D247</f>
        <v>458</v>
      </c>
      <c r="D2725" s="2" t="str">
        <f t="shared" si="41"/>
        <v>Error?</v>
      </c>
    </row>
    <row r="2726" spans="1:4" x14ac:dyDescent="0.2">
      <c r="A2726" s="5">
        <v>2665</v>
      </c>
      <c r="B2726" s="138">
        <f>'Expenditures 15-22'!K247</f>
        <v>458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513113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525834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66804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525834</v>
      </c>
      <c r="D2912" s="2" t="str">
        <f t="shared" si="44"/>
        <v>Error?</v>
      </c>
    </row>
    <row r="2913" spans="1:4" x14ac:dyDescent="0.2">
      <c r="A2913" s="5">
        <v>2852</v>
      </c>
      <c r="B2913" s="138">
        <f>'Assets-Liab 5-6'!I41</f>
        <v>525834</v>
      </c>
      <c r="C2913" s="2" t="s">
        <v>594</v>
      </c>
      <c r="D2913" s="2" t="str">
        <f t="shared" si="44"/>
        <v>Error?</v>
      </c>
    </row>
    <row r="2914" spans="1:4" x14ac:dyDescent="0.2">
      <c r="A2914" s="5">
        <v>2853</v>
      </c>
      <c r="B2914" s="138">
        <f>'Assets-Liab 5-6'!L33</f>
        <v>66804</v>
      </c>
      <c r="D2914" s="2" t="str">
        <f t="shared" si="44"/>
        <v>Error?</v>
      </c>
    </row>
    <row r="2915" spans="1:4" x14ac:dyDescent="0.2">
      <c r="A2915" s="10">
        <v>2854</v>
      </c>
      <c r="D2915" s="2" t="str">
        <f t="shared" si="44"/>
        <v>OK</v>
      </c>
    </row>
    <row r="2916" spans="1:4" x14ac:dyDescent="0.2">
      <c r="A2916" s="5">
        <v>2855</v>
      </c>
      <c r="B2916" s="138">
        <f>'Assets-Liab 5-6'!L34</f>
        <v>66804</v>
      </c>
      <c r="C2916" s="2" t="s">
        <v>594</v>
      </c>
      <c r="D2916" s="2" t="str">
        <f t="shared" si="44"/>
        <v>Error?</v>
      </c>
    </row>
    <row r="2917" spans="1:4" x14ac:dyDescent="0.2">
      <c r="A2917" s="5">
        <v>2856</v>
      </c>
      <c r="B2917" s="138">
        <f>'Assets-Liab 5-6'!L41</f>
        <v>66804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46147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46147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148199</v>
      </c>
      <c r="D3055" s="2" t="str">
        <f t="shared" si="46"/>
        <v>Error?</v>
      </c>
    </row>
    <row r="3056" spans="1:4" x14ac:dyDescent="0.2">
      <c r="A3056" s="5">
        <v>2995</v>
      </c>
      <c r="B3056" s="138">
        <f>'Expenditures 15-22'!D10</f>
        <v>25257</v>
      </c>
      <c r="D3056" s="2" t="str">
        <f t="shared" si="46"/>
        <v>Error?</v>
      </c>
    </row>
    <row r="3057" spans="1:4" x14ac:dyDescent="0.2">
      <c r="A3057" s="5">
        <v>2996</v>
      </c>
      <c r="B3057" s="138">
        <f>'Expenditures 15-22'!E10</f>
        <v>210</v>
      </c>
      <c r="D3057" s="2" t="str">
        <f t="shared" si="46"/>
        <v>Error?</v>
      </c>
    </row>
    <row r="3058" spans="1:4" x14ac:dyDescent="0.2">
      <c r="A3058" s="5">
        <v>2997</v>
      </c>
      <c r="B3058" s="138">
        <f>'Expenditures 15-22'!F10</f>
        <v>5623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179289</v>
      </c>
      <c r="C3062" s="2" t="s">
        <v>594</v>
      </c>
      <c r="D3062" s="2" t="str">
        <f t="shared" si="46"/>
        <v>Error?</v>
      </c>
    </row>
    <row r="3063" spans="1:4" x14ac:dyDescent="0.2">
      <c r="A3063" s="10">
        <v>3002</v>
      </c>
      <c r="D3063" s="2" t="str">
        <f t="shared" si="46"/>
        <v>OK</v>
      </c>
    </row>
    <row r="3064" spans="1:4" x14ac:dyDescent="0.2">
      <c r="A3064" s="5">
        <v>3003</v>
      </c>
      <c r="B3064" s="138">
        <f>'Expenditures 15-22'!D219</f>
        <v>13397</v>
      </c>
      <c r="D3064" s="2" t="str">
        <f t="shared" si="46"/>
        <v>Error?</v>
      </c>
    </row>
    <row r="3065" spans="1:4" x14ac:dyDescent="0.2">
      <c r="A3065" s="5">
        <v>3004</v>
      </c>
      <c r="B3065" s="138">
        <f>'Expenditures 15-22'!K219</f>
        <v>13397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103198</v>
      </c>
      <c r="C3225" s="2" t="s">
        <v>594</v>
      </c>
      <c r="D3225" s="2" t="str">
        <f t="shared" si="49"/>
        <v>Error?</v>
      </c>
    </row>
    <row r="3226" spans="1:4" x14ac:dyDescent="0.2">
      <c r="A3226" s="5">
        <v>3165</v>
      </c>
      <c r="B3226" s="138">
        <f>'Acct Summary 7-8'!I8</f>
        <v>103198</v>
      </c>
      <c r="C3226" s="2" t="s">
        <v>594</v>
      </c>
      <c r="D3226" s="2" t="str">
        <f t="shared" si="49"/>
        <v>Error?</v>
      </c>
    </row>
    <row r="3227" spans="1:4" x14ac:dyDescent="0.2">
      <c r="A3227" s="5">
        <v>3166</v>
      </c>
      <c r="B3227" s="138">
        <f>'Acct Summary 7-8'!I20</f>
        <v>103198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90000</v>
      </c>
      <c r="C3232" s="2" t="s">
        <v>594</v>
      </c>
      <c r="D3232" s="2" t="str">
        <f t="shared" si="49"/>
        <v>Error?</v>
      </c>
    </row>
    <row r="3233" spans="1:4" x14ac:dyDescent="0.2">
      <c r="A3233" s="5">
        <v>3172</v>
      </c>
      <c r="B3233" s="138">
        <f>'Acct Summary 7-8'!C78</f>
        <v>146848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200000</v>
      </c>
      <c r="C3237" s="2" t="s">
        <v>594</v>
      </c>
      <c r="D3237" s="2" t="str">
        <f t="shared" si="49"/>
        <v>Error?</v>
      </c>
    </row>
    <row r="3238" spans="1:4" x14ac:dyDescent="0.2">
      <c r="A3238" s="5">
        <v>3177</v>
      </c>
      <c r="B3238" s="138">
        <f>'Acct Summary 7-8'!D77</f>
        <v>-200000</v>
      </c>
      <c r="C3238" s="2" t="s">
        <v>594</v>
      </c>
      <c r="D3238" s="2" t="str">
        <f t="shared" si="49"/>
        <v>Error?</v>
      </c>
    </row>
    <row r="3239" spans="1:4" x14ac:dyDescent="0.2">
      <c r="A3239" s="5">
        <v>3178</v>
      </c>
      <c r="B3239" s="138">
        <f>'Acct Summary 7-8'!D78</f>
        <v>-135749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87317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-82748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351194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200000</v>
      </c>
      <c r="C3299" s="2" t="s">
        <v>594</v>
      </c>
      <c r="D3299" s="2" t="str">
        <f t="shared" si="50"/>
        <v>Error?</v>
      </c>
    </row>
    <row r="3300" spans="1:4" x14ac:dyDescent="0.2">
      <c r="A3300" s="5">
        <v>3239</v>
      </c>
      <c r="B3300" s="138">
        <f>'Acct Summary 7-8'!H78</f>
        <v>100901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90000</v>
      </c>
      <c r="C3318" s="2" t="s">
        <v>594</v>
      </c>
      <c r="D3318" s="2" t="str">
        <f t="shared" si="50"/>
        <v>Error?</v>
      </c>
    </row>
    <row r="3319" spans="1:4" x14ac:dyDescent="0.2">
      <c r="A3319" s="5">
        <v>3258</v>
      </c>
      <c r="B3319" s="138">
        <f>'Acct Summary 7-8'!I77</f>
        <v>-90000</v>
      </c>
      <c r="C3319" s="2" t="s">
        <v>594</v>
      </c>
      <c r="D3319" s="2" t="str">
        <f t="shared" si="50"/>
        <v>Error?</v>
      </c>
    </row>
    <row r="3320" spans="1:4" x14ac:dyDescent="0.2">
      <c r="A3320" s="5">
        <v>3259</v>
      </c>
      <c r="B3320" s="138">
        <f>'Acct Summary 7-8'!I78</f>
        <v>13198</v>
      </c>
      <c r="C3320" s="2" t="s">
        <v>594</v>
      </c>
      <c r="D3320" s="2" t="str">
        <f t="shared" si="50"/>
        <v>Error?</v>
      </c>
    </row>
    <row r="3321" spans="1:4" x14ac:dyDescent="0.2">
      <c r="A3321" s="5">
        <v>3260</v>
      </c>
      <c r="B3321" s="138">
        <f>'Acct Summary 7-8'!I79</f>
        <v>512636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525834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362663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40738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5303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409822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29852</v>
      </c>
      <c r="D3387" s="2" t="str">
        <f t="shared" si="51"/>
        <v>Error?</v>
      </c>
    </row>
    <row r="3388" spans="1:4" x14ac:dyDescent="0.2">
      <c r="A3388" s="5">
        <v>3327</v>
      </c>
      <c r="B3388" s="138">
        <f>'Expenditures 15-22'!D217</f>
        <v>21641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29852</v>
      </c>
      <c r="C3390" s="2" t="s">
        <v>594</v>
      </c>
      <c r="D3390" s="2" t="str">
        <f t="shared" si="51"/>
        <v>Error?</v>
      </c>
    </row>
    <row r="3391" spans="1:4" x14ac:dyDescent="0.2">
      <c r="A3391" s="5">
        <v>3330</v>
      </c>
      <c r="B3391" s="138">
        <f>'Expenditures 15-22'!K217</f>
        <v>21641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7745</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546267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312462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366997</v>
      </c>
      <c r="D3417" s="2" t="str">
        <f t="shared" si="52"/>
        <v>Error?</v>
      </c>
    </row>
    <row r="3418" spans="1:4" x14ac:dyDescent="0.2">
      <c r="A3418" s="10">
        <v>3357</v>
      </c>
      <c r="D3418" s="2" t="str">
        <f t="shared" si="52"/>
        <v>OK</v>
      </c>
    </row>
    <row r="3419" spans="1:4" x14ac:dyDescent="0.2">
      <c r="A3419" s="5">
        <v>3358</v>
      </c>
      <c r="B3419" s="138">
        <f>'Assets-Liab 5-6'!F4</f>
        <v>496964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86359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410551</v>
      </c>
      <c r="D3425" s="2" t="str">
        <f t="shared" si="52"/>
        <v>Error?</v>
      </c>
    </row>
    <row r="3426" spans="1:4" x14ac:dyDescent="0.2">
      <c r="A3426" s="10">
        <v>3365</v>
      </c>
      <c r="D3426" s="2" t="str">
        <f t="shared" si="52"/>
        <v>OK</v>
      </c>
    </row>
    <row r="3427" spans="1:4" x14ac:dyDescent="0.2">
      <c r="A3427" s="5">
        <v>3366</v>
      </c>
      <c r="B3427" s="138">
        <f>'Assets-Liab 5-6'!I4</f>
        <v>12721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66804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55128</v>
      </c>
      <c r="C3446" s="2" t="s">
        <v>594</v>
      </c>
      <c r="D3446" s="2" t="str">
        <f t="shared" si="52"/>
        <v>Error?</v>
      </c>
    </row>
    <row r="3447" spans="1:4" x14ac:dyDescent="0.2">
      <c r="A3447" s="5">
        <v>3386</v>
      </c>
      <c r="B3447" s="138">
        <f>'Tax Sched 23'!D16</f>
        <v>55128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86220</v>
      </c>
      <c r="C3449" s="2" t="s">
        <v>594</v>
      </c>
      <c r="D3449" s="2" t="str">
        <f t="shared" si="52"/>
        <v>Error?</v>
      </c>
    </row>
    <row r="3450" spans="1:4" x14ac:dyDescent="0.2">
      <c r="A3450" s="5">
        <v>3389</v>
      </c>
      <c r="B3450" s="138">
        <f>'Tax Sched 23'!E16</f>
        <v>86220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876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226540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227416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227416</v>
      </c>
      <c r="D3567" s="2" t="str">
        <f t="shared" si="54"/>
        <v>Error?</v>
      </c>
    </row>
    <row r="3568" spans="1:4" x14ac:dyDescent="0.2">
      <c r="A3568" s="5">
        <v>3507</v>
      </c>
      <c r="B3568" s="138">
        <f>'Assets-Liab 5-6'!K41</f>
        <v>227416</v>
      </c>
      <c r="C3568" s="2" t="s">
        <v>594</v>
      </c>
      <c r="D3568" s="2" t="str">
        <f t="shared" si="54"/>
        <v>Error?</v>
      </c>
    </row>
    <row r="3569" spans="1:4" x14ac:dyDescent="0.2">
      <c r="A3569" s="5">
        <v>3508</v>
      </c>
      <c r="B3569" s="138">
        <f>'Acct Summary 7-8'!K4</f>
        <v>96741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96741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96741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96741</v>
      </c>
      <c r="C3588" s="2" t="s">
        <v>594</v>
      </c>
      <c r="D3588" s="2" t="str">
        <f t="shared" si="55"/>
        <v>Error?</v>
      </c>
    </row>
    <row r="3589" spans="1:4" x14ac:dyDescent="0.2">
      <c r="A3589" s="5">
        <v>3528</v>
      </c>
      <c r="B3589" s="138">
        <f>'Acct Summary 7-8'!K79</f>
        <v>130675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227416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96741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10068</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96293</v>
      </c>
      <c r="C3725" s="2" t="s">
        <v>594</v>
      </c>
      <c r="D3725" s="2" t="str">
        <f t="shared" si="57"/>
        <v>Error?</v>
      </c>
    </row>
    <row r="3726" spans="1:4" x14ac:dyDescent="0.2">
      <c r="A3726" s="5">
        <v>3665</v>
      </c>
      <c r="B3726" s="138">
        <f>'Tax Sched 23'!D13</f>
        <v>96293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95821</v>
      </c>
      <c r="C3728" s="2" t="s">
        <v>594</v>
      </c>
      <c r="D3728" s="2" t="str">
        <f t="shared" si="57"/>
        <v>Error?</v>
      </c>
    </row>
    <row r="3729" spans="1:4" x14ac:dyDescent="0.2">
      <c r="A3729" s="5">
        <v>3668</v>
      </c>
      <c r="B3729" s="138">
        <f>'Tax Sched 23'!E13</f>
        <v>95821</v>
      </c>
      <c r="D3729" s="2" t="str">
        <f t="shared" si="57"/>
        <v>Error?</v>
      </c>
    </row>
    <row r="3730" spans="1:4" x14ac:dyDescent="0.2">
      <c r="A3730" s="5">
        <v>3669</v>
      </c>
      <c r="B3730" s="138">
        <f>'ICR Computation 30'!E10</f>
        <v>89570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395069</v>
      </c>
      <c r="D4113" s="2" t="str">
        <f t="shared" si="63"/>
        <v>Error?</v>
      </c>
    </row>
    <row r="4114" spans="1:4" x14ac:dyDescent="0.2">
      <c r="A4114" s="5">
        <v>4053</v>
      </c>
      <c r="B4114" s="138">
        <f>'Acct Summary 7-8'!D9</f>
        <v>2344</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2426</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6038158</v>
      </c>
      <c r="C4122" s="2" t="s">
        <v>594</v>
      </c>
      <c r="D4122" s="2" t="str">
        <f t="shared" si="63"/>
        <v>Error?</v>
      </c>
    </row>
    <row r="4123" spans="1:4" x14ac:dyDescent="0.2">
      <c r="A4123" s="5">
        <v>4062</v>
      </c>
      <c r="B4123" s="138">
        <f>'Acct Summary 7-8'!D10</f>
        <v>526307</v>
      </c>
      <c r="C4123" s="2" t="s">
        <v>594</v>
      </c>
      <c r="D4123" s="2" t="str">
        <f t="shared" si="63"/>
        <v>Error?</v>
      </c>
    </row>
    <row r="4124" spans="1:4" x14ac:dyDescent="0.2">
      <c r="A4124" s="5">
        <v>4063</v>
      </c>
      <c r="B4124" s="138">
        <f>'Acct Summary 7-8'!E10</f>
        <v>1345494</v>
      </c>
      <c r="C4124" s="2" t="s">
        <v>594</v>
      </c>
      <c r="D4124" s="2" t="str">
        <f t="shared" si="63"/>
        <v>Error?</v>
      </c>
    </row>
    <row r="4125" spans="1:4" x14ac:dyDescent="0.2">
      <c r="A4125" s="5">
        <v>4064</v>
      </c>
      <c r="B4125" s="138">
        <f>'Acct Summary 7-8'!F10</f>
        <v>1462662</v>
      </c>
      <c r="C4125" s="2" t="s">
        <v>594</v>
      </c>
      <c r="D4125" s="2" t="str">
        <f t="shared" si="63"/>
        <v>Error?</v>
      </c>
    </row>
    <row r="4126" spans="1:4" x14ac:dyDescent="0.2">
      <c r="A4126" s="5">
        <v>4065</v>
      </c>
      <c r="B4126" s="138">
        <f>'Acct Summary 7-8'!G10</f>
        <v>208171</v>
      </c>
      <c r="C4126" s="2" t="s">
        <v>594</v>
      </c>
      <c r="D4126" s="2" t="str">
        <f t="shared" si="63"/>
        <v>Error?</v>
      </c>
    </row>
    <row r="4127" spans="1:4" x14ac:dyDescent="0.2">
      <c r="A4127" s="5">
        <v>4066</v>
      </c>
      <c r="B4127" s="138">
        <f>'Acct Summary 7-8'!H10</f>
        <v>211793</v>
      </c>
      <c r="C4127" s="2" t="s">
        <v>594</v>
      </c>
      <c r="D4127" s="2" t="str">
        <f t="shared" si="63"/>
        <v>Error?</v>
      </c>
    </row>
    <row r="4128" spans="1:4" x14ac:dyDescent="0.2">
      <c r="A4128" s="5">
        <v>4067</v>
      </c>
      <c r="B4128" s="138">
        <f>'Acct Summary 7-8'!I10</f>
        <v>103198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96741</v>
      </c>
      <c r="C4130" s="2" t="s">
        <v>594</v>
      </c>
      <c r="D4130" s="2" t="str">
        <f t="shared" si="63"/>
        <v>Error?</v>
      </c>
    </row>
    <row r="4131" spans="1:4" x14ac:dyDescent="0.2">
      <c r="A4131" s="5">
        <v>4070</v>
      </c>
      <c r="B4131" s="138">
        <f>'Acct Summary 7-8'!C18</f>
        <v>395069</v>
      </c>
      <c r="C4131" s="2" t="s">
        <v>594</v>
      </c>
      <c r="D4131" s="2" t="str">
        <f t="shared" si="63"/>
        <v>Error?</v>
      </c>
    </row>
    <row r="4132" spans="1:4" x14ac:dyDescent="0.2">
      <c r="A4132" s="5">
        <v>4071</v>
      </c>
      <c r="B4132" s="138">
        <f>'Acct Summary 7-8'!D18</f>
        <v>2344</v>
      </c>
      <c r="C4132" s="2" t="s">
        <v>594</v>
      </c>
      <c r="D4132" s="2" t="str">
        <f t="shared" si="63"/>
        <v>Error?</v>
      </c>
    </row>
    <row r="4133" spans="1:4" x14ac:dyDescent="0.2">
      <c r="A4133" s="5">
        <v>4072</v>
      </c>
      <c r="B4133" s="138">
        <f>'Acct Summary 7-8'!F18</f>
        <v>2426</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5981310</v>
      </c>
      <c r="C4136" s="2" t="s">
        <v>594</v>
      </c>
      <c r="D4136" s="2" t="str">
        <f t="shared" si="63"/>
        <v>Error?</v>
      </c>
    </row>
    <row r="4137" spans="1:4" x14ac:dyDescent="0.2">
      <c r="A4137" s="5">
        <v>4076</v>
      </c>
      <c r="B4137" s="138">
        <f>'Acct Summary 7-8'!D19</f>
        <v>462056</v>
      </c>
      <c r="C4137" s="2" t="s">
        <v>594</v>
      </c>
      <c r="D4137" s="2" t="str">
        <f t="shared" si="63"/>
        <v>Error?</v>
      </c>
    </row>
    <row r="4138" spans="1:4" x14ac:dyDescent="0.2">
      <c r="A4138" s="5">
        <v>4077</v>
      </c>
      <c r="B4138" s="138">
        <f>'Acct Summary 7-8'!E19</f>
        <v>994300</v>
      </c>
      <c r="C4138" s="2" t="s">
        <v>594</v>
      </c>
      <c r="D4138" s="2" t="str">
        <f t="shared" si="63"/>
        <v>Error?</v>
      </c>
    </row>
    <row r="4139" spans="1:4" x14ac:dyDescent="0.2">
      <c r="A4139" s="5">
        <v>4078</v>
      </c>
      <c r="B4139" s="138">
        <f>'Acct Summary 7-8'!F19</f>
        <v>1375345</v>
      </c>
      <c r="C4139" s="2" t="s">
        <v>594</v>
      </c>
      <c r="D4139" s="2" t="str">
        <f t="shared" si="63"/>
        <v>Error?</v>
      </c>
    </row>
    <row r="4140" spans="1:4" x14ac:dyDescent="0.2">
      <c r="A4140" s="5">
        <v>4079</v>
      </c>
      <c r="B4140" s="138">
        <f>'Acct Summary 7-8'!G19</f>
        <v>290919</v>
      </c>
      <c r="C4140" s="2" t="s">
        <v>594</v>
      </c>
      <c r="D4140" s="2" t="str">
        <f t="shared" si="63"/>
        <v>Error?</v>
      </c>
    </row>
    <row r="4141" spans="1:4" x14ac:dyDescent="0.2">
      <c r="A4141" s="5">
        <v>4080</v>
      </c>
      <c r="B4141" s="138">
        <f>'Acct Summary 7-8'!H19</f>
        <v>310892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7415000</v>
      </c>
      <c r="C4171" s="2" t="s">
        <v>594</v>
      </c>
      <c r="D4171" s="2" t="str">
        <f t="shared" si="64"/>
        <v>Error?</v>
      </c>
    </row>
    <row r="4172" spans="1:4" x14ac:dyDescent="0.2">
      <c r="A4172" s="5">
        <v>4111</v>
      </c>
      <c r="B4172" s="138">
        <f>'Short-Term Long-Term Debt 24'!J49</f>
        <v>6781825</v>
      </c>
      <c r="C4172" s="2" t="s">
        <v>594</v>
      </c>
      <c r="D4172" s="2" t="str">
        <f t="shared" si="64"/>
        <v>Error?</v>
      </c>
    </row>
    <row r="4173" spans="1:4" x14ac:dyDescent="0.2">
      <c r="A4173" s="5">
        <v>4112</v>
      </c>
      <c r="B4173" s="138">
        <f>'Short-Term Long-Term Debt 24'!H49</f>
        <v>670000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2160</v>
      </c>
      <c r="C4268" s="2" t="s">
        <v>594</v>
      </c>
      <c r="D4268" s="2" t="str">
        <f t="shared" si="65"/>
        <v>Error?</v>
      </c>
    </row>
    <row r="4269" spans="1:5" x14ac:dyDescent="0.2">
      <c r="A4269" s="12">
        <v>4208</v>
      </c>
      <c r="B4269" s="138">
        <f>'FP Info 3'!J16</f>
        <v>4439949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17424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14743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5199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2915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15516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3842</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195619791</v>
      </c>
      <c r="D4995" s="2" t="str">
        <f t="shared" si="77"/>
        <v>Error?</v>
      </c>
    </row>
    <row r="4996" spans="1:4" x14ac:dyDescent="0.2">
      <c r="A4996" s="12">
        <v>4935</v>
      </c>
      <c r="B4996" s="138">
        <f>'FP Info 3'!H31</f>
        <v>13497765.579000002</v>
      </c>
      <c r="D4996" s="2" t="str">
        <f t="shared" si="77"/>
        <v>Error?</v>
      </c>
    </row>
    <row r="4997" spans="1:4" x14ac:dyDescent="0.2">
      <c r="A4997" s="12">
        <v>4936</v>
      </c>
      <c r="B4997" s="138">
        <f>'FP Info 3'!H37</f>
        <v>7415000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96293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3447266</v>
      </c>
      <c r="D5061" s="2" t="str">
        <f t="shared" si="78"/>
        <v>Error?</v>
      </c>
    </row>
    <row r="5062" spans="1:4" x14ac:dyDescent="0.2">
      <c r="A5062" s="10">
        <v>5001</v>
      </c>
      <c r="D5062" s="2" t="str">
        <f t="shared" si="78"/>
        <v>OK</v>
      </c>
    </row>
    <row r="5063" spans="1:4" x14ac:dyDescent="0.2">
      <c r="A5063" s="5">
        <v>5002</v>
      </c>
      <c r="B5063" s="138">
        <f>'Revenues 9-14'!C7</f>
        <v>38517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3582076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104968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104968</v>
      </c>
      <c r="C5071" s="2" t="s">
        <v>594</v>
      </c>
      <c r="D5071" s="2" t="str">
        <f t="shared" si="78"/>
        <v>Error?</v>
      </c>
    </row>
    <row r="5072" spans="1:4" x14ac:dyDescent="0.2">
      <c r="A5072" s="5">
        <v>5011</v>
      </c>
      <c r="B5072" s="138">
        <f>'Revenues 9-14'!C20</f>
        <v>6800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6800</v>
      </c>
      <c r="C5087" s="2" t="s">
        <v>594</v>
      </c>
      <c r="D5087" s="2" t="str">
        <f t="shared" si="78"/>
        <v>Error?</v>
      </c>
    </row>
    <row r="5088" spans="1:4" x14ac:dyDescent="0.2">
      <c r="A5088" s="5">
        <v>5027</v>
      </c>
      <c r="B5088" s="138">
        <f>'Revenues 9-14'!C65</f>
        <v>30570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30570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6695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340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59385</v>
      </c>
      <c r="C5096" s="2" t="s">
        <v>594</v>
      </c>
      <c r="D5096" s="2" t="str">
        <f t="shared" si="78"/>
        <v>Error?</v>
      </c>
    </row>
    <row r="5097" spans="1:4" x14ac:dyDescent="0.2">
      <c r="A5097" s="5">
        <v>5036</v>
      </c>
      <c r="B5097" s="138">
        <f>'Revenues 9-14'!C77</f>
        <v>13315</v>
      </c>
      <c r="D5097" s="2" t="str">
        <f t="shared" si="78"/>
        <v>Error?</v>
      </c>
    </row>
    <row r="5098" spans="1:4" x14ac:dyDescent="0.2">
      <c r="A5098" s="5">
        <v>5037</v>
      </c>
      <c r="B5098" s="138">
        <f>'Revenues 9-14'!C78</f>
        <v>3945</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26327</v>
      </c>
      <c r="D5101" s="2" t="str">
        <f t="shared" si="78"/>
        <v>Error?</v>
      </c>
    </row>
    <row r="5102" spans="1:4" x14ac:dyDescent="0.2">
      <c r="A5102" s="5">
        <v>5041</v>
      </c>
      <c r="B5102" s="138">
        <f>'Revenues 9-14'!C82</f>
        <v>43587</v>
      </c>
      <c r="C5102" s="2" t="s">
        <v>594</v>
      </c>
      <c r="D5102" s="2" t="str">
        <f t="shared" si="78"/>
        <v>Error?</v>
      </c>
    </row>
    <row r="5103" spans="1:4" x14ac:dyDescent="0.2">
      <c r="A5103" s="5">
        <v>5042</v>
      </c>
      <c r="B5103" s="138">
        <f>'Revenues 9-14'!C84</f>
        <v>71354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82</v>
      </c>
      <c r="D5111" s="2" t="str">
        <f t="shared" si="78"/>
        <v>Error?</v>
      </c>
    </row>
    <row r="5112" spans="1:4" x14ac:dyDescent="0.2">
      <c r="A5112" s="5">
        <v>5051</v>
      </c>
      <c r="B5112" s="138">
        <f>'Revenues 9-14'!C93</f>
        <v>71436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2500</v>
      </c>
      <c r="D5114" s="2" t="str">
        <f t="shared" si="78"/>
        <v>Error?</v>
      </c>
    </row>
    <row r="5115" spans="1:4" x14ac:dyDescent="0.2">
      <c r="A5115" s="5">
        <v>5054</v>
      </c>
      <c r="B5115" s="138">
        <f>'Revenues 9-14'!C98</f>
        <v>23244</v>
      </c>
      <c r="D5115" s="2" t="str">
        <f t="shared" si="78"/>
        <v>Error?</v>
      </c>
    </row>
    <row r="5116" spans="1:4" x14ac:dyDescent="0.2">
      <c r="A5116" s="5">
        <v>5055</v>
      </c>
      <c r="B5116" s="138">
        <f>'Revenues 9-14'!C99</f>
        <v>60000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28955</v>
      </c>
      <c r="D5119" s="2" t="str">
        <f t="shared" ref="D5119:D5182" si="79">IF(ISBLANK(B5119),"OK",IF(A5119-B5119=0,"OK","Error?"))</f>
        <v>Error?</v>
      </c>
    </row>
    <row r="5120" spans="1:4" x14ac:dyDescent="0.2">
      <c r="A5120" s="5">
        <v>5059</v>
      </c>
      <c r="B5120" s="138">
        <f>'Revenues 9-14'!C108</f>
        <v>201548</v>
      </c>
      <c r="C5120" s="2" t="s">
        <v>594</v>
      </c>
      <c r="D5120" s="2" t="str">
        <f t="shared" si="79"/>
        <v>Error?</v>
      </c>
    </row>
    <row r="5121" spans="1:4" x14ac:dyDescent="0.2">
      <c r="A5121" s="5">
        <v>5060</v>
      </c>
      <c r="B5121" s="138">
        <f>'Revenues 9-14'!C109</f>
        <v>4100370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7745</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7745</v>
      </c>
      <c r="C5125" s="2" t="s">
        <v>594</v>
      </c>
      <c r="D5125" s="2" t="str">
        <f t="shared" si="79"/>
        <v>Error?</v>
      </c>
    </row>
    <row r="5126" spans="1:4" x14ac:dyDescent="0.2">
      <c r="A5126" s="5">
        <v>5065</v>
      </c>
      <c r="B5126" s="138">
        <f>'Revenues 9-14'!C117</f>
        <v>999409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999409</v>
      </c>
      <c r="C5132" s="2" t="s">
        <v>594</v>
      </c>
      <c r="D5132" s="2" t="str">
        <f t="shared" si="79"/>
        <v>Error?</v>
      </c>
    </row>
    <row r="5133" spans="1:4" x14ac:dyDescent="0.2">
      <c r="A5133" s="5">
        <v>5072</v>
      </c>
      <c r="B5133" s="138">
        <f>'Revenues 9-14'!C124</f>
        <v>62379</v>
      </c>
      <c r="D5133" s="2" t="str">
        <f t="shared" si="79"/>
        <v>Error?</v>
      </c>
    </row>
    <row r="5134" spans="1:4" x14ac:dyDescent="0.2">
      <c r="A5134" s="5">
        <v>5073</v>
      </c>
      <c r="B5134" s="138">
        <f>'Revenues 9-14'!C125</f>
        <v>51715</v>
      </c>
      <c r="D5134" s="2" t="str">
        <f t="shared" si="79"/>
        <v>Error?</v>
      </c>
    </row>
    <row r="5135" spans="1:4" x14ac:dyDescent="0.2">
      <c r="A5135" s="5">
        <v>5074</v>
      </c>
      <c r="B5135" s="138">
        <f>'Revenues 9-14'!C126</f>
        <v>40191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195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154480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10332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10332</v>
      </c>
      <c r="C5165" s="2" t="s">
        <v>594</v>
      </c>
      <c r="D5165" s="2" t="str">
        <f t="shared" si="79"/>
        <v>Error?</v>
      </c>
    </row>
    <row r="5166" spans="1:4" x14ac:dyDescent="0.2">
      <c r="A5166" s="10">
        <v>5105</v>
      </c>
      <c r="D5166" s="2" t="str">
        <f t="shared" si="79"/>
        <v>OK</v>
      </c>
    </row>
    <row r="5167" spans="1:4" x14ac:dyDescent="0.2">
      <c r="A5167" s="5">
        <v>5106</v>
      </c>
      <c r="B5167" s="138">
        <f>'Revenues 9-14'!C145</f>
        <v>1316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67400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235028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1234437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86831</v>
      </c>
      <c r="D5239" s="2" t="str">
        <f t="shared" si="80"/>
        <v>Error?</v>
      </c>
    </row>
    <row r="5240" spans="1:4" x14ac:dyDescent="0.2">
      <c r="A5240" s="5">
        <v>5179</v>
      </c>
      <c r="B5240" s="138">
        <f>'Revenues 9-14'!C195</f>
        <v>2739</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89570</v>
      </c>
      <c r="C5246" s="2" t="s">
        <v>594</v>
      </c>
      <c r="D5246" s="2" t="str">
        <f t="shared" si="80"/>
        <v>Error?</v>
      </c>
    </row>
    <row r="5247" spans="1:4" x14ac:dyDescent="0.2">
      <c r="A5247" s="5">
        <v>5186</v>
      </c>
      <c r="B5247" s="138">
        <f>'Revenues 9-14'!C203</f>
        <v>77345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5199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77345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77825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77825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300537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300537</v>
      </c>
      <c r="C5326" s="2" t="s">
        <v>594</v>
      </c>
      <c r="D5326" s="2" t="str">
        <f t="shared" si="82"/>
        <v>Error?</v>
      </c>
    </row>
    <row r="5327" spans="1:4" x14ac:dyDescent="0.2">
      <c r="A5327" s="5">
        <v>5266</v>
      </c>
      <c r="B5327" s="138">
        <f>'Revenues 9-14'!C275</f>
        <v>5643089</v>
      </c>
      <c r="C5327" s="2" t="s">
        <v>594</v>
      </c>
      <c r="D5327" s="2" t="str">
        <f t="shared" si="82"/>
        <v>Error?</v>
      </c>
    </row>
    <row r="5328" spans="1:4" x14ac:dyDescent="0.2">
      <c r="A5328" s="5">
        <v>5267</v>
      </c>
      <c r="B5328" s="138">
        <f>'Revenues 9-14'!D5</f>
        <v>481463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481463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9489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9489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2018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27151</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29169</v>
      </c>
      <c r="C5355" s="2" t="s">
        <v>594</v>
      </c>
      <c r="D5355" s="2" t="str">
        <f t="shared" si="82"/>
        <v>Error?</v>
      </c>
    </row>
    <row r="5356" spans="1:4" x14ac:dyDescent="0.2">
      <c r="A5356" s="5">
        <v>5295</v>
      </c>
      <c r="B5356" s="138">
        <f>'Revenues 9-14'!D109</f>
        <v>520121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3842</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3842</v>
      </c>
      <c r="C5507" s="2" t="s">
        <v>594</v>
      </c>
      <c r="D5507" s="2" t="str">
        <f t="shared" si="85"/>
        <v>Error?</v>
      </c>
    </row>
    <row r="5508" spans="1:4" x14ac:dyDescent="0.2">
      <c r="A5508" s="5">
        <v>5447</v>
      </c>
      <c r="B5508" s="138">
        <f>'Revenues 9-14'!D275</f>
        <v>523963</v>
      </c>
      <c r="C5508" s="2" t="s">
        <v>594</v>
      </c>
      <c r="D5508" s="2" t="str">
        <f t="shared" si="85"/>
        <v>Error?</v>
      </c>
    </row>
    <row r="5509" spans="1:4" x14ac:dyDescent="0.2">
      <c r="A5509" s="5">
        <v>5448</v>
      </c>
      <c r="B5509" s="138">
        <f>'Revenues 9-14'!E5</f>
        <v>995197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995197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5297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5297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345000</v>
      </c>
      <c r="C5526" s="2" t="s">
        <v>594</v>
      </c>
      <c r="D5526" s="2" t="str">
        <f t="shared" si="85"/>
        <v>Error?</v>
      </c>
    </row>
    <row r="5527" spans="1:4" x14ac:dyDescent="0.2">
      <c r="A5527" s="5">
        <v>5466</v>
      </c>
      <c r="B5527" s="138">
        <f>'Revenues 9-14'!E109</f>
        <v>1345494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1345494</v>
      </c>
      <c r="C5552" s="2" t="s">
        <v>594</v>
      </c>
      <c r="D5552" s="2" t="str">
        <f t="shared" si="85"/>
        <v>Error?</v>
      </c>
    </row>
    <row r="5553" spans="1:4" x14ac:dyDescent="0.2">
      <c r="A5553" s="5">
        <v>5492</v>
      </c>
      <c r="B5553" s="138">
        <f>'Revenues 9-14'!F5</f>
        <v>231103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231103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492220</v>
      </c>
      <c r="D5564" s="2" t="str">
        <f t="shared" si="85"/>
        <v>Error?</v>
      </c>
    </row>
    <row r="5565" spans="1:4" x14ac:dyDescent="0.2">
      <c r="A5565" s="5">
        <v>5504</v>
      </c>
      <c r="B5565" s="138">
        <f>'Revenues 9-14'!F44</f>
        <v>13761</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524957</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1030938</v>
      </c>
      <c r="C5579" s="2" t="s">
        <v>594</v>
      </c>
      <c r="D5579" s="2" t="str">
        <f t="shared" si="86"/>
        <v>Error?</v>
      </c>
    </row>
    <row r="5580" spans="1:4" x14ac:dyDescent="0.2">
      <c r="A5580" s="5">
        <v>5519</v>
      </c>
      <c r="B5580" s="138">
        <f>'Revenues 9-14'!F65</f>
        <v>3244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3244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467</v>
      </c>
      <c r="D5586" s="2" t="str">
        <f t="shared" si="86"/>
        <v>Error?</v>
      </c>
    </row>
    <row r="5587" spans="1:4" x14ac:dyDescent="0.2">
      <c r="A5587" s="5">
        <v>5526</v>
      </c>
      <c r="B5587" s="138">
        <f>'Revenues 9-14'!F108</f>
        <v>467</v>
      </c>
      <c r="C5587" s="2" t="s">
        <v>594</v>
      </c>
      <c r="D5587" s="2" t="str">
        <f t="shared" si="86"/>
        <v>Error?</v>
      </c>
    </row>
    <row r="5588" spans="1:4" x14ac:dyDescent="0.2">
      <c r="A5588" s="5">
        <v>5527</v>
      </c>
      <c r="B5588" s="138">
        <f>'Revenues 9-14'!F109</f>
        <v>1265752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12481</v>
      </c>
      <c r="D5615" s="2" t="str">
        <f t="shared" si="86"/>
        <v>Error?</v>
      </c>
    </row>
    <row r="5616" spans="1:4" x14ac:dyDescent="0.2">
      <c r="A5616" s="10">
        <v>5555</v>
      </c>
      <c r="D5616" s="2" t="str">
        <f t="shared" si="86"/>
        <v>OK</v>
      </c>
    </row>
    <row r="5617" spans="1:4" x14ac:dyDescent="0.2">
      <c r="A5617" s="5">
        <v>5556</v>
      </c>
      <c r="B5617" s="138">
        <f>'Revenues 9-14'!F152</f>
        <v>182003</v>
      </c>
      <c r="D5617" s="2" t="str">
        <f t="shared" si="86"/>
        <v>Error?</v>
      </c>
    </row>
    <row r="5618" spans="1:4" x14ac:dyDescent="0.2">
      <c r="A5618" s="5">
        <v>5557</v>
      </c>
      <c r="B5618" s="138">
        <f>'Revenues 9-14'!F154</f>
        <v>194484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194484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194484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1460236</v>
      </c>
      <c r="C5720" s="2" t="s">
        <v>594</v>
      </c>
      <c r="D5720" s="2" t="str">
        <f t="shared" si="88"/>
        <v>Error?</v>
      </c>
    </row>
    <row r="5721" spans="1:4" x14ac:dyDescent="0.2">
      <c r="A5721" s="5">
        <v>5660</v>
      </c>
      <c r="B5721" s="138">
        <f>'Revenues 9-14'!G5</f>
        <v>45093</v>
      </c>
      <c r="D5721" s="2" t="str">
        <f t="shared" si="88"/>
        <v>Error?</v>
      </c>
    </row>
    <row r="5722" spans="1:4" x14ac:dyDescent="0.2">
      <c r="A5722" s="5">
        <v>5661</v>
      </c>
      <c r="B5722" s="138">
        <f>'Revenues 9-14'!G7</f>
        <v>0</v>
      </c>
      <c r="D5722" s="2" t="str">
        <f t="shared" si="88"/>
        <v>Error?</v>
      </c>
    </row>
    <row r="5723" spans="1:4" x14ac:dyDescent="0.2">
      <c r="A5723" s="5">
        <v>5662</v>
      </c>
      <c r="B5723" s="138">
        <f>'Revenues 9-14'!G8</f>
        <v>55128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100221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4374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4374</v>
      </c>
      <c r="C5730" s="2" t="s">
        <v>594</v>
      </c>
      <c r="D5730" s="2" t="str">
        <f t="shared" si="88"/>
        <v>Error?</v>
      </c>
    </row>
    <row r="5731" spans="1:4" x14ac:dyDescent="0.2">
      <c r="A5731" s="5">
        <v>5670</v>
      </c>
      <c r="B5731" s="138">
        <f>'Revenues 9-14'!G65</f>
        <v>1961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1961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101615</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208171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2362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2362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1937</v>
      </c>
      <c r="D5884" s="2" t="str">
        <f t="shared" si="90"/>
        <v>Error?</v>
      </c>
    </row>
    <row r="5885" spans="1:4" x14ac:dyDescent="0.2">
      <c r="A5885" s="5">
        <v>5824</v>
      </c>
      <c r="B5885" s="138">
        <f>'Revenues 9-14'!H107</f>
        <v>3000</v>
      </c>
      <c r="D5885" s="2" t="str">
        <f t="shared" si="90"/>
        <v>Error?</v>
      </c>
    </row>
    <row r="5886" spans="1:4" x14ac:dyDescent="0.2">
      <c r="A5886" s="5">
        <v>5825</v>
      </c>
      <c r="B5886" s="138">
        <f>'Revenues 9-14'!H108</f>
        <v>209431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211793</v>
      </c>
      <c r="C5915" s="2" t="s">
        <v>594</v>
      </c>
      <c r="D5915" s="2" t="str">
        <f t="shared" si="91"/>
        <v>Error?</v>
      </c>
    </row>
    <row r="5916" spans="1:4" x14ac:dyDescent="0.2">
      <c r="A5916" s="5">
        <v>5855</v>
      </c>
      <c r="B5916" s="138">
        <f>'Revenues 9-14'!I5</f>
        <v>96293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96293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6905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6905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103198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96293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96293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448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448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96741</v>
      </c>
      <c r="C6023" s="2" t="s">
        <v>594</v>
      </c>
      <c r="D6023" s="2" t="str">
        <f t="shared" si="93"/>
        <v>Error?</v>
      </c>
    </row>
    <row r="6024" spans="1:5" x14ac:dyDescent="0.2">
      <c r="A6024" s="5">
        <v>5963</v>
      </c>
      <c r="B6024" s="138">
        <f>'Revenues 9-14'!G109</f>
        <v>208171</v>
      </c>
      <c r="C6024" s="2" t="s">
        <v>594</v>
      </c>
      <c r="D6024" s="2" t="str">
        <f t="shared" si="93"/>
        <v>Error?</v>
      </c>
    </row>
    <row r="6025" spans="1:5" x14ac:dyDescent="0.2">
      <c r="A6025" s="5">
        <v>5964</v>
      </c>
      <c r="B6025" s="138">
        <f>'Revenues 9-14'!H109</f>
        <v>211793</v>
      </c>
      <c r="C6025" s="2" t="s">
        <v>594</v>
      </c>
      <c r="D6025" s="2" t="str">
        <f t="shared" si="93"/>
        <v>Error?</v>
      </c>
    </row>
    <row r="6026" spans="1:5" x14ac:dyDescent="0.2">
      <c r="A6026" s="5">
        <v>5965</v>
      </c>
      <c r="B6026" s="138">
        <f>'Revenues 9-14'!I109</f>
        <v>103198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96741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52350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16478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778.56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225673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225673</v>
      </c>
      <c r="D6215" s="2" t="str">
        <f t="shared" si="96"/>
        <v>Error?</v>
      </c>
      <c r="E6215" s="2" t="s">
        <v>199</v>
      </c>
    </row>
    <row r="6216" spans="1:5" x14ac:dyDescent="0.2">
      <c r="A6216">
        <v>6155</v>
      </c>
      <c r="B6216" s="138">
        <f>'Assets-Liab 5-6'!J41</f>
        <v>225673</v>
      </c>
      <c r="D6216" s="2" t="str">
        <f t="shared" si="96"/>
        <v>Error?</v>
      </c>
      <c r="E6216" s="2" t="s">
        <v>199</v>
      </c>
    </row>
    <row r="6217" spans="1:5" x14ac:dyDescent="0.2">
      <c r="A6217">
        <v>6156</v>
      </c>
      <c r="B6217" s="138">
        <f>'Assets-Liab 5-6'!J4</f>
        <v>71552</v>
      </c>
      <c r="D6217" s="2" t="str">
        <f t="shared" si="96"/>
        <v>Error?</v>
      </c>
      <c r="E6217" s="2" t="s">
        <v>199</v>
      </c>
    </row>
    <row r="6218" spans="1:5" x14ac:dyDescent="0.2">
      <c r="A6218">
        <v>6157</v>
      </c>
      <c r="B6218" s="138">
        <f>'Assets-Liab 5-6'!J5</f>
        <v>154121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182194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182194</v>
      </c>
      <c r="D6223" s="2" t="str">
        <f t="shared" si="96"/>
        <v>Error?</v>
      </c>
      <c r="E6223" s="2" t="s">
        <v>199</v>
      </c>
    </row>
    <row r="6224" spans="1:5" x14ac:dyDescent="0.2">
      <c r="A6224">
        <v>6163</v>
      </c>
      <c r="B6224" s="138">
        <f>'Acct Summary 7-8'!J9</f>
        <v>5310</v>
      </c>
      <c r="D6224" s="2" t="str">
        <f t="shared" si="96"/>
        <v>Error?</v>
      </c>
      <c r="E6224" s="2" t="s">
        <v>199</v>
      </c>
    </row>
    <row r="6225" spans="1:5" x14ac:dyDescent="0.2">
      <c r="A6225">
        <v>6164</v>
      </c>
      <c r="B6225" s="138">
        <f>'Acct Summary 7-8'!J10</f>
        <v>187504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232128</v>
      </c>
      <c r="D6227" s="2" t="str">
        <f t="shared" si="96"/>
        <v>Error?</v>
      </c>
      <c r="E6227" s="2" t="s">
        <v>199</v>
      </c>
    </row>
    <row r="6228" spans="1:5" x14ac:dyDescent="0.2">
      <c r="A6228">
        <v>6167</v>
      </c>
      <c r="B6228" s="138">
        <f>'Acct Summary 7-8'!J18</f>
        <v>5310</v>
      </c>
      <c r="D6228" s="2" t="str">
        <f t="shared" si="96"/>
        <v>Error?</v>
      </c>
      <c r="E6228" s="2" t="s">
        <v>199</v>
      </c>
    </row>
    <row r="6229" spans="1:5" x14ac:dyDescent="0.2">
      <c r="A6229">
        <v>6168</v>
      </c>
      <c r="B6229" s="138">
        <f>'Acct Summary 7-8'!J19</f>
        <v>237438</v>
      </c>
      <c r="D6229" s="2" t="str">
        <f t="shared" si="96"/>
        <v>Error?</v>
      </c>
      <c r="E6229" s="2" t="s">
        <v>199</v>
      </c>
    </row>
    <row r="6230" spans="1:5" x14ac:dyDescent="0.2">
      <c r="A6230">
        <v>6169</v>
      </c>
      <c r="B6230" s="138">
        <f>'Acct Summary 7-8'!J20</f>
        <v>-49934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-49934</v>
      </c>
      <c r="D6263" s="2" t="str">
        <f t="shared" si="96"/>
        <v>Error?</v>
      </c>
      <c r="E6263" s="2" t="s">
        <v>199</v>
      </c>
    </row>
    <row r="6264" spans="1:5" x14ac:dyDescent="0.2">
      <c r="A6264">
        <v>6203</v>
      </c>
      <c r="B6264" s="138">
        <f>'Acct Summary 7-8'!J79</f>
        <v>275607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225673</v>
      </c>
      <c r="D6266" s="2" t="str">
        <f t="shared" si="96"/>
        <v>Error?</v>
      </c>
      <c r="E6266" s="2" t="s">
        <v>199</v>
      </c>
    </row>
    <row r="6267" spans="1:5" x14ac:dyDescent="0.2">
      <c r="A6267">
        <v>6206</v>
      </c>
      <c r="B6267" s="138">
        <f>'Acct Summary 7-8'!C82</f>
        <v>146848</v>
      </c>
      <c r="D6267" s="2" t="str">
        <f t="shared" si="96"/>
        <v>Error?</v>
      </c>
      <c r="E6267" s="2" t="s">
        <v>199</v>
      </c>
    </row>
    <row r="6268" spans="1:5" x14ac:dyDescent="0.2">
      <c r="A6268">
        <v>6207</v>
      </c>
      <c r="B6268" s="138">
        <f>'Acct Summary 7-8'!D82</f>
        <v>-135749</v>
      </c>
      <c r="D6268" s="2" t="str">
        <f t="shared" si="96"/>
        <v>Error?</v>
      </c>
      <c r="E6268" s="2" t="s">
        <v>199</v>
      </c>
    </row>
    <row r="6269" spans="1:5" x14ac:dyDescent="0.2">
      <c r="A6269">
        <v>6208</v>
      </c>
      <c r="B6269" s="138">
        <f>'Acct Summary 7-8'!E82</f>
        <v>351194</v>
      </c>
      <c r="D6269" s="2" t="str">
        <f t="shared" si="96"/>
        <v>Error?</v>
      </c>
      <c r="E6269" s="2" t="s">
        <v>199</v>
      </c>
    </row>
    <row r="6270" spans="1:5" x14ac:dyDescent="0.2">
      <c r="A6270">
        <v>6209</v>
      </c>
      <c r="B6270" s="138">
        <f>'Acct Summary 7-8'!F82</f>
        <v>87317</v>
      </c>
      <c r="D6270" s="2" t="str">
        <f t="shared" si="96"/>
        <v>Error?</v>
      </c>
      <c r="E6270" s="2" t="s">
        <v>199</v>
      </c>
    </row>
    <row r="6271" spans="1:5" x14ac:dyDescent="0.2">
      <c r="A6271">
        <v>6210</v>
      </c>
      <c r="B6271" s="138">
        <f>'Acct Summary 7-8'!G82</f>
        <v>-82748</v>
      </c>
      <c r="D6271" s="2" t="str">
        <f t="shared" ref="D6271:D6334" si="97">IF(ISBLANK(B6271),"OK",IF(A6271-B6271=0,"OK","Error?"))</f>
        <v>Error?</v>
      </c>
      <c r="E6271" s="2" t="s">
        <v>199</v>
      </c>
    </row>
    <row r="6272" spans="1:5" x14ac:dyDescent="0.2">
      <c r="A6272">
        <v>6211</v>
      </c>
      <c r="B6272" s="138">
        <f>'Acct Summary 7-8'!H82</f>
        <v>100901</v>
      </c>
      <c r="D6272" s="2" t="str">
        <f t="shared" si="97"/>
        <v>Error?</v>
      </c>
      <c r="E6272" s="2" t="s">
        <v>199</v>
      </c>
    </row>
    <row r="6273" spans="1:5" x14ac:dyDescent="0.2">
      <c r="A6273">
        <v>6212</v>
      </c>
      <c r="B6273" s="138">
        <f>'Acct Summary 7-8'!I82</f>
        <v>13198</v>
      </c>
      <c r="D6273" s="2" t="str">
        <f t="shared" si="97"/>
        <v>Error?</v>
      </c>
      <c r="E6273" s="2" t="s">
        <v>199</v>
      </c>
    </row>
    <row r="6274" spans="1:5" x14ac:dyDescent="0.2">
      <c r="A6274">
        <v>6213</v>
      </c>
      <c r="B6274" s="138">
        <f>'Acct Summary 7-8'!J82</f>
        <v>-49934</v>
      </c>
      <c r="D6274" s="2" t="str">
        <f t="shared" si="97"/>
        <v>Error?</v>
      </c>
      <c r="E6274" s="2" t="s">
        <v>199</v>
      </c>
    </row>
    <row r="6275" spans="1:5" x14ac:dyDescent="0.2">
      <c r="A6275">
        <v>6214</v>
      </c>
      <c r="B6275" s="138">
        <f>'Acct Summary 7-8'!K82</f>
        <v>96741</v>
      </c>
      <c r="D6275" s="2" t="str">
        <f t="shared" si="97"/>
        <v>Error?</v>
      </c>
      <c r="E6275" s="2" t="s">
        <v>199</v>
      </c>
    </row>
    <row r="6276" spans="1:5" x14ac:dyDescent="0.2">
      <c r="A6276">
        <v>6215</v>
      </c>
      <c r="B6276" s="138">
        <f>'Acct Summary 7-8'!C83</f>
        <v>5.8731987711908976E-2</v>
      </c>
      <c r="D6276" s="2" t="str">
        <f t="shared" si="97"/>
        <v>Error?</v>
      </c>
      <c r="E6276" s="2" t="s">
        <v>199</v>
      </c>
    </row>
    <row r="6277" spans="1:5" x14ac:dyDescent="0.2">
      <c r="A6277">
        <v>6216</v>
      </c>
      <c r="B6277" s="138">
        <f>'Acct Summary 7-8'!D83</f>
        <v>-0.19600818980952051</v>
      </c>
      <c r="D6277" s="2" t="str">
        <f t="shared" si="97"/>
        <v>Error?</v>
      </c>
      <c r="E6277" s="2" t="s">
        <v>199</v>
      </c>
    </row>
    <row r="6278" spans="1:5" x14ac:dyDescent="0.2">
      <c r="A6278">
        <v>6217</v>
      </c>
      <c r="B6278" s="138">
        <f>'Acct Summary 7-8'!E83</f>
        <v>0.55465550598175861</v>
      </c>
      <c r="D6278" s="2" t="str">
        <f t="shared" si="97"/>
        <v>Error?</v>
      </c>
      <c r="E6278" s="2" t="s">
        <v>199</v>
      </c>
    </row>
    <row r="6279" spans="1:5" x14ac:dyDescent="0.2">
      <c r="A6279">
        <v>6218</v>
      </c>
      <c r="B6279" s="138">
        <f>'Acct Summary 7-8'!F83</f>
        <v>0.12106511008818147</v>
      </c>
      <c r="D6279" s="2" t="str">
        <f t="shared" si="97"/>
        <v>Error?</v>
      </c>
      <c r="E6279" s="2" t="s">
        <v>199</v>
      </c>
    </row>
    <row r="6280" spans="1:5" x14ac:dyDescent="0.2">
      <c r="A6280">
        <v>6219</v>
      </c>
      <c r="B6280" s="138">
        <f>'Acct Summary 7-8'!G83</f>
        <v>-0.41079664205964267</v>
      </c>
      <c r="D6280" s="2" t="str">
        <f t="shared" si="97"/>
        <v>Error?</v>
      </c>
      <c r="E6280" s="2" t="s">
        <v>199</v>
      </c>
    </row>
    <row r="6281" spans="1:5" x14ac:dyDescent="0.2">
      <c r="A6281">
        <v>6220</v>
      </c>
      <c r="B6281" s="138">
        <f>'Acct Summary 7-8'!H83</f>
        <v>0.21492579914754756</v>
      </c>
      <c r="D6281" s="2" t="str">
        <f t="shared" si="97"/>
        <v>Error?</v>
      </c>
      <c r="E6281" s="2" t="s">
        <v>199</v>
      </c>
    </row>
    <row r="6282" spans="1:5" x14ac:dyDescent="0.2">
      <c r="A6282">
        <v>6221</v>
      </c>
      <c r="B6282" s="138">
        <f>'Acct Summary 7-8'!I83</f>
        <v>2.5099175785514058E-2</v>
      </c>
      <c r="D6282" s="2" t="str">
        <f t="shared" si="97"/>
        <v>Error?</v>
      </c>
      <c r="E6282" s="2" t="s">
        <v>199</v>
      </c>
    </row>
    <row r="6283" spans="1:5" x14ac:dyDescent="0.2">
      <c r="A6283">
        <v>6222</v>
      </c>
      <c r="B6283" s="138">
        <f>'Acct Summary 7-8'!J83</f>
        <v>-0.22126705454352094</v>
      </c>
      <c r="D6283" s="2" t="str">
        <f t="shared" si="97"/>
        <v>Error?</v>
      </c>
      <c r="E6283" s="2" t="s">
        <v>199</v>
      </c>
    </row>
    <row r="6284" spans="1:5" x14ac:dyDescent="0.2">
      <c r="A6284">
        <v>6223</v>
      </c>
      <c r="B6284" s="138">
        <f>'Acct Summary 7-8'!K83</f>
        <v>0.42539223273648291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200000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105222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105222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1872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1872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31073</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86849</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345000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173421</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101615</v>
      </c>
      <c r="D6349" s="2" t="str">
        <f t="shared" si="98"/>
        <v>Error?</v>
      </c>
      <c r="E6349" s="2" t="s">
        <v>199</v>
      </c>
    </row>
    <row r="6350" spans="1:5" x14ac:dyDescent="0.2">
      <c r="A6350">
        <v>6289</v>
      </c>
      <c r="B6350" s="138">
        <f>'Revenues 9-14'!J107</f>
        <v>75100</v>
      </c>
      <c r="D6350" s="2" t="str">
        <f t="shared" si="98"/>
        <v>Error?</v>
      </c>
      <c r="E6350" s="2" t="s">
        <v>199</v>
      </c>
    </row>
    <row r="6351" spans="1:5" x14ac:dyDescent="0.2">
      <c r="A6351">
        <v>6290</v>
      </c>
      <c r="B6351" s="138">
        <f>'Revenues 9-14'!J108</f>
        <v>75100</v>
      </c>
      <c r="D6351" s="2" t="str">
        <f t="shared" si="98"/>
        <v>Error?</v>
      </c>
      <c r="E6351" s="2" t="s">
        <v>199</v>
      </c>
    </row>
    <row r="6352" spans="1:5" x14ac:dyDescent="0.2">
      <c r="A6352">
        <v>6291</v>
      </c>
      <c r="B6352" s="138">
        <f>'Revenues 9-14'!J109</f>
        <v>182194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71603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95000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1293</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50767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138337</v>
      </c>
      <c r="D6880" s="2" t="str">
        <f t="shared" si="106"/>
        <v>Error?</v>
      </c>
    </row>
    <row r="6881" spans="1:4" x14ac:dyDescent="0.2">
      <c r="A6881">
        <v>6820</v>
      </c>
      <c r="B6881" s="138">
        <f>'Expenditures 15-22'!K22</f>
        <v>138337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1293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96802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96802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96802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348054</v>
      </c>
      <c r="D6983" s="2" t="str">
        <f t="shared" si="108"/>
        <v>Error?</v>
      </c>
    </row>
    <row r="6984" spans="1:4" x14ac:dyDescent="0.2">
      <c r="A6984">
        <v>6923</v>
      </c>
      <c r="B6984" s="138">
        <f>'Expenditures 15-22'!K86</f>
        <v>348054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9752</v>
      </c>
      <c r="D6993" s="2" t="str">
        <f t="shared" si="108"/>
        <v>Error?</v>
      </c>
    </row>
    <row r="6994" spans="1:4" x14ac:dyDescent="0.2">
      <c r="A6994">
        <v>6933</v>
      </c>
      <c r="B6994" s="138">
        <f>'Expenditures 15-22'!K91</f>
        <v>9752</v>
      </c>
      <c r="D6994" s="2" t="str">
        <f t="shared" si="108"/>
        <v>Error?</v>
      </c>
    </row>
    <row r="6995" spans="1:4" x14ac:dyDescent="0.2">
      <c r="A6995">
        <v>6934</v>
      </c>
      <c r="B6995" s="138">
        <f>'Expenditures 15-22'!H92</f>
        <v>357806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98095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324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232128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182194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6660</v>
      </c>
      <c r="D7073" s="2" t="str">
        <f t="shared" si="109"/>
        <v>Error?</v>
      </c>
    </row>
    <row r="7074" spans="1:4" x14ac:dyDescent="0.2">
      <c r="A7074">
        <v>7013</v>
      </c>
      <c r="B7074" s="138">
        <f>'Expenditures 15-22'!K216</f>
        <v>6660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7513</v>
      </c>
      <c r="D7093" s="2" t="str">
        <f t="shared" si="109"/>
        <v>Error?</v>
      </c>
    </row>
    <row r="7094" spans="1:4" x14ac:dyDescent="0.2">
      <c r="A7094">
        <v>7033</v>
      </c>
      <c r="B7094" s="138">
        <f>'Expenditures 15-22'!K254</f>
        <v>7513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4587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4587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10068</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10068</v>
      </c>
      <c r="D7115" s="2" t="str">
        <f t="shared" si="110"/>
        <v>Error?</v>
      </c>
    </row>
    <row r="7116" spans="1:4" x14ac:dyDescent="0.2">
      <c r="A7116">
        <v>7055</v>
      </c>
      <c r="B7116" s="138">
        <f>'Expenditures 15-22'!I312</f>
        <v>4587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63662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63662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4284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4284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40248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40248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83278</v>
      </c>
      <c r="D7172" s="2" t="str">
        <f t="shared" si="111"/>
        <v>Error?</v>
      </c>
    </row>
    <row r="7173" spans="1:4" x14ac:dyDescent="0.2">
      <c r="A7173">
        <v>7112</v>
      </c>
      <c r="B7173" s="138">
        <f>'Expenditures 15-22'!D325</f>
        <v>8410</v>
      </c>
      <c r="D7173" s="2" t="str">
        <f t="shared" si="111"/>
        <v>Error?</v>
      </c>
    </row>
    <row r="7174" spans="1:4" x14ac:dyDescent="0.2">
      <c r="A7174">
        <v>7113</v>
      </c>
      <c r="B7174" s="138">
        <f>'Expenditures 15-22'!E325</f>
        <v>28348</v>
      </c>
      <c r="D7174" s="2" t="str">
        <f t="shared" si="111"/>
        <v>Error?</v>
      </c>
    </row>
    <row r="7175" spans="1:4" x14ac:dyDescent="0.2">
      <c r="A7175">
        <v>7114</v>
      </c>
      <c r="B7175" s="138">
        <f>'Expenditures 15-22'!F325</f>
        <v>790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120826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3108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3108</v>
      </c>
      <c r="D7198" s="2" t="str">
        <f t="shared" si="111"/>
        <v>Error?</v>
      </c>
    </row>
    <row r="7199" spans="1:4" x14ac:dyDescent="0.2">
      <c r="A7199">
        <v>7138</v>
      </c>
      <c r="B7199" s="138">
        <f>'Expenditures 15-22'!C330</f>
        <v>83278</v>
      </c>
      <c r="D7199" s="2" t="str">
        <f t="shared" si="111"/>
        <v>Error?</v>
      </c>
    </row>
    <row r="7200" spans="1:4" x14ac:dyDescent="0.2">
      <c r="A7200">
        <v>7139</v>
      </c>
      <c r="B7200" s="138">
        <f>'Expenditures 15-22'!D330</f>
        <v>8410</v>
      </c>
      <c r="D7200" s="2" t="str">
        <f t="shared" si="111"/>
        <v>Error?</v>
      </c>
    </row>
    <row r="7201" spans="1:4" x14ac:dyDescent="0.2">
      <c r="A7201">
        <v>7140</v>
      </c>
      <c r="B7201" s="138">
        <f>'Expenditures 15-22'!E330</f>
        <v>139650</v>
      </c>
      <c r="D7201" s="2" t="str">
        <f t="shared" si="111"/>
        <v>Error?</v>
      </c>
    </row>
    <row r="7202" spans="1:4" x14ac:dyDescent="0.2">
      <c r="A7202">
        <v>7141</v>
      </c>
      <c r="B7202" s="138">
        <f>'Expenditures 15-22'!F330</f>
        <v>790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232128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83278</v>
      </c>
      <c r="D7216" s="2" t="str">
        <f t="shared" si="111"/>
        <v>Error?</v>
      </c>
    </row>
    <row r="7217" spans="1:4" x14ac:dyDescent="0.2">
      <c r="A7217">
        <v>7156</v>
      </c>
      <c r="B7217" s="138">
        <f>'Expenditures 15-22'!D342</f>
        <v>8410</v>
      </c>
      <c r="D7217" s="2" t="str">
        <f t="shared" si="111"/>
        <v>Error?</v>
      </c>
    </row>
    <row r="7218" spans="1:4" x14ac:dyDescent="0.2">
      <c r="A7218">
        <v>7157</v>
      </c>
      <c r="B7218" s="138">
        <f>'Expenditures 15-22'!E342</f>
        <v>139650</v>
      </c>
      <c r="D7218" s="2" t="str">
        <f t="shared" si="111"/>
        <v>Error?</v>
      </c>
    </row>
    <row r="7219" spans="1:4" x14ac:dyDescent="0.2">
      <c r="A7219">
        <v>7158</v>
      </c>
      <c r="B7219" s="138">
        <f>'Expenditures 15-22'!F342</f>
        <v>790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232128</v>
      </c>
      <c r="D7224" s="2" t="str">
        <f t="shared" si="111"/>
        <v>Error?</v>
      </c>
    </row>
    <row r="7225" spans="1:4" x14ac:dyDescent="0.2">
      <c r="A7225">
        <v>7164</v>
      </c>
      <c r="B7225" s="138">
        <f>'Expenditures 15-22'!K343</f>
        <v>-49934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12327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11070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46116</v>
      </c>
      <c r="D7251" s="2" t="str">
        <f t="shared" si="112"/>
        <v>Error?</v>
      </c>
    </row>
    <row r="7252" spans="1:4" x14ac:dyDescent="0.2">
      <c r="A7252">
        <f t="shared" si="113"/>
        <v>7191</v>
      </c>
      <c r="B7252" s="138">
        <f>'Expenditures 15-22'!D9</f>
        <v>3142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216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1535247</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1535247</v>
      </c>
      <c r="D7609" s="2" t="str">
        <f t="shared" si="122"/>
        <v>Error?</v>
      </c>
      <c r="E7609" s="2" t="s">
        <v>19</v>
      </c>
    </row>
    <row r="7610" spans="1:5" x14ac:dyDescent="0.2">
      <c r="A7610">
        <f t="shared" si="123"/>
        <v>7549</v>
      </c>
      <c r="B7610" s="138">
        <f>'Cap Outlay Deprec 26'!H9</f>
        <v>371568</v>
      </c>
      <c r="D7610" s="2" t="str">
        <f t="shared" si="122"/>
        <v>Error?</v>
      </c>
      <c r="E7610" s="2" t="s">
        <v>19</v>
      </c>
    </row>
    <row r="7611" spans="1:5" x14ac:dyDescent="0.2">
      <c r="A7611">
        <f t="shared" si="123"/>
        <v>7550</v>
      </c>
      <c r="B7611" s="138">
        <f>'Cap Outlay Deprec 26'!I9</f>
        <v>62061</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433629</v>
      </c>
      <c r="D7613" s="2" t="str">
        <f t="shared" si="122"/>
        <v>Error?</v>
      </c>
      <c r="E7613" s="2" t="s">
        <v>19</v>
      </c>
    </row>
    <row r="7614" spans="1:5" x14ac:dyDescent="0.2">
      <c r="A7614">
        <f t="shared" si="123"/>
        <v>7553</v>
      </c>
      <c r="B7614" s="138">
        <f>'Cap Outlay Deprec 26'!L9</f>
        <v>1101618</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103006</v>
      </c>
      <c r="D7624" s="2" t="str">
        <f t="shared" si="124"/>
        <v>Error?</v>
      </c>
      <c r="E7624" s="2" t="s">
        <v>19</v>
      </c>
    </row>
    <row r="7625" spans="1:5" x14ac:dyDescent="0.2">
      <c r="A7625">
        <f t="shared" si="123"/>
        <v>7564</v>
      </c>
      <c r="B7625" s="138">
        <f>'Cap Outlay Deprec 26'!I17</f>
        <v>10300.6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491154.6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200000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38517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90000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172054</v>
      </c>
      <c r="D7797" s="2" t="str">
        <f t="shared" si="127"/>
        <v>Error?</v>
      </c>
      <c r="E7797" s="4" t="s">
        <v>2019</v>
      </c>
    </row>
    <row r="7798" spans="1:5" x14ac:dyDescent="0.2">
      <c r="A7798">
        <v>7737</v>
      </c>
      <c r="B7798" s="138">
        <f>'Contracts Paid in CY 29'!F141</f>
        <v>63245</v>
      </c>
      <c r="D7798" s="2" t="str">
        <f t="shared" si="127"/>
        <v>Error?</v>
      </c>
      <c r="E7798" s="4" t="s">
        <v>2019</v>
      </c>
    </row>
    <row r="7799" spans="1:5" x14ac:dyDescent="0.2">
      <c r="A7799">
        <v>7738</v>
      </c>
      <c r="B7799" s="138">
        <f>'Contracts Paid in CY 29'!G141</f>
        <v>108809</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Saratoga Community Consolidated School District 60C</v>
      </c>
      <c r="B7" s="2421"/>
      <c r="C7" s="2421"/>
      <c r="D7" s="2422"/>
      <c r="E7" s="2423" t="str">
        <f>COVER!A13</f>
        <v>24-032-060C-04</v>
      </c>
      <c r="F7" s="2424"/>
      <c r="G7" s="2430" t="str">
        <f>COVER!T23</f>
        <v>066-005100</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Mack &amp; Associates, P.C.</v>
      </c>
      <c r="H9" s="2436"/>
      <c r="I9" s="2436"/>
      <c r="J9" s="2436"/>
      <c r="K9" s="2436"/>
      <c r="L9" s="2437"/>
    </row>
    <row r="10" spans="1:29" ht="13.5" customHeight="1" x14ac:dyDescent="0.2">
      <c r="A10" s="2410" t="str">
        <f>COVER!A38</f>
        <v>Kathy Perry</v>
      </c>
      <c r="B10" s="2411"/>
      <c r="C10" s="2411"/>
      <c r="D10" s="2411"/>
      <c r="E10" s="2411"/>
      <c r="F10" s="2412"/>
      <c r="G10" s="2404" t="str">
        <f>COVER!T17</f>
        <v>116 E. Washington St., Suite One</v>
      </c>
      <c r="H10" s="2405"/>
      <c r="I10" s="2405"/>
      <c r="J10" s="2405"/>
      <c r="K10" s="2405"/>
      <c r="L10" s="2406"/>
    </row>
    <row r="11" spans="1:29" ht="13.5" customHeight="1" x14ac:dyDescent="0.2">
      <c r="A11" s="1185" t="s">
        <v>1599</v>
      </c>
      <c r="B11" s="1186"/>
      <c r="C11" s="1187"/>
      <c r="D11" s="1192"/>
      <c r="E11" s="1187"/>
      <c r="F11" s="1191"/>
      <c r="G11" s="2404" t="str">
        <f>COVER!T19</f>
        <v>Morris</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tmack@mackcpas.com</v>
      </c>
      <c r="J13" s="2417"/>
      <c r="K13" s="2417"/>
      <c r="L13" s="2418"/>
    </row>
    <row r="14" spans="1:29" ht="13.5" customHeight="1" x14ac:dyDescent="0.2">
      <c r="A14" s="2404" t="str">
        <f>COVER!A19</f>
        <v>Route 47, 4040 N. Division Street</v>
      </c>
      <c r="B14" s="2405"/>
      <c r="C14" s="2405"/>
      <c r="D14" s="2405"/>
      <c r="E14" s="2405"/>
      <c r="F14" s="2406"/>
      <c r="G14" s="1196" t="s">
        <v>1247</v>
      </c>
      <c r="H14" s="1194"/>
      <c r="I14" s="1194"/>
      <c r="J14" s="1194"/>
      <c r="K14" s="1194"/>
      <c r="L14" s="1195"/>
    </row>
    <row r="15" spans="1:29" ht="13.5" customHeight="1" x14ac:dyDescent="0.2">
      <c r="A15" s="2404" t="str">
        <f>COVER!A21</f>
        <v>Morris</v>
      </c>
      <c r="B15" s="2405"/>
      <c r="C15" s="2405"/>
      <c r="D15" s="2405"/>
      <c r="E15" s="2405"/>
      <c r="F15" s="2406"/>
      <c r="G15" s="2401" t="str">
        <f>COVER!T15</f>
        <v>Tawyna Mack, CPA</v>
      </c>
      <c r="H15" s="2402"/>
      <c r="I15" s="2402"/>
      <c r="J15" s="2402"/>
      <c r="K15" s="2402"/>
      <c r="L15" s="2403"/>
    </row>
    <row r="16" spans="1:29" ht="12.2" customHeight="1" x14ac:dyDescent="0.2">
      <c r="A16" s="2426">
        <f>COVER!A25</f>
        <v>60450</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815-942-3306</v>
      </c>
      <c r="H18" s="2421"/>
      <c r="I18" s="2421"/>
      <c r="J18" s="2421"/>
      <c r="K18" s="2420" t="str">
        <f>COVER!X21</f>
        <v>815-942-9430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Saratoga Community Consolidated School District 60C</v>
      </c>
      <c r="B1" s="2419"/>
      <c r="C1" s="2419"/>
      <c r="D1" s="2419"/>
    </row>
    <row r="2" spans="1:11" s="1215" customFormat="1" ht="12.75" x14ac:dyDescent="0.2">
      <c r="A2" s="2443" t="str">
        <f>'Single Audit Cover'!E7</f>
        <v>24-032-060C-04</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Saratoga Community Consolidated School District 60C</v>
      </c>
      <c r="B1" s="2446"/>
      <c r="C1" s="2446"/>
      <c r="D1" s="2446"/>
      <c r="E1" s="2446"/>
    </row>
    <row r="2" spans="1:5" x14ac:dyDescent="0.2">
      <c r="A2" s="2447" t="str">
        <f>'Single Audit Cover'!E7</f>
        <v>24-032-060C-04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304379</v>
      </c>
    </row>
    <row r="11" spans="1:5" ht="18" customHeight="1" x14ac:dyDescent="0.2">
      <c r="A11" s="1261" t="s">
        <v>1302</v>
      </c>
      <c r="B11" s="1262"/>
      <c r="C11" s="1262"/>
    </row>
    <row r="12" spans="1:5" x14ac:dyDescent="0.2">
      <c r="A12" s="1261" t="s">
        <v>1301</v>
      </c>
      <c r="B12" s="1262" t="s">
        <v>1300</v>
      </c>
      <c r="C12" s="1262"/>
      <c r="D12" s="1264">
        <f>SUM('Revenues 9-14'!C112:D112,'Revenues 9-14'!F112:G112)</f>
        <v>7745</v>
      </c>
    </row>
    <row r="13" spans="1:5" x14ac:dyDescent="0.2">
      <c r="A13" s="1261" t="s">
        <v>1299</v>
      </c>
      <c r="B13" s="1262"/>
      <c r="C13" s="1262"/>
    </row>
    <row r="14" spans="1:5" x14ac:dyDescent="0.2">
      <c r="A14" s="1261" t="s">
        <v>1830</v>
      </c>
      <c r="B14" s="1262"/>
      <c r="C14" s="1262"/>
      <c r="D14" s="1264">
        <f>'ICR Computation 30'!E11</f>
        <v>16478</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-14743</v>
      </c>
    </row>
    <row r="19" spans="1:4" ht="13.5" thickBot="1" x14ac:dyDescent="0.25">
      <c r="A19" s="1265" t="s">
        <v>1297</v>
      </c>
      <c r="D19" s="1266">
        <f>SUM(D10:D17)</f>
        <v>313859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313859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313859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Saratoga Community Consolidated School District 60C</v>
      </c>
      <c r="B1" s="2459"/>
      <c r="C1" s="2459"/>
      <c r="D1" s="2459"/>
      <c r="E1" s="2459"/>
      <c r="F1" s="2459"/>
    </row>
    <row r="2" spans="1:7" ht="13.5" customHeight="1" x14ac:dyDescent="0.2">
      <c r="A2" s="2460" t="str">
        <f>'Single Audit Cover'!E7</f>
        <v>24-032-060C-04</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3">
        <f>+C33+C34</f>
        <v>0</v>
      </c>
      <c r="F34" s="245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Saratoga Community Consolidated School District 60C</v>
      </c>
      <c r="C1" s="2463"/>
      <c r="D1" s="2463"/>
      <c r="E1" s="2463"/>
      <c r="F1" s="2463"/>
      <c r="G1" s="2463"/>
      <c r="H1" s="2463"/>
      <c r="I1" s="2463"/>
      <c r="J1" s="2463"/>
      <c r="K1" s="2463"/>
      <c r="L1" s="2463"/>
      <c r="M1" s="2463"/>
    </row>
    <row r="2" spans="2:14" ht="15" x14ac:dyDescent="0.2">
      <c r="B2" s="2460" t="str">
        <f>'Single Audit Cover'!E7</f>
        <v>24-032-060C-04</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5"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2087</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2107</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Saratoga Community Consolidated School District 60C</v>
      </c>
      <c r="C1" s="2478"/>
      <c r="D1" s="2478"/>
      <c r="E1" s="2478"/>
      <c r="F1" s="2478"/>
      <c r="G1" s="2478"/>
      <c r="H1" s="2478"/>
      <c r="I1" s="2478"/>
      <c r="J1" s="1422"/>
    </row>
    <row r="2" spans="2:10" s="317" customFormat="1" ht="12.75" customHeight="1" x14ac:dyDescent="0.2">
      <c r="B2" s="2479" t="str">
        <f>'Single Audit Cover'!E7</f>
        <v>24-032-060C-04</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Saratoga Community Consolidated School District 60C</v>
      </c>
      <c r="C1" s="2477"/>
      <c r="D1" s="2477"/>
      <c r="E1" s="2477"/>
      <c r="F1" s="2477"/>
      <c r="G1" s="2477"/>
      <c r="H1" s="2477"/>
      <c r="I1" s="2477"/>
      <c r="J1" s="2477"/>
      <c r="K1" s="2477"/>
      <c r="L1" s="1374"/>
      <c r="M1" s="1374"/>
    </row>
    <row r="2" spans="1:13" ht="12" customHeight="1" x14ac:dyDescent="0.2">
      <c r="B2" s="2479" t="str">
        <f>'Single Audit Cover'!E7</f>
        <v>24-032-060C-04</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Saratoga Community Consolidated School District 60C</v>
      </c>
      <c r="C1" s="2500"/>
      <c r="D1" s="2500"/>
      <c r="E1" s="2500"/>
      <c r="F1" s="2500"/>
      <c r="G1" s="2500"/>
      <c r="H1" s="2500"/>
      <c r="I1" s="2500"/>
      <c r="J1" s="2500"/>
      <c r="K1" s="2500"/>
      <c r="L1" s="1465"/>
    </row>
    <row r="2" spans="1:12" ht="12.75" customHeight="1" x14ac:dyDescent="0.2">
      <c r="B2" s="2501" t="str">
        <f>'Single Audit Cover'!E7</f>
        <v>24-032-060C-04</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Saratoga Community Consolidated School District 60C</v>
      </c>
      <c r="C1" s="2477"/>
      <c r="D1" s="2477"/>
      <c r="E1" s="1491"/>
    </row>
    <row r="2" spans="2:5" s="1282" customFormat="1" ht="12.75" customHeight="1" x14ac:dyDescent="0.2">
      <c r="B2" s="2479" t="str">
        <f>'Single Audit Cover'!E7</f>
        <v>24-032-060C-04</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195619791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1.7899999999999999E-2</v>
      </c>
      <c r="E10" s="356" t="s">
        <v>1062</v>
      </c>
      <c r="F10" s="355">
        <v>2.5000000000000001E-3</v>
      </c>
      <c r="G10" s="356" t="s">
        <v>1062</v>
      </c>
      <c r="H10" s="355">
        <v>1.1999999999999999E-3</v>
      </c>
      <c r="I10" s="356" t="s">
        <v>1063</v>
      </c>
      <c r="J10" s="1754">
        <f>ROUND(D10+F10+H10,5)</f>
        <v>2.1600000000000001E-2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7730486</v>
      </c>
      <c r="E16" s="356"/>
      <c r="F16" s="1755">
        <f>SUM('Acct Summary 7-8'!C17,'Acct Summary 7-8'!D17,'Acct Summary 7-8'!F17)</f>
        <v>7418872</v>
      </c>
      <c r="G16" s="356"/>
      <c r="H16" s="1755">
        <f>SUM(D16-F16)</f>
        <v>311614</v>
      </c>
      <c r="I16" s="222"/>
      <c r="J16" s="1755">
        <f>SUM('Acct Summary 7-8'!C81,'Acct Summary 7-8'!D81,'Acct Summary 7-8'!F81,'Acct Summary 7-8'!I81)</f>
        <v>4439949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13497765.579000002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7415000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Saratoga Community Consolidated School District 60C</v>
      </c>
      <c r="E7" s="391"/>
      <c r="G7" s="252"/>
      <c r="H7" s="387"/>
      <c r="I7" s="387"/>
      <c r="J7" s="387"/>
      <c r="K7" s="387"/>
      <c r="L7" s="329"/>
      <c r="M7" s="329"/>
      <c r="N7" s="329"/>
      <c r="O7" s="329"/>
      <c r="P7" s="329"/>
    </row>
    <row r="8" spans="1:18" ht="12.75" x14ac:dyDescent="0.2">
      <c r="A8" s="329"/>
      <c r="B8" s="329"/>
      <c r="C8" s="389" t="s">
        <v>1187</v>
      </c>
      <c r="D8" s="392" t="str">
        <f>COVER!A13</f>
        <v>24-032-060C-04</v>
      </c>
      <c r="E8" s="393"/>
      <c r="G8" s="329"/>
      <c r="H8" s="329"/>
      <c r="I8" s="329"/>
      <c r="J8" s="329"/>
      <c r="K8" s="329"/>
      <c r="L8" s="329"/>
      <c r="M8" s="329"/>
      <c r="N8" s="329"/>
      <c r="O8" s="329"/>
      <c r="P8" s="329"/>
    </row>
    <row r="9" spans="1:18" ht="12.75" x14ac:dyDescent="0.2">
      <c r="A9" s="329"/>
      <c r="B9" s="329"/>
      <c r="C9" s="389" t="s">
        <v>737</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4439949</v>
      </c>
      <c r="I12" s="404"/>
      <c r="J12" s="404"/>
      <c r="K12" s="405">
        <f>TRUNC((H12/H13*100000),5)/100000</f>
        <v>0.57434280319999997</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7730486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7418872</v>
      </c>
      <c r="I17" s="404"/>
      <c r="J17" s="416"/>
      <c r="K17" s="405">
        <f>TRUNC((H17/H18*100000),5)/100000</f>
        <v>0.95969024449999996</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7730486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4439949</v>
      </c>
      <c r="I24" s="422"/>
      <c r="J24" s="422"/>
      <c r="K24" s="423">
        <f>TRUNC(((H24/H25*100000)/100000),2)</f>
        <v>215.44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20607.977780000001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3591579.3627599999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7415000</v>
      </c>
      <c r="I32" s="420"/>
      <c r="J32" s="420"/>
      <c r="K32" s="423">
        <f>TRUNC(100-((((H32/H33*100))*100)/100),2)</f>
        <v>45.06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13497765.579000002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0" activePane="bottomLeft" state="frozen"/>
      <selection activeCell="A47" sqref="A47"/>
      <selection pane="bottomLeft" activeCell="A39" sqref="A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546267</v>
      </c>
      <c r="D4" s="466">
        <v>312462</v>
      </c>
      <c r="E4" s="466">
        <v>366997</v>
      </c>
      <c r="F4" s="466">
        <v>496964</v>
      </c>
      <c r="G4" s="466">
        <v>86359</v>
      </c>
      <c r="H4" s="466">
        <v>410551</v>
      </c>
      <c r="I4" s="466">
        <v>12721</v>
      </c>
      <c r="J4" s="467">
        <v>71552</v>
      </c>
      <c r="K4" s="466">
        <v>876</v>
      </c>
      <c r="L4" s="466">
        <v>66804</v>
      </c>
      <c r="M4" s="468"/>
      <c r="N4" s="469"/>
    </row>
    <row r="5" spans="1:14" x14ac:dyDescent="0.2">
      <c r="A5" s="463" t="s">
        <v>1049</v>
      </c>
      <c r="B5" s="470">
        <v>120</v>
      </c>
      <c r="C5" s="465">
        <v>1954040</v>
      </c>
      <c r="D5" s="466">
        <v>380106</v>
      </c>
      <c r="E5" s="466">
        <v>266178</v>
      </c>
      <c r="F5" s="466">
        <v>224276</v>
      </c>
      <c r="G5" s="466">
        <v>115074</v>
      </c>
      <c r="H5" s="466">
        <v>58918</v>
      </c>
      <c r="I5" s="466">
        <v>513113</v>
      </c>
      <c r="J5" s="467">
        <v>154121</v>
      </c>
      <c r="K5" s="471">
        <v>226540</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2500307</v>
      </c>
      <c r="D13" s="1759">
        <f t="shared" ref="D13:L13" si="0">SUM(D4:D12)</f>
        <v>692568</v>
      </c>
      <c r="E13" s="1759">
        <f t="shared" si="0"/>
        <v>633175</v>
      </c>
      <c r="F13" s="1759">
        <f t="shared" si="0"/>
        <v>721240</v>
      </c>
      <c r="G13" s="1759">
        <f t="shared" si="0"/>
        <v>201433</v>
      </c>
      <c r="H13" s="1759">
        <f t="shared" si="0"/>
        <v>469469</v>
      </c>
      <c r="I13" s="1759">
        <f t="shared" si="0"/>
        <v>525834</v>
      </c>
      <c r="J13" s="1759">
        <f t="shared" si="0"/>
        <v>225673</v>
      </c>
      <c r="K13" s="1759">
        <f t="shared" si="0"/>
        <v>227416</v>
      </c>
      <c r="L13" s="1759">
        <f t="shared" si="0"/>
        <v>66804</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510156</v>
      </c>
      <c r="N16" s="484"/>
    </row>
    <row r="17" spans="1:14" s="485" customFormat="1" ht="12.75" customHeight="1" x14ac:dyDescent="0.2">
      <c r="A17" s="482" t="s">
        <v>1470</v>
      </c>
      <c r="B17" s="483">
        <v>230</v>
      </c>
      <c r="C17" s="477"/>
      <c r="D17" s="477"/>
      <c r="E17" s="477"/>
      <c r="F17" s="477"/>
      <c r="G17" s="477"/>
      <c r="H17" s="477"/>
      <c r="I17" s="477"/>
      <c r="J17" s="477"/>
      <c r="K17" s="477"/>
      <c r="L17" s="477"/>
      <c r="M17" s="467">
        <v>13342973</v>
      </c>
      <c r="N17" s="484"/>
    </row>
    <row r="18" spans="1:14" s="485" customFormat="1" ht="12.75" customHeight="1" x14ac:dyDescent="0.2">
      <c r="A18" s="482" t="s">
        <v>1471</v>
      </c>
      <c r="B18" s="483">
        <v>240</v>
      </c>
      <c r="C18" s="477"/>
      <c r="D18" s="477"/>
      <c r="E18" s="477"/>
      <c r="F18" s="477"/>
      <c r="G18" s="477"/>
      <c r="H18" s="477"/>
      <c r="I18" s="477"/>
      <c r="J18" s="477"/>
      <c r="K18" s="477"/>
      <c r="L18" s="477"/>
      <c r="M18" s="467">
        <v>58171</v>
      </c>
      <c r="N18" s="484"/>
    </row>
    <row r="19" spans="1:14" s="485" customFormat="1" ht="12.75" customHeight="1" x14ac:dyDescent="0.2">
      <c r="A19" s="482" t="s">
        <v>1472</v>
      </c>
      <c r="B19" s="483">
        <v>250</v>
      </c>
      <c r="C19" s="477"/>
      <c r="D19" s="477"/>
      <c r="E19" s="477"/>
      <c r="F19" s="477"/>
      <c r="G19" s="477"/>
      <c r="H19" s="477"/>
      <c r="I19" s="477"/>
      <c r="J19" s="477"/>
      <c r="K19" s="477"/>
      <c r="L19" s="477"/>
      <c r="M19" s="467">
        <v>176723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633175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6781825</v>
      </c>
    </row>
    <row r="23" spans="1:14" ht="13.5" customHeight="1" thickBot="1" x14ac:dyDescent="0.25">
      <c r="A23" s="1758" t="s">
        <v>664</v>
      </c>
      <c r="B23" s="1763"/>
      <c r="C23" s="468"/>
      <c r="D23" s="468"/>
      <c r="E23" s="468"/>
      <c r="F23" s="468"/>
      <c r="G23" s="468"/>
      <c r="H23" s="468"/>
      <c r="I23" s="468"/>
      <c r="J23" s="468"/>
      <c r="K23" s="468"/>
      <c r="L23" s="468"/>
      <c r="M23" s="1710">
        <f>SUM(M15:M22)</f>
        <v>14088023</v>
      </c>
      <c r="N23" s="1710">
        <f>SUM(N21:N22)</f>
        <v>7415000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66804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66804</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7415000</v>
      </c>
    </row>
    <row r="37" spans="1:14" ht="13.5" thickBot="1" x14ac:dyDescent="0.25">
      <c r="A37" s="1758" t="s">
        <v>674</v>
      </c>
      <c r="B37" s="1763"/>
      <c r="C37" s="477"/>
      <c r="D37" s="477"/>
      <c r="E37" s="477"/>
      <c r="F37" s="477"/>
      <c r="G37" s="477"/>
      <c r="H37" s="477"/>
      <c r="I37" s="477"/>
      <c r="J37" s="477"/>
      <c r="K37" s="477"/>
      <c r="L37" s="480"/>
      <c r="M37" s="468"/>
      <c r="N37" s="1710">
        <f>SUM(N36:N36)</f>
        <v>7415000</v>
      </c>
    </row>
    <row r="38" spans="1:14" s="329" customFormat="1" ht="13.5" customHeight="1" thickTop="1" x14ac:dyDescent="0.2">
      <c r="A38" s="496" t="s">
        <v>440</v>
      </c>
      <c r="B38" s="483">
        <v>714</v>
      </c>
      <c r="C38" s="466">
        <v>450795</v>
      </c>
      <c r="D38" s="466"/>
      <c r="E38" s="466"/>
      <c r="F38" s="466"/>
      <c r="G38" s="466">
        <v>55431</v>
      </c>
      <c r="H38" s="466"/>
      <c r="I38" s="466"/>
      <c r="J38" s="467"/>
      <c r="K38" s="466"/>
      <c r="L38" s="481"/>
      <c r="M38" s="497"/>
      <c r="N38" s="497"/>
    </row>
    <row r="39" spans="1:14" s="329" customFormat="1" ht="13.5" customHeight="1" x14ac:dyDescent="0.2">
      <c r="A39" s="496" t="s">
        <v>360</v>
      </c>
      <c r="B39" s="483">
        <v>730</v>
      </c>
      <c r="C39" s="466">
        <v>2049512</v>
      </c>
      <c r="D39" s="466">
        <v>692568</v>
      </c>
      <c r="E39" s="466">
        <v>633175</v>
      </c>
      <c r="F39" s="466">
        <v>721240</v>
      </c>
      <c r="G39" s="466">
        <v>146002</v>
      </c>
      <c r="H39" s="466">
        <v>469469</v>
      </c>
      <c r="I39" s="466">
        <v>525834</v>
      </c>
      <c r="J39" s="467">
        <v>225673</v>
      </c>
      <c r="K39" s="466">
        <v>227416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14088023</v>
      </c>
      <c r="N40" s="497"/>
    </row>
    <row r="41" spans="1:14" ht="13.5" customHeight="1" thickBot="1" x14ac:dyDescent="0.25">
      <c r="A41" s="1758" t="s">
        <v>676</v>
      </c>
      <c r="B41" s="1728"/>
      <c r="C41" s="1710">
        <f>(SUM(C34,C37,C38,C39))</f>
        <v>2500307</v>
      </c>
      <c r="D41" s="1710">
        <f t="shared" ref="D41:L41" si="2">SUM(D34,D37,D38:D39)</f>
        <v>692568</v>
      </c>
      <c r="E41" s="1710">
        <f t="shared" si="2"/>
        <v>633175</v>
      </c>
      <c r="F41" s="1710">
        <f t="shared" si="2"/>
        <v>721240</v>
      </c>
      <c r="G41" s="1710">
        <f t="shared" si="2"/>
        <v>201433</v>
      </c>
      <c r="H41" s="1710">
        <f t="shared" si="2"/>
        <v>469469</v>
      </c>
      <c r="I41" s="1710">
        <f t="shared" si="2"/>
        <v>525834</v>
      </c>
      <c r="J41" s="1710">
        <f t="shared" si="2"/>
        <v>225673</v>
      </c>
      <c r="K41" s="1710">
        <f t="shared" si="2"/>
        <v>227416</v>
      </c>
      <c r="L41" s="1710">
        <f t="shared" si="2"/>
        <v>66804</v>
      </c>
      <c r="M41" s="1710">
        <f>SUM(M40)</f>
        <v>14088023</v>
      </c>
      <c r="N41" s="1710">
        <f>SUM(N37)</f>
        <v>7415000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8" activePane="bottomLeft" state="frozenSplit"/>
      <selection activeCell="A47" sqref="A47"/>
      <selection pane="bottomLeft" activeCell="D74" sqref="D7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4100370</v>
      </c>
      <c r="D4" s="1764">
        <f>'Revenues 9-14'!D109</f>
        <v>520121</v>
      </c>
      <c r="E4" s="1764">
        <f>'Revenues 9-14'!E109</f>
        <v>1345494</v>
      </c>
      <c r="F4" s="1764">
        <f>'Revenues 9-14'!F109</f>
        <v>1265752</v>
      </c>
      <c r="G4" s="1764">
        <f>'Revenues 9-14'!G109</f>
        <v>208171</v>
      </c>
      <c r="H4" s="1764">
        <f>'Revenues 9-14'!H109</f>
        <v>211793</v>
      </c>
      <c r="I4" s="1764">
        <f>'Revenues 9-14'!I109</f>
        <v>103198</v>
      </c>
      <c r="J4" s="1764">
        <f>'Revenues 9-14'!J109</f>
        <v>182194</v>
      </c>
      <c r="K4" s="1764">
        <f>'Revenues 9-14'!K109</f>
        <v>96741</v>
      </c>
      <c r="L4" s="347"/>
    </row>
    <row r="5" spans="1:13" ht="15.75" customHeight="1" x14ac:dyDescent="0.2">
      <c r="A5" s="1598" t="s">
        <v>1580</v>
      </c>
      <c r="B5" s="1599">
        <v>2000</v>
      </c>
      <c r="C5" s="1765">
        <f>'Revenues 9-14'!C114</f>
        <v>7745</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1234437</v>
      </c>
      <c r="D6" s="1765">
        <f>'Revenues 9-14'!D173</f>
        <v>0</v>
      </c>
      <c r="E6" s="1765">
        <f>'Revenues 9-14'!E173</f>
        <v>0</v>
      </c>
      <c r="F6" s="1765">
        <f>'Revenues 9-14'!F173</f>
        <v>194484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300537</v>
      </c>
      <c r="D7" s="1765">
        <f>'Revenues 9-14'!D274</f>
        <v>3842</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5643089</v>
      </c>
      <c r="D8" s="1710">
        <f t="shared" ref="D8:K8" si="0">SUM(D4:D7)</f>
        <v>523963</v>
      </c>
      <c r="E8" s="1710">
        <f t="shared" si="0"/>
        <v>1345494</v>
      </c>
      <c r="F8" s="1710">
        <f t="shared" si="0"/>
        <v>1460236</v>
      </c>
      <c r="G8" s="1710">
        <f t="shared" si="0"/>
        <v>208171</v>
      </c>
      <c r="H8" s="1710">
        <f t="shared" si="0"/>
        <v>211793</v>
      </c>
      <c r="I8" s="1710">
        <f t="shared" si="0"/>
        <v>103198</v>
      </c>
      <c r="J8" s="1710">
        <f t="shared" si="0"/>
        <v>182194</v>
      </c>
      <c r="K8" s="1710">
        <f t="shared" si="0"/>
        <v>96741</v>
      </c>
      <c r="L8" s="347"/>
    </row>
    <row r="9" spans="1:13" ht="15.75" thickTop="1" x14ac:dyDescent="0.2">
      <c r="A9" s="514" t="s">
        <v>1752</v>
      </c>
      <c r="B9" s="515">
        <v>3998</v>
      </c>
      <c r="C9" s="481">
        <v>395069</v>
      </c>
      <c r="D9" s="516">
        <v>2344</v>
      </c>
      <c r="E9" s="481"/>
      <c r="F9" s="481">
        <v>2426</v>
      </c>
      <c r="G9" s="517"/>
      <c r="H9" s="481"/>
      <c r="I9" s="509" t="s">
        <v>1231</v>
      </c>
      <c r="J9" s="478">
        <v>5310</v>
      </c>
      <c r="K9" s="481"/>
      <c r="L9" s="347"/>
    </row>
    <row r="10" spans="1:13" s="519" customFormat="1" ht="13.5" thickBot="1" x14ac:dyDescent="0.25">
      <c r="A10" s="1758" t="s">
        <v>1235</v>
      </c>
      <c r="B10" s="1731"/>
      <c r="C10" s="1710">
        <f>SUM(C8:C9)</f>
        <v>6038158</v>
      </c>
      <c r="D10" s="1710">
        <f t="shared" ref="D10:K10" si="1">SUM(D8:D9)</f>
        <v>526307</v>
      </c>
      <c r="E10" s="1710">
        <f t="shared" si="1"/>
        <v>1345494</v>
      </c>
      <c r="F10" s="1710">
        <f t="shared" si="1"/>
        <v>1462662</v>
      </c>
      <c r="G10" s="1710">
        <f t="shared" si="1"/>
        <v>208171</v>
      </c>
      <c r="H10" s="1710">
        <f t="shared" si="1"/>
        <v>211793</v>
      </c>
      <c r="I10" s="1710">
        <f t="shared" si="1"/>
        <v>103198</v>
      </c>
      <c r="J10" s="1710">
        <f t="shared" si="1"/>
        <v>187504</v>
      </c>
      <c r="K10" s="1710">
        <f t="shared" si="1"/>
        <v>96741</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3783285</v>
      </c>
      <c r="D12" s="520" t="s">
        <v>1231</v>
      </c>
      <c r="E12" s="468" t="s">
        <v>1231</v>
      </c>
      <c r="F12" s="468" t="s">
        <v>1231</v>
      </c>
      <c r="G12" s="1764">
        <f>'Expenditures 15-22'!K229</f>
        <v>75278</v>
      </c>
      <c r="H12" s="521"/>
      <c r="I12" s="468" t="s">
        <v>1231</v>
      </c>
      <c r="J12" s="468" t="s">
        <v>1231</v>
      </c>
      <c r="K12" s="521" t="s">
        <v>1231</v>
      </c>
      <c r="L12" s="347"/>
    </row>
    <row r="13" spans="1:13" ht="15.75" customHeight="1" x14ac:dyDescent="0.2">
      <c r="A13" s="1598" t="s">
        <v>477</v>
      </c>
      <c r="B13" s="1600">
        <v>2000</v>
      </c>
      <c r="C13" s="1765">
        <f>'Expenditures 15-22'!K74</f>
        <v>1399003</v>
      </c>
      <c r="D13" s="1765">
        <f>'Expenditures 15-22'!K129</f>
        <v>459712</v>
      </c>
      <c r="E13" s="469" t="s">
        <v>1231</v>
      </c>
      <c r="F13" s="1765">
        <f>'Expenditures 15-22'!K184</f>
        <v>1372919</v>
      </c>
      <c r="G13" s="1765">
        <f>'Expenditures 15-22'!K279</f>
        <v>215641</v>
      </c>
      <c r="H13" s="1765">
        <f>'Expenditures 15-22'!K303</f>
        <v>300824</v>
      </c>
      <c r="I13" s="468" t="s">
        <v>1231</v>
      </c>
      <c r="J13" s="1765">
        <f>'Expenditures 15-22'!K330</f>
        <v>232128</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403953</v>
      </c>
      <c r="D15" s="1765">
        <f>'Expenditures 15-22'!K139</f>
        <v>0</v>
      </c>
      <c r="E15" s="1765">
        <f>'Expenditures 15-22'!K160</f>
        <v>0</v>
      </c>
      <c r="F15" s="1765">
        <f>'Expenditures 15-22'!K196</f>
        <v>0</v>
      </c>
      <c r="G15" s="1765">
        <f>'Expenditures 15-22'!K285</f>
        <v>0</v>
      </c>
      <c r="H15" s="1765">
        <f>'Expenditures 15-22'!K310</f>
        <v>10068</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994300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5586241</v>
      </c>
      <c r="D17" s="1710">
        <f t="shared" si="2"/>
        <v>459712</v>
      </c>
      <c r="E17" s="1710">
        <f t="shared" si="2"/>
        <v>994300</v>
      </c>
      <c r="F17" s="1710">
        <f t="shared" si="2"/>
        <v>1372919</v>
      </c>
      <c r="G17" s="1710">
        <f t="shared" si="2"/>
        <v>290919</v>
      </c>
      <c r="H17" s="1710">
        <f t="shared" si="2"/>
        <v>310892</v>
      </c>
      <c r="I17" s="468"/>
      <c r="J17" s="1710">
        <f>SUM(J12:J16)</f>
        <v>232128</v>
      </c>
      <c r="K17" s="1710">
        <f>SUM(K12:K16)</f>
        <v>0</v>
      </c>
      <c r="L17" s="347"/>
    </row>
    <row r="18" spans="1:12" ht="15" customHeight="1" thickTop="1" x14ac:dyDescent="0.2">
      <c r="A18" s="1766" t="s">
        <v>1753</v>
      </c>
      <c r="B18" s="1767">
        <v>4180</v>
      </c>
      <c r="C18" s="1764">
        <f t="shared" ref="C18:H18" si="3">C9</f>
        <v>395069</v>
      </c>
      <c r="D18" s="1764">
        <f t="shared" si="3"/>
        <v>2344</v>
      </c>
      <c r="E18" s="1764">
        <f t="shared" si="3"/>
        <v>0</v>
      </c>
      <c r="F18" s="1764">
        <f t="shared" si="3"/>
        <v>2426</v>
      </c>
      <c r="G18" s="1764">
        <f t="shared" si="3"/>
        <v>0</v>
      </c>
      <c r="H18" s="1764">
        <f t="shared" si="3"/>
        <v>0</v>
      </c>
      <c r="I18" s="468"/>
      <c r="J18" s="1764">
        <f>J9</f>
        <v>5310</v>
      </c>
      <c r="K18" s="1764">
        <f>K9</f>
        <v>0</v>
      </c>
      <c r="L18" s="347"/>
    </row>
    <row r="19" spans="1:12" ht="13.5" thickBot="1" x14ac:dyDescent="0.25">
      <c r="A19" s="1730" t="s">
        <v>526</v>
      </c>
      <c r="B19" s="1731"/>
      <c r="C19" s="1710">
        <f t="shared" ref="C19:H19" si="4">SUM(C17:C18)</f>
        <v>5981310</v>
      </c>
      <c r="D19" s="1710">
        <f t="shared" si="4"/>
        <v>462056</v>
      </c>
      <c r="E19" s="1710">
        <f t="shared" si="4"/>
        <v>994300</v>
      </c>
      <c r="F19" s="1710">
        <f t="shared" si="4"/>
        <v>1375345</v>
      </c>
      <c r="G19" s="1710">
        <f t="shared" si="4"/>
        <v>290919</v>
      </c>
      <c r="H19" s="1710">
        <f t="shared" si="4"/>
        <v>310892</v>
      </c>
      <c r="I19" s="468"/>
      <c r="J19" s="1710">
        <f>SUM(J17:J18)</f>
        <v>237438</v>
      </c>
      <c r="K19" s="1710">
        <f>SUM(K17:K18)</f>
        <v>0</v>
      </c>
      <c r="L19" s="347"/>
    </row>
    <row r="20" spans="1:12" ht="16.5" thickTop="1" thickBot="1" x14ac:dyDescent="0.25">
      <c r="A20" s="2143" t="s">
        <v>1754</v>
      </c>
      <c r="B20" s="2144"/>
      <c r="C20" s="1768">
        <f>C8-C17</f>
        <v>56848</v>
      </c>
      <c r="D20" s="1768">
        <f t="shared" ref="D20:K20" si="5">D8-D17</f>
        <v>64251</v>
      </c>
      <c r="E20" s="1768">
        <f t="shared" si="5"/>
        <v>351194</v>
      </c>
      <c r="F20" s="1768">
        <f t="shared" si="5"/>
        <v>87317</v>
      </c>
      <c r="G20" s="1768">
        <f t="shared" si="5"/>
        <v>-82748</v>
      </c>
      <c r="H20" s="1768">
        <f t="shared" si="5"/>
        <v>-99099</v>
      </c>
      <c r="I20" s="1768">
        <f t="shared" si="5"/>
        <v>103198</v>
      </c>
      <c r="J20" s="1768">
        <f t="shared" si="5"/>
        <v>-49934</v>
      </c>
      <c r="K20" s="1768">
        <f t="shared" si="5"/>
        <v>96741</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90000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200000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90000</v>
      </c>
      <c r="D44" s="1725">
        <f t="shared" ref="D44:K44" si="6">SUM(D24:D43)</f>
        <v>0</v>
      </c>
      <c r="E44" s="1725">
        <f t="shared" si="6"/>
        <v>0</v>
      </c>
      <c r="F44" s="1725">
        <f t="shared" si="6"/>
        <v>0</v>
      </c>
      <c r="G44" s="1725">
        <f t="shared" si="6"/>
        <v>0</v>
      </c>
      <c r="H44" s="1725">
        <f t="shared" si="6"/>
        <v>200000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90000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v>200000</v>
      </c>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200000</v>
      </c>
      <c r="E76" s="1725">
        <f t="shared" si="7"/>
        <v>0</v>
      </c>
      <c r="F76" s="1725">
        <f t="shared" si="7"/>
        <v>0</v>
      </c>
      <c r="G76" s="1725">
        <f t="shared" si="7"/>
        <v>0</v>
      </c>
      <c r="H76" s="1725">
        <f t="shared" si="7"/>
        <v>0</v>
      </c>
      <c r="I76" s="1725">
        <f t="shared" si="7"/>
        <v>90000</v>
      </c>
      <c r="J76" s="1725">
        <f t="shared" si="7"/>
        <v>0</v>
      </c>
      <c r="K76" s="1725">
        <f t="shared" si="7"/>
        <v>0</v>
      </c>
      <c r="L76" s="524"/>
    </row>
    <row r="77" spans="1:12" ht="14.25" thickTop="1" thickBot="1" x14ac:dyDescent="0.25">
      <c r="A77" s="2135" t="s">
        <v>1239</v>
      </c>
      <c r="B77" s="2136"/>
      <c r="C77" s="1725">
        <f t="shared" ref="C77:K77" si="8">C44-C76</f>
        <v>90000</v>
      </c>
      <c r="D77" s="1725">
        <f t="shared" si="8"/>
        <v>-200000</v>
      </c>
      <c r="E77" s="1725">
        <f t="shared" si="8"/>
        <v>0</v>
      </c>
      <c r="F77" s="1725">
        <f t="shared" si="8"/>
        <v>0</v>
      </c>
      <c r="G77" s="1725">
        <f t="shared" si="8"/>
        <v>0</v>
      </c>
      <c r="H77" s="1725">
        <f t="shared" si="8"/>
        <v>200000</v>
      </c>
      <c r="I77" s="1725">
        <f t="shared" si="8"/>
        <v>-90000</v>
      </c>
      <c r="J77" s="1725">
        <f t="shared" si="8"/>
        <v>0</v>
      </c>
      <c r="K77" s="1725">
        <f t="shared" si="8"/>
        <v>0</v>
      </c>
      <c r="L77" s="347"/>
    </row>
    <row r="78" spans="1:12" ht="21.75" customHeight="1" thickTop="1" thickBot="1" x14ac:dyDescent="0.25">
      <c r="A78" s="2139" t="s">
        <v>618</v>
      </c>
      <c r="B78" s="2140"/>
      <c r="C78" s="1724">
        <f t="shared" ref="C78:K78" si="9">C20+C77</f>
        <v>146848</v>
      </c>
      <c r="D78" s="1724">
        <f t="shared" si="9"/>
        <v>-135749</v>
      </c>
      <c r="E78" s="1724">
        <f t="shared" si="9"/>
        <v>351194</v>
      </c>
      <c r="F78" s="1724">
        <f t="shared" si="9"/>
        <v>87317</v>
      </c>
      <c r="G78" s="1724">
        <f t="shared" si="9"/>
        <v>-82748</v>
      </c>
      <c r="H78" s="1724">
        <f t="shared" si="9"/>
        <v>100901</v>
      </c>
      <c r="I78" s="1724">
        <f t="shared" si="9"/>
        <v>13198</v>
      </c>
      <c r="J78" s="1724">
        <f t="shared" si="9"/>
        <v>-49934</v>
      </c>
      <c r="K78" s="1724">
        <f t="shared" si="9"/>
        <v>96741</v>
      </c>
      <c r="L78" s="533"/>
    </row>
    <row r="79" spans="1:12" ht="13.5" thickTop="1" x14ac:dyDescent="0.2">
      <c r="A79" s="1516" t="s">
        <v>2071</v>
      </c>
      <c r="B79" s="534"/>
      <c r="C79" s="478">
        <v>2353459</v>
      </c>
      <c r="D79" s="535">
        <v>828317</v>
      </c>
      <c r="E79" s="535">
        <v>281981</v>
      </c>
      <c r="F79" s="535">
        <v>633923</v>
      </c>
      <c r="G79" s="535">
        <v>284181</v>
      </c>
      <c r="H79" s="535">
        <v>368568</v>
      </c>
      <c r="I79" s="535">
        <v>512636</v>
      </c>
      <c r="J79" s="535">
        <v>275607</v>
      </c>
      <c r="K79" s="535">
        <v>130675</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2500307</v>
      </c>
      <c r="D81" s="1710">
        <f>SUM(D78:D80)</f>
        <v>692568</v>
      </c>
      <c r="E81" s="1710">
        <f t="shared" ref="E81:K81" si="10">SUM(E78:E80)</f>
        <v>633175</v>
      </c>
      <c r="F81" s="1710">
        <f t="shared" si="10"/>
        <v>721240</v>
      </c>
      <c r="G81" s="1710">
        <f t="shared" si="10"/>
        <v>201433</v>
      </c>
      <c r="H81" s="1710">
        <f t="shared" si="10"/>
        <v>469469</v>
      </c>
      <c r="I81" s="1710">
        <f t="shared" si="10"/>
        <v>525834</v>
      </c>
      <c r="J81" s="1710">
        <f t="shared" si="10"/>
        <v>225673</v>
      </c>
      <c r="K81" s="1710">
        <f t="shared" si="10"/>
        <v>227416</v>
      </c>
      <c r="L81" s="347"/>
    </row>
    <row r="82" spans="1:12" ht="0.75" customHeight="1" thickTop="1" thickBot="1" x14ac:dyDescent="0.25">
      <c r="A82" s="536" t="s">
        <v>361</v>
      </c>
      <c r="B82" s="537"/>
      <c r="C82" s="538">
        <f>(C81-C79)</f>
        <v>146848</v>
      </c>
      <c r="D82" s="538">
        <f t="shared" ref="D82:K82" si="11">(D81-D79)</f>
        <v>-135749</v>
      </c>
      <c r="E82" s="538">
        <f t="shared" si="11"/>
        <v>351194</v>
      </c>
      <c r="F82" s="538">
        <f t="shared" si="11"/>
        <v>87317</v>
      </c>
      <c r="G82" s="538">
        <f t="shared" si="11"/>
        <v>-82748</v>
      </c>
      <c r="H82" s="538">
        <f t="shared" si="11"/>
        <v>100901</v>
      </c>
      <c r="I82" s="538">
        <f t="shared" si="11"/>
        <v>13198</v>
      </c>
      <c r="J82" s="538">
        <f t="shared" si="11"/>
        <v>-49934</v>
      </c>
      <c r="K82" s="538">
        <f t="shared" si="11"/>
        <v>96741</v>
      </c>
    </row>
    <row r="83" spans="1:12" ht="14.25" hidden="1" thickTop="1" thickBot="1" x14ac:dyDescent="0.25">
      <c r="A83" s="539" t="s">
        <v>362</v>
      </c>
      <c r="B83" s="464"/>
      <c r="C83" s="540">
        <f>C82/C81</f>
        <v>5.8731987711908976E-2</v>
      </c>
      <c r="D83" s="540">
        <f t="shared" ref="D83:K83" si="12">D82/D81</f>
        <v>-0.19600818980952051</v>
      </c>
      <c r="E83" s="540">
        <f t="shared" si="12"/>
        <v>0.55465550598175861</v>
      </c>
      <c r="F83" s="540">
        <f t="shared" si="12"/>
        <v>0.12106511008818147</v>
      </c>
      <c r="G83" s="540">
        <f t="shared" si="12"/>
        <v>-0.41079664205964267</v>
      </c>
      <c r="H83" s="540">
        <f t="shared" si="12"/>
        <v>0.21492579914754756</v>
      </c>
      <c r="I83" s="540">
        <f t="shared" si="12"/>
        <v>2.5099175785514058E-2</v>
      </c>
      <c r="J83" s="540">
        <f t="shared" si="12"/>
        <v>-0.22126705454352094</v>
      </c>
      <c r="K83" s="540">
        <f t="shared" si="12"/>
        <v>0.42539223273648291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96" activePane="bottomLeft" state="frozen"/>
      <selection activeCell="A47" sqref="A47"/>
      <selection pane="bottomLeft" activeCell="A109" sqref="A10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3447266</v>
      </c>
      <c r="D5" s="481">
        <v>481463</v>
      </c>
      <c r="E5" s="466">
        <v>995197</v>
      </c>
      <c r="F5" s="548">
        <v>231103</v>
      </c>
      <c r="G5" s="466">
        <v>45093</v>
      </c>
      <c r="H5" s="466"/>
      <c r="I5" s="466">
        <v>96293</v>
      </c>
      <c r="J5" s="467">
        <v>105222</v>
      </c>
      <c r="K5" s="466">
        <v>96293</v>
      </c>
    </row>
    <row r="6" spans="1:12" ht="15" x14ac:dyDescent="0.2">
      <c r="A6" s="463" t="s">
        <v>1761</v>
      </c>
      <c r="B6" s="470">
        <v>1130</v>
      </c>
      <c r="C6" s="466">
        <v>96293</v>
      </c>
      <c r="D6" s="466"/>
      <c r="E6" s="475"/>
      <c r="F6" s="475"/>
      <c r="G6" s="468"/>
      <c r="H6" s="468"/>
      <c r="I6" s="468"/>
      <c r="J6" s="468"/>
      <c r="K6" s="468"/>
    </row>
    <row r="7" spans="1:12" x14ac:dyDescent="0.2">
      <c r="A7" s="463" t="s">
        <v>112</v>
      </c>
      <c r="B7" s="549">
        <v>1140</v>
      </c>
      <c r="C7" s="466">
        <v>38517</v>
      </c>
      <c r="D7" s="466"/>
      <c r="E7" s="468"/>
      <c r="F7" s="467"/>
      <c r="G7" s="467"/>
      <c r="H7" s="467"/>
      <c r="I7" s="468"/>
      <c r="J7" s="468"/>
      <c r="K7" s="468"/>
    </row>
    <row r="8" spans="1:12" x14ac:dyDescent="0.2">
      <c r="A8" s="463" t="s">
        <v>433</v>
      </c>
      <c r="B8" s="470">
        <v>1150</v>
      </c>
      <c r="C8" s="475"/>
      <c r="D8" s="475"/>
      <c r="E8" s="477"/>
      <c r="F8" s="477"/>
      <c r="G8" s="481">
        <v>55128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3582076</v>
      </c>
      <c r="D12" s="1729">
        <f t="shared" si="0"/>
        <v>481463</v>
      </c>
      <c r="E12" s="1729">
        <f t="shared" si="0"/>
        <v>995197</v>
      </c>
      <c r="F12" s="1729">
        <f t="shared" si="0"/>
        <v>231103</v>
      </c>
      <c r="G12" s="1729">
        <f t="shared" si="0"/>
        <v>100221</v>
      </c>
      <c r="H12" s="1729">
        <f t="shared" si="0"/>
        <v>0</v>
      </c>
      <c r="I12" s="1729">
        <f t="shared" si="0"/>
        <v>96293</v>
      </c>
      <c r="J12" s="1729">
        <f t="shared" si="0"/>
        <v>105222</v>
      </c>
      <c r="K12" s="1710">
        <f t="shared" si="0"/>
        <v>96293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104968</v>
      </c>
      <c r="D16" s="466"/>
      <c r="E16" s="466"/>
      <c r="F16" s="466"/>
      <c r="G16" s="466">
        <v>4374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104968</v>
      </c>
      <c r="D18" s="1732">
        <f t="shared" ref="D18:K18" si="1">SUM(D14:D17)</f>
        <v>0</v>
      </c>
      <c r="E18" s="1732">
        <f t="shared" si="1"/>
        <v>0</v>
      </c>
      <c r="F18" s="1732">
        <f t="shared" si="1"/>
        <v>0</v>
      </c>
      <c r="G18" s="1732">
        <f t="shared" si="1"/>
        <v>4374</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6800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6800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492220</v>
      </c>
      <c r="G43" s="468"/>
      <c r="H43" s="468"/>
      <c r="I43" s="468"/>
      <c r="J43" s="468"/>
      <c r="K43" s="468"/>
    </row>
    <row r="44" spans="1:11" ht="12.75" customHeight="1" x14ac:dyDescent="0.2">
      <c r="A44" s="463" t="s">
        <v>402</v>
      </c>
      <c r="B44" s="470">
        <v>1413</v>
      </c>
      <c r="C44" s="468"/>
      <c r="D44" s="468"/>
      <c r="E44" s="468"/>
      <c r="F44" s="466">
        <v>13761</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524957</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1030938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30570</v>
      </c>
      <c r="D65" s="466">
        <v>9489</v>
      </c>
      <c r="E65" s="466">
        <v>5297</v>
      </c>
      <c r="F65" s="467">
        <v>3244</v>
      </c>
      <c r="G65" s="466">
        <v>1961</v>
      </c>
      <c r="H65" s="466">
        <v>2362</v>
      </c>
      <c r="I65" s="466">
        <v>6905</v>
      </c>
      <c r="J65" s="467">
        <v>1872</v>
      </c>
      <c r="K65" s="466">
        <v>448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30570</v>
      </c>
      <c r="D67" s="1710">
        <f t="shared" ref="D67:K67" si="2">SUM(D65:D66)</f>
        <v>9489</v>
      </c>
      <c r="E67" s="1710">
        <f t="shared" si="2"/>
        <v>5297</v>
      </c>
      <c r="F67" s="1710">
        <f t="shared" si="2"/>
        <v>3244</v>
      </c>
      <c r="G67" s="1710">
        <f t="shared" si="2"/>
        <v>1961</v>
      </c>
      <c r="H67" s="1710">
        <f t="shared" si="2"/>
        <v>2362</v>
      </c>
      <c r="I67" s="1710">
        <f t="shared" si="2"/>
        <v>6905</v>
      </c>
      <c r="J67" s="1710">
        <f t="shared" si="2"/>
        <v>1872</v>
      </c>
      <c r="K67" s="1710">
        <f t="shared" si="2"/>
        <v>448</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52350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6695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340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59385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13315</v>
      </c>
      <c r="D77" s="466"/>
      <c r="E77" s="468"/>
      <c r="F77" s="468"/>
      <c r="G77" s="468"/>
      <c r="H77" s="468"/>
      <c r="I77" s="468"/>
      <c r="J77" s="468"/>
      <c r="K77" s="468"/>
    </row>
    <row r="78" spans="1:11" ht="12.75" customHeight="1" x14ac:dyDescent="0.2">
      <c r="A78" s="463" t="s">
        <v>78</v>
      </c>
      <c r="B78" s="470">
        <v>1719</v>
      </c>
      <c r="C78" s="551">
        <v>3945</v>
      </c>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26327</v>
      </c>
      <c r="D81" s="466"/>
      <c r="E81" s="468"/>
      <c r="F81" s="468"/>
      <c r="G81" s="468"/>
      <c r="H81" s="468"/>
      <c r="I81" s="468"/>
      <c r="J81" s="468"/>
      <c r="K81" s="468"/>
    </row>
    <row r="82" spans="1:11" ht="12.75" customHeight="1" thickBot="1" x14ac:dyDescent="0.25">
      <c r="A82" s="1730" t="s">
        <v>259</v>
      </c>
      <c r="B82" s="1731"/>
      <c r="C82" s="1729">
        <f>SUM(C77:C81)</f>
        <v>43587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71354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82</v>
      </c>
      <c r="D92" s="468"/>
      <c r="E92" s="468"/>
      <c r="F92" s="468"/>
      <c r="G92" s="468"/>
      <c r="H92" s="468"/>
      <c r="I92" s="468"/>
      <c r="J92" s="468"/>
      <c r="K92" s="468"/>
    </row>
    <row r="93" spans="1:11" ht="12.75" customHeight="1" thickBot="1" x14ac:dyDescent="0.25">
      <c r="A93" s="1730" t="s">
        <v>261</v>
      </c>
      <c r="B93" s="1731"/>
      <c r="C93" s="1710">
        <f>SUM(C84:C92)</f>
        <v>71436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2018</v>
      </c>
      <c r="E95" s="521"/>
      <c r="F95" s="521"/>
      <c r="G95" s="521"/>
      <c r="H95" s="521"/>
      <c r="I95" s="521"/>
      <c r="J95" s="521"/>
      <c r="K95" s="521"/>
    </row>
    <row r="96" spans="1:11" ht="12.75" customHeight="1" x14ac:dyDescent="0.2">
      <c r="A96" s="463" t="s">
        <v>409</v>
      </c>
      <c r="B96" s="470">
        <v>1920</v>
      </c>
      <c r="C96" s="551">
        <v>2500</v>
      </c>
      <c r="D96" s="551"/>
      <c r="E96" s="479"/>
      <c r="F96" s="478"/>
      <c r="G96" s="478"/>
      <c r="H96" s="478"/>
      <c r="I96" s="478"/>
      <c r="J96" s="478"/>
      <c r="K96" s="478"/>
    </row>
    <row r="97" spans="1:12" ht="12.75" customHeight="1" x14ac:dyDescent="0.2">
      <c r="A97" s="1517" t="s">
        <v>262</v>
      </c>
      <c r="B97" s="559">
        <v>1930</v>
      </c>
      <c r="C97" s="489"/>
      <c r="D97" s="467"/>
      <c r="E97" s="474"/>
      <c r="F97" s="467"/>
      <c r="G97" s="467"/>
      <c r="H97" s="467">
        <v>31073</v>
      </c>
      <c r="I97" s="467"/>
      <c r="J97" s="467"/>
      <c r="K97" s="467"/>
    </row>
    <row r="98" spans="1:12" ht="12.75" customHeight="1" x14ac:dyDescent="0.2">
      <c r="A98" s="463" t="s">
        <v>198</v>
      </c>
      <c r="B98" s="470">
        <v>1940</v>
      </c>
      <c r="C98" s="489">
        <v>23244</v>
      </c>
      <c r="D98" s="466">
        <v>27151</v>
      </c>
      <c r="E98" s="512"/>
      <c r="F98" s="466"/>
      <c r="G98" s="512"/>
      <c r="H98" s="512"/>
      <c r="I98" s="510"/>
      <c r="J98" s="512"/>
      <c r="K98" s="512"/>
    </row>
    <row r="99" spans="1:12" ht="12.75" customHeight="1" x14ac:dyDescent="0.2">
      <c r="A99" s="463" t="s">
        <v>875</v>
      </c>
      <c r="B99" s="470">
        <v>1950</v>
      </c>
      <c r="C99" s="489">
        <v>60000</v>
      </c>
      <c r="D99" s="466"/>
      <c r="E99" s="466"/>
      <c r="F99" s="466"/>
      <c r="G99" s="466"/>
      <c r="H99" s="466"/>
      <c r="I99" s="468"/>
      <c r="J99" s="467"/>
      <c r="K99" s="466"/>
    </row>
    <row r="100" spans="1:12" ht="12.75" customHeight="1" x14ac:dyDescent="0.2">
      <c r="A100" s="463" t="s">
        <v>263</v>
      </c>
      <c r="B100" s="470">
        <v>1960</v>
      </c>
      <c r="C100" s="489">
        <v>86849</v>
      </c>
      <c r="D100" s="489"/>
      <c r="E100" s="489">
        <v>345000</v>
      </c>
      <c r="F100" s="489"/>
      <c r="G100" s="489"/>
      <c r="H100" s="489">
        <v>173421</v>
      </c>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v>101615</v>
      </c>
      <c r="H104" s="466">
        <v>1937</v>
      </c>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28955</v>
      </c>
      <c r="D107" s="466"/>
      <c r="E107" s="466"/>
      <c r="F107" s="466">
        <v>467</v>
      </c>
      <c r="G107" s="466"/>
      <c r="H107" s="466">
        <v>3000</v>
      </c>
      <c r="I107" s="466"/>
      <c r="J107" s="467">
        <v>75100</v>
      </c>
      <c r="K107" s="466"/>
    </row>
    <row r="108" spans="1:12" ht="12.75" customHeight="1" thickBot="1" x14ac:dyDescent="0.25">
      <c r="A108" s="1730" t="s">
        <v>508</v>
      </c>
      <c r="B108" s="1734"/>
      <c r="C108" s="1729">
        <f>SUM(C95:C107)</f>
        <v>201548</v>
      </c>
      <c r="D108" s="1729">
        <f t="shared" ref="D108:K108" si="3">SUM(D95:D107)</f>
        <v>29169</v>
      </c>
      <c r="E108" s="1729">
        <f t="shared" si="3"/>
        <v>345000</v>
      </c>
      <c r="F108" s="1729">
        <f t="shared" si="3"/>
        <v>467</v>
      </c>
      <c r="G108" s="1729">
        <f t="shared" si="3"/>
        <v>101615</v>
      </c>
      <c r="H108" s="1729">
        <f t="shared" si="3"/>
        <v>209431</v>
      </c>
      <c r="I108" s="1729">
        <f t="shared" si="3"/>
        <v>0</v>
      </c>
      <c r="J108" s="1729">
        <f t="shared" si="3"/>
        <v>75100</v>
      </c>
      <c r="K108" s="1710">
        <f t="shared" si="3"/>
        <v>0</v>
      </c>
    </row>
    <row r="109" spans="1:12" ht="14.25" thickTop="1" thickBot="1" x14ac:dyDescent="0.25">
      <c r="A109" s="1735" t="s">
        <v>266</v>
      </c>
      <c r="B109" s="1736" t="s">
        <v>591</v>
      </c>
      <c r="C109" s="1737">
        <f t="shared" ref="C109:K109" si="4">SUM(C12,C18,C40,C63,C67,C75,C82,C93,C108,)</f>
        <v>4100370</v>
      </c>
      <c r="D109" s="1737">
        <f t="shared" si="4"/>
        <v>520121</v>
      </c>
      <c r="E109" s="1737">
        <f t="shared" si="4"/>
        <v>1345494</v>
      </c>
      <c r="F109" s="1737">
        <f t="shared" si="4"/>
        <v>1265752</v>
      </c>
      <c r="G109" s="1737">
        <f t="shared" si="4"/>
        <v>208171</v>
      </c>
      <c r="H109" s="1737">
        <f t="shared" si="4"/>
        <v>211793</v>
      </c>
      <c r="I109" s="1737">
        <f t="shared" si="4"/>
        <v>103198</v>
      </c>
      <c r="J109" s="1737">
        <f t="shared" si="4"/>
        <v>182194</v>
      </c>
      <c r="K109" s="1724">
        <f t="shared" si="4"/>
        <v>96741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7745</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7745</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999409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999409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62379</v>
      </c>
      <c r="D124" s="561"/>
      <c r="E124" s="468"/>
      <c r="F124" s="548"/>
      <c r="G124" s="468"/>
      <c r="H124" s="468"/>
      <c r="I124" s="468"/>
      <c r="J124" s="468"/>
      <c r="K124" s="468"/>
    </row>
    <row r="125" spans="1:11" ht="12.75" customHeight="1" x14ac:dyDescent="0.2">
      <c r="A125" s="463" t="s">
        <v>1521</v>
      </c>
      <c r="B125" s="562">
        <v>3105</v>
      </c>
      <c r="C125" s="466">
        <v>51715</v>
      </c>
      <c r="D125" s="561"/>
      <c r="E125" s="468"/>
      <c r="F125" s="466"/>
      <c r="G125" s="468"/>
      <c r="H125" s="468"/>
      <c r="I125" s="468"/>
      <c r="J125" s="468"/>
      <c r="K125" s="468"/>
    </row>
    <row r="126" spans="1:11" ht="12.75" customHeight="1" x14ac:dyDescent="0.2">
      <c r="A126" s="463" t="s">
        <v>922</v>
      </c>
      <c r="B126" s="562">
        <v>3110</v>
      </c>
      <c r="C126" s="551">
        <v>40191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195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154480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10332</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10332</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1316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12481</v>
      </c>
      <c r="G151" s="467"/>
      <c r="H151" s="468"/>
      <c r="I151" s="468"/>
      <c r="J151" s="468"/>
      <c r="K151" s="468"/>
    </row>
    <row r="152" spans="1:11" ht="12.75" customHeight="1" x14ac:dyDescent="0.2">
      <c r="A152" s="463" t="s">
        <v>1117</v>
      </c>
      <c r="B152" s="562">
        <v>3510</v>
      </c>
      <c r="C152" s="551"/>
      <c r="D152" s="466"/>
      <c r="E152" s="561"/>
      <c r="F152" s="466">
        <v>182003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194484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67400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235028</v>
      </c>
      <c r="D172" s="1744">
        <f t="shared" si="6"/>
        <v>0</v>
      </c>
      <c r="E172" s="1744">
        <f t="shared" si="6"/>
        <v>0</v>
      </c>
      <c r="F172" s="1744">
        <f t="shared" si="6"/>
        <v>194484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1234437</v>
      </c>
      <c r="D173" s="1737">
        <f>SUM(D121,D172)</f>
        <v>0</v>
      </c>
      <c r="E173" s="1737">
        <f>SUM(E121,E172)</f>
        <v>0</v>
      </c>
      <c r="F173" s="1737">
        <f t="shared" ref="F173:K173" si="7">SUM(F121,F172)</f>
        <v>194484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86831</v>
      </c>
      <c r="D194" s="468"/>
      <c r="E194" s="561"/>
      <c r="F194" s="468"/>
      <c r="G194" s="585"/>
      <c r="H194" s="468"/>
      <c r="I194" s="468"/>
      <c r="J194" s="468"/>
      <c r="K194" s="468"/>
    </row>
    <row r="195" spans="1:11" ht="12.75" customHeight="1" x14ac:dyDescent="0.2">
      <c r="A195" s="463" t="s">
        <v>1107</v>
      </c>
      <c r="B195" s="470">
        <v>4215</v>
      </c>
      <c r="C195" s="551">
        <v>2739</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89570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77345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77345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5199</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5199</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77825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77825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2915</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15516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17424</v>
      </c>
      <c r="D270" s="576"/>
      <c r="E270" s="468"/>
      <c r="F270" s="576"/>
      <c r="G270" s="576"/>
      <c r="H270" s="468"/>
      <c r="I270" s="468"/>
      <c r="J270" s="468"/>
      <c r="K270" s="468"/>
    </row>
    <row r="271" spans="1:11" ht="12.75" customHeight="1" thickTop="1" thickBot="1" x14ac:dyDescent="0.25">
      <c r="A271" s="463" t="s">
        <v>395</v>
      </c>
      <c r="B271" s="470">
        <v>4992</v>
      </c>
      <c r="C271" s="575">
        <v>14743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v>3842</v>
      </c>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300537</v>
      </c>
      <c r="D273" s="1737">
        <f t="shared" si="10"/>
        <v>3842</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300537</v>
      </c>
      <c r="D274" s="1737">
        <f>SUM(D178,D184,D273)</f>
        <v>3842</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5643089</v>
      </c>
      <c r="D275" s="1737">
        <f t="shared" si="12"/>
        <v>523963</v>
      </c>
      <c r="E275" s="1737">
        <f t="shared" si="12"/>
        <v>1345494</v>
      </c>
      <c r="F275" s="1737">
        <f t="shared" si="12"/>
        <v>1460236</v>
      </c>
      <c r="G275" s="1737">
        <f t="shared" si="12"/>
        <v>208171</v>
      </c>
      <c r="H275" s="1737">
        <f t="shared" si="12"/>
        <v>211793</v>
      </c>
      <c r="I275" s="1737">
        <f t="shared" si="12"/>
        <v>103198</v>
      </c>
      <c r="J275" s="1737">
        <f t="shared" si="12"/>
        <v>182194</v>
      </c>
      <c r="K275" s="1724">
        <f t="shared" si="12"/>
        <v>96741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01" activePane="bottomLeft" state="frozen"/>
      <selection activeCell="A47" sqref="A47"/>
      <selection pane="bottomLeft" activeCell="D221" sqref="D22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2142204</v>
      </c>
      <c r="D5" s="466">
        <v>451017</v>
      </c>
      <c r="E5" s="466">
        <v>29196</v>
      </c>
      <c r="F5" s="466">
        <v>133145</v>
      </c>
      <c r="G5" s="466"/>
      <c r="H5" s="466">
        <v>558</v>
      </c>
      <c r="I5" s="467"/>
      <c r="J5" s="467"/>
      <c r="K5" s="1693">
        <f>SUM(C5:J5)</f>
        <v>2756120</v>
      </c>
      <c r="L5" s="466">
        <v>2795655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71603</v>
      </c>
      <c r="D7" s="467">
        <v>12327</v>
      </c>
      <c r="E7" s="467"/>
      <c r="F7" s="467">
        <v>11070</v>
      </c>
      <c r="G7" s="467"/>
      <c r="H7" s="467"/>
      <c r="I7" s="467"/>
      <c r="J7" s="467"/>
      <c r="K7" s="1693">
        <f t="shared" ref="K7:K32" si="0">SUM(C7:J7)</f>
        <v>95000</v>
      </c>
      <c r="L7" s="466">
        <v>119900</v>
      </c>
    </row>
    <row r="8" spans="1:14" x14ac:dyDescent="0.2">
      <c r="A8" s="1526" t="s">
        <v>166</v>
      </c>
      <c r="B8" s="615">
        <v>1200</v>
      </c>
      <c r="C8" s="466">
        <v>362663</v>
      </c>
      <c r="D8" s="466">
        <v>40738</v>
      </c>
      <c r="E8" s="466">
        <v>5303</v>
      </c>
      <c r="F8" s="466">
        <v>1118</v>
      </c>
      <c r="G8" s="466"/>
      <c r="H8" s="466"/>
      <c r="I8" s="467"/>
      <c r="J8" s="467"/>
      <c r="K8" s="1693">
        <f t="shared" si="0"/>
        <v>409822</v>
      </c>
      <c r="L8" s="466">
        <v>425025</v>
      </c>
    </row>
    <row r="9" spans="1:14" x14ac:dyDescent="0.2">
      <c r="A9" s="1526" t="s">
        <v>745</v>
      </c>
      <c r="B9" s="615" t="s">
        <v>1025</v>
      </c>
      <c r="C9" s="467">
        <v>46116</v>
      </c>
      <c r="D9" s="467">
        <v>3142</v>
      </c>
      <c r="E9" s="467"/>
      <c r="F9" s="467">
        <v>216</v>
      </c>
      <c r="G9" s="467"/>
      <c r="H9" s="467"/>
      <c r="I9" s="467">
        <v>1293</v>
      </c>
      <c r="J9" s="467"/>
      <c r="K9" s="1693">
        <f t="shared" si="0"/>
        <v>50767</v>
      </c>
      <c r="L9" s="466">
        <v>54435</v>
      </c>
    </row>
    <row r="10" spans="1:14" x14ac:dyDescent="0.2">
      <c r="A10" s="1526" t="s">
        <v>746</v>
      </c>
      <c r="B10" s="615">
        <v>1250</v>
      </c>
      <c r="C10" s="466">
        <v>148199</v>
      </c>
      <c r="D10" s="466">
        <v>25257</v>
      </c>
      <c r="E10" s="466">
        <v>210</v>
      </c>
      <c r="F10" s="466">
        <v>5623</v>
      </c>
      <c r="G10" s="466"/>
      <c r="H10" s="466"/>
      <c r="I10" s="467"/>
      <c r="J10" s="467"/>
      <c r="K10" s="1693">
        <f t="shared" si="0"/>
        <v>179289</v>
      </c>
      <c r="L10" s="466">
        <v>187450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82259</v>
      </c>
      <c r="D14" s="466">
        <v>6507</v>
      </c>
      <c r="E14" s="466">
        <v>549</v>
      </c>
      <c r="F14" s="466">
        <v>6154</v>
      </c>
      <c r="G14" s="466"/>
      <c r="H14" s="466">
        <v>4308</v>
      </c>
      <c r="I14" s="467"/>
      <c r="J14" s="467"/>
      <c r="K14" s="1693">
        <f t="shared" si="0"/>
        <v>99777</v>
      </c>
      <c r="L14" s="466">
        <v>105200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49379</v>
      </c>
      <c r="D18" s="466">
        <v>4744</v>
      </c>
      <c r="E18" s="466"/>
      <c r="F18" s="466">
        <v>50</v>
      </c>
      <c r="G18" s="466"/>
      <c r="H18" s="466"/>
      <c r="I18" s="467"/>
      <c r="J18" s="467"/>
      <c r="K18" s="1693">
        <f t="shared" si="0"/>
        <v>54173</v>
      </c>
      <c r="L18" s="466">
        <v>56865</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138337</v>
      </c>
      <c r="I22" s="617"/>
      <c r="J22" s="477"/>
      <c r="K22" s="1693">
        <f t="shared" si="0"/>
        <v>138337</v>
      </c>
      <c r="L22" s="471">
        <v>140100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2902423</v>
      </c>
      <c r="D33" s="1692">
        <f t="shared" ref="D33:L33" si="1">SUM(D5:D32)</f>
        <v>543732</v>
      </c>
      <c r="E33" s="1692">
        <f t="shared" si="1"/>
        <v>35258</v>
      </c>
      <c r="F33" s="1692">
        <f t="shared" si="1"/>
        <v>157376</v>
      </c>
      <c r="G33" s="1692">
        <f t="shared" si="1"/>
        <v>0</v>
      </c>
      <c r="H33" s="1692">
        <f t="shared" si="1"/>
        <v>143203</v>
      </c>
      <c r="I33" s="1692">
        <f t="shared" si="1"/>
        <v>1293</v>
      </c>
      <c r="J33" s="1692">
        <f t="shared" si="1"/>
        <v>0</v>
      </c>
      <c r="K33" s="1692">
        <f t="shared" si="1"/>
        <v>3783285</v>
      </c>
      <c r="L33" s="1692">
        <f t="shared" si="1"/>
        <v>3884630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106729</v>
      </c>
      <c r="D36" s="481">
        <v>13235</v>
      </c>
      <c r="E36" s="481">
        <v>7837</v>
      </c>
      <c r="F36" s="481">
        <v>4663</v>
      </c>
      <c r="G36" s="481"/>
      <c r="H36" s="481"/>
      <c r="I36" s="467"/>
      <c r="J36" s="467"/>
      <c r="K36" s="1693">
        <f t="shared" ref="K36:K41" si="2">SUM(C36:J36)</f>
        <v>132464</v>
      </c>
      <c r="L36" s="466">
        <v>141235</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52895</v>
      </c>
      <c r="D38" s="466"/>
      <c r="E38" s="466">
        <v>1257</v>
      </c>
      <c r="F38" s="466">
        <v>744</v>
      </c>
      <c r="G38" s="466"/>
      <c r="H38" s="466"/>
      <c r="I38" s="467"/>
      <c r="J38" s="467"/>
      <c r="K38" s="1693">
        <f t="shared" si="2"/>
        <v>54896</v>
      </c>
      <c r="L38" s="466">
        <v>56750</v>
      </c>
    </row>
    <row r="39" spans="1:14" x14ac:dyDescent="0.2">
      <c r="A39" s="1526" t="s">
        <v>208</v>
      </c>
      <c r="B39" s="615">
        <v>2140</v>
      </c>
      <c r="C39" s="466">
        <v>34291</v>
      </c>
      <c r="D39" s="466">
        <v>7245</v>
      </c>
      <c r="E39" s="466">
        <v>1081</v>
      </c>
      <c r="F39" s="466">
        <v>666</v>
      </c>
      <c r="G39" s="466"/>
      <c r="H39" s="466">
        <v>335</v>
      </c>
      <c r="I39" s="467"/>
      <c r="J39" s="467"/>
      <c r="K39" s="1693">
        <f t="shared" si="2"/>
        <v>43618</v>
      </c>
      <c r="L39" s="466">
        <v>47250</v>
      </c>
    </row>
    <row r="40" spans="1:14" x14ac:dyDescent="0.2">
      <c r="A40" s="1526" t="s">
        <v>209</v>
      </c>
      <c r="B40" s="615">
        <v>2150</v>
      </c>
      <c r="C40" s="466">
        <v>79764</v>
      </c>
      <c r="D40" s="466">
        <v>21949</v>
      </c>
      <c r="E40" s="466"/>
      <c r="F40" s="466">
        <v>1880</v>
      </c>
      <c r="G40" s="466"/>
      <c r="H40" s="466"/>
      <c r="I40" s="467"/>
      <c r="J40" s="467"/>
      <c r="K40" s="1693">
        <f t="shared" si="2"/>
        <v>103593</v>
      </c>
      <c r="L40" s="466">
        <v>105590</v>
      </c>
    </row>
    <row r="41" spans="1:14" x14ac:dyDescent="0.2">
      <c r="A41" s="1526" t="s">
        <v>1768</v>
      </c>
      <c r="B41" s="615">
        <v>2190</v>
      </c>
      <c r="C41" s="466"/>
      <c r="D41" s="466"/>
      <c r="E41" s="466"/>
      <c r="F41" s="466"/>
      <c r="G41" s="466"/>
      <c r="H41" s="466"/>
      <c r="I41" s="467"/>
      <c r="J41" s="467"/>
      <c r="K41" s="1693">
        <f t="shared" si="2"/>
        <v>0</v>
      </c>
      <c r="L41" s="466">
        <v>500</v>
      </c>
    </row>
    <row r="42" spans="1:14" ht="12.75" customHeight="1" thickBot="1" x14ac:dyDescent="0.25">
      <c r="A42" s="1690" t="s">
        <v>581</v>
      </c>
      <c r="B42" s="1691" t="s">
        <v>740</v>
      </c>
      <c r="C42" s="1692">
        <f>SUM(C36:C41)</f>
        <v>273679</v>
      </c>
      <c r="D42" s="1692">
        <f t="shared" ref="D42:L42" si="3">SUM(D36:D41)</f>
        <v>42429</v>
      </c>
      <c r="E42" s="1692">
        <f t="shared" si="3"/>
        <v>10175</v>
      </c>
      <c r="F42" s="1692">
        <f t="shared" si="3"/>
        <v>7953</v>
      </c>
      <c r="G42" s="1692">
        <f t="shared" si="3"/>
        <v>0</v>
      </c>
      <c r="H42" s="1692">
        <f t="shared" si="3"/>
        <v>335</v>
      </c>
      <c r="I42" s="1692">
        <f t="shared" si="3"/>
        <v>0</v>
      </c>
      <c r="J42" s="1692">
        <f t="shared" si="3"/>
        <v>0</v>
      </c>
      <c r="K42" s="1692">
        <f t="shared" si="3"/>
        <v>334571</v>
      </c>
      <c r="L42" s="1692">
        <f t="shared" si="3"/>
        <v>351325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30266</v>
      </c>
      <c r="D44" s="481">
        <v>7054</v>
      </c>
      <c r="E44" s="481">
        <v>22614</v>
      </c>
      <c r="F44" s="481"/>
      <c r="G44" s="481"/>
      <c r="H44" s="481"/>
      <c r="I44" s="467"/>
      <c r="J44" s="467"/>
      <c r="K44" s="1694">
        <f>SUM(C44:J44)</f>
        <v>59934</v>
      </c>
      <c r="L44" s="481">
        <v>66440</v>
      </c>
    </row>
    <row r="45" spans="1:14" x14ac:dyDescent="0.2">
      <c r="A45" s="1526" t="s">
        <v>869</v>
      </c>
      <c r="B45" s="615">
        <v>2220</v>
      </c>
      <c r="C45" s="466">
        <v>140568</v>
      </c>
      <c r="D45" s="466">
        <v>21678</v>
      </c>
      <c r="E45" s="466">
        <v>15592</v>
      </c>
      <c r="F45" s="466">
        <v>13844</v>
      </c>
      <c r="G45" s="466">
        <v>54419</v>
      </c>
      <c r="H45" s="466"/>
      <c r="I45" s="467">
        <v>96802</v>
      </c>
      <c r="J45" s="467"/>
      <c r="K45" s="1694">
        <f>SUM(C45:J45)</f>
        <v>342903</v>
      </c>
      <c r="L45" s="466">
        <v>355595</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170834</v>
      </c>
      <c r="D47" s="1692">
        <f t="shared" ref="D47:K47" si="4">SUM(D44:D46)</f>
        <v>28732</v>
      </c>
      <c r="E47" s="1692">
        <f t="shared" si="4"/>
        <v>38206</v>
      </c>
      <c r="F47" s="1692">
        <f t="shared" si="4"/>
        <v>13844</v>
      </c>
      <c r="G47" s="1692">
        <f t="shared" si="4"/>
        <v>54419</v>
      </c>
      <c r="H47" s="1692">
        <f t="shared" si="4"/>
        <v>0</v>
      </c>
      <c r="I47" s="1692">
        <f t="shared" si="4"/>
        <v>96802</v>
      </c>
      <c r="J47" s="1692">
        <f t="shared" si="4"/>
        <v>0</v>
      </c>
      <c r="K47" s="1692">
        <f t="shared" si="4"/>
        <v>402837</v>
      </c>
      <c r="L47" s="1692">
        <f>SUM(L44:L46)</f>
        <v>422035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3294</v>
      </c>
      <c r="D49" s="481"/>
      <c r="E49" s="481">
        <v>22362</v>
      </c>
      <c r="F49" s="481">
        <v>9979</v>
      </c>
      <c r="G49" s="481"/>
      <c r="H49" s="481">
        <v>4133</v>
      </c>
      <c r="I49" s="467"/>
      <c r="J49" s="467"/>
      <c r="K49" s="1694">
        <f>SUM(C49:J49)</f>
        <v>39768</v>
      </c>
      <c r="L49" s="481">
        <v>51160</v>
      </c>
    </row>
    <row r="50" spans="1:14" x14ac:dyDescent="0.2">
      <c r="A50" s="1526" t="s">
        <v>872</v>
      </c>
      <c r="B50" s="615">
        <v>2320</v>
      </c>
      <c r="C50" s="466">
        <v>113568</v>
      </c>
      <c r="D50" s="466">
        <v>17278</v>
      </c>
      <c r="E50" s="466">
        <v>143</v>
      </c>
      <c r="F50" s="466">
        <v>357</v>
      </c>
      <c r="G50" s="466"/>
      <c r="H50" s="466">
        <v>2443</v>
      </c>
      <c r="I50" s="467"/>
      <c r="J50" s="467"/>
      <c r="K50" s="1694">
        <f>SUM(C50:J50)</f>
        <v>133789</v>
      </c>
      <c r="L50" s="466">
        <v>136575</v>
      </c>
    </row>
    <row r="51" spans="1:14" x14ac:dyDescent="0.2">
      <c r="A51" s="1526" t="s">
        <v>44</v>
      </c>
      <c r="B51" s="615">
        <v>2330</v>
      </c>
      <c r="C51" s="466">
        <v>34291</v>
      </c>
      <c r="D51" s="466">
        <v>7315</v>
      </c>
      <c r="E51" s="466"/>
      <c r="F51" s="466">
        <v>503</v>
      </c>
      <c r="G51" s="466"/>
      <c r="H51" s="466"/>
      <c r="I51" s="467"/>
      <c r="J51" s="467"/>
      <c r="K51" s="1694">
        <f>SUM(C51:J51)</f>
        <v>42109</v>
      </c>
      <c r="L51" s="466">
        <v>42175</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151153</v>
      </c>
      <c r="D53" s="1692">
        <f t="shared" ref="D53:L53" si="5">SUM(D49:D52)</f>
        <v>24593</v>
      </c>
      <c r="E53" s="1692">
        <f t="shared" si="5"/>
        <v>22505</v>
      </c>
      <c r="F53" s="1692">
        <f t="shared" si="5"/>
        <v>10839</v>
      </c>
      <c r="G53" s="1692">
        <f t="shared" si="5"/>
        <v>0</v>
      </c>
      <c r="H53" s="1692">
        <f t="shared" si="5"/>
        <v>6576</v>
      </c>
      <c r="I53" s="1692">
        <f t="shared" si="5"/>
        <v>0</v>
      </c>
      <c r="J53" s="1692">
        <f t="shared" si="5"/>
        <v>0</v>
      </c>
      <c r="K53" s="1692">
        <f t="shared" si="5"/>
        <v>215666</v>
      </c>
      <c r="L53" s="1692">
        <f t="shared" si="5"/>
        <v>229910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168685</v>
      </c>
      <c r="D55" s="481">
        <v>15886</v>
      </c>
      <c r="E55" s="481"/>
      <c r="F55" s="481">
        <v>376</v>
      </c>
      <c r="G55" s="481"/>
      <c r="H55" s="481">
        <v>754</v>
      </c>
      <c r="I55" s="467"/>
      <c r="J55" s="467"/>
      <c r="K55" s="1694">
        <f>SUM(C55:J55)</f>
        <v>185701</v>
      </c>
      <c r="L55" s="481">
        <v>187265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168685</v>
      </c>
      <c r="D57" s="1696">
        <f t="shared" ref="D57:K57" si="6">SUM(D55:D56)</f>
        <v>15886</v>
      </c>
      <c r="E57" s="1696">
        <f t="shared" si="6"/>
        <v>0</v>
      </c>
      <c r="F57" s="1696">
        <f t="shared" si="6"/>
        <v>376</v>
      </c>
      <c r="G57" s="1696">
        <f t="shared" si="6"/>
        <v>0</v>
      </c>
      <c r="H57" s="1696">
        <f t="shared" si="6"/>
        <v>754</v>
      </c>
      <c r="I57" s="1696">
        <f t="shared" si="6"/>
        <v>0</v>
      </c>
      <c r="J57" s="1696">
        <f t="shared" si="6"/>
        <v>0</v>
      </c>
      <c r="K57" s="1696">
        <f t="shared" si="6"/>
        <v>185701</v>
      </c>
      <c r="L57" s="1692">
        <f>SUM(L55:L56)</f>
        <v>187265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57096</v>
      </c>
      <c r="D60" s="466">
        <v>5509</v>
      </c>
      <c r="E60" s="466"/>
      <c r="F60" s="466">
        <v>4622</v>
      </c>
      <c r="G60" s="466"/>
      <c r="H60" s="466"/>
      <c r="I60" s="467"/>
      <c r="J60" s="467"/>
      <c r="K60" s="1694">
        <f t="shared" si="7"/>
        <v>67227</v>
      </c>
      <c r="L60" s="466">
        <v>67265</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51667</v>
      </c>
      <c r="D63" s="466"/>
      <c r="E63" s="466">
        <f>135889-16478</f>
        <v>119411</v>
      </c>
      <c r="F63" s="466">
        <v>17980</v>
      </c>
      <c r="G63" s="466"/>
      <c r="H63" s="466"/>
      <c r="I63" s="467"/>
      <c r="J63" s="467"/>
      <c r="K63" s="1694">
        <f t="shared" si="7"/>
        <v>189058</v>
      </c>
      <c r="L63" s="466">
        <v>196600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108763</v>
      </c>
      <c r="D65" s="1692">
        <f t="shared" ref="D65:L65" si="8">SUM(D59:D64)</f>
        <v>5509</v>
      </c>
      <c r="E65" s="1692">
        <f t="shared" si="8"/>
        <v>119411</v>
      </c>
      <c r="F65" s="1692">
        <f t="shared" si="8"/>
        <v>22602</v>
      </c>
      <c r="G65" s="1692">
        <f t="shared" si="8"/>
        <v>0</v>
      </c>
      <c r="H65" s="1692">
        <f t="shared" si="8"/>
        <v>0</v>
      </c>
      <c r="I65" s="1692">
        <f t="shared" si="8"/>
        <v>0</v>
      </c>
      <c r="J65" s="1692">
        <f t="shared" si="8"/>
        <v>0</v>
      </c>
      <c r="K65" s="1692">
        <f t="shared" si="8"/>
        <v>256285</v>
      </c>
      <c r="L65" s="1692">
        <f t="shared" si="8"/>
        <v>263865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v>3391</v>
      </c>
      <c r="G70" s="466"/>
      <c r="H70" s="466"/>
      <c r="I70" s="467"/>
      <c r="J70" s="467"/>
      <c r="K70" s="1694">
        <f>SUM(C70:J70)</f>
        <v>3391</v>
      </c>
      <c r="L70" s="466">
        <v>5050</v>
      </c>
      <c r="M70" s="610"/>
      <c r="N70" s="610"/>
    </row>
    <row r="71" spans="1:14" s="343" customFormat="1" x14ac:dyDescent="0.2">
      <c r="A71" s="1526" t="s">
        <v>424</v>
      </c>
      <c r="B71" s="615">
        <v>2660</v>
      </c>
      <c r="C71" s="466"/>
      <c r="D71" s="466"/>
      <c r="E71" s="466">
        <v>460</v>
      </c>
      <c r="F71" s="466"/>
      <c r="G71" s="466"/>
      <c r="H71" s="466"/>
      <c r="I71" s="467"/>
      <c r="J71" s="467"/>
      <c r="K71" s="1694">
        <f>SUM(C71:J71)</f>
        <v>460</v>
      </c>
      <c r="L71" s="466">
        <v>460</v>
      </c>
      <c r="M71" s="610"/>
      <c r="N71" s="610"/>
    </row>
    <row r="72" spans="1:14" s="343" customFormat="1" ht="12.75" customHeight="1" thickBot="1" x14ac:dyDescent="0.25">
      <c r="A72" s="1690" t="s">
        <v>37</v>
      </c>
      <c r="B72" s="1697" t="s">
        <v>36</v>
      </c>
      <c r="C72" s="1692">
        <f>SUM(C67:C71)</f>
        <v>0</v>
      </c>
      <c r="D72" s="1692">
        <f t="shared" ref="D72:K72" si="9">SUM(D67:D71)</f>
        <v>0</v>
      </c>
      <c r="E72" s="1692">
        <f t="shared" si="9"/>
        <v>460</v>
      </c>
      <c r="F72" s="1692">
        <f t="shared" si="9"/>
        <v>3391</v>
      </c>
      <c r="G72" s="1692">
        <f t="shared" si="9"/>
        <v>0</v>
      </c>
      <c r="H72" s="1692">
        <f t="shared" si="9"/>
        <v>0</v>
      </c>
      <c r="I72" s="1692">
        <f t="shared" si="9"/>
        <v>0</v>
      </c>
      <c r="J72" s="1692">
        <f t="shared" si="9"/>
        <v>0</v>
      </c>
      <c r="K72" s="1692">
        <f t="shared" si="9"/>
        <v>3851</v>
      </c>
      <c r="L72" s="1692">
        <f>SUM(L67:L71)</f>
        <v>5510</v>
      </c>
      <c r="M72" s="610"/>
      <c r="N72" s="610"/>
    </row>
    <row r="73" spans="1:14" s="343" customFormat="1" ht="14.25" thickTop="1" thickBot="1" x14ac:dyDescent="0.25">
      <c r="A73" s="1532" t="s">
        <v>1037</v>
      </c>
      <c r="B73" s="633" t="s">
        <v>595</v>
      </c>
      <c r="C73" s="573"/>
      <c r="D73" s="573"/>
      <c r="E73" s="573"/>
      <c r="F73" s="573">
        <v>92</v>
      </c>
      <c r="G73" s="573"/>
      <c r="H73" s="573"/>
      <c r="I73" s="531"/>
      <c r="J73" s="531"/>
      <c r="K73" s="1692">
        <f>SUM(C73:J73)</f>
        <v>92</v>
      </c>
      <c r="L73" s="576">
        <v>500</v>
      </c>
      <c r="M73" s="610"/>
      <c r="N73" s="610"/>
    </row>
    <row r="74" spans="1:14" ht="12.75" customHeight="1" thickTop="1" thickBot="1" x14ac:dyDescent="0.25">
      <c r="A74" s="1690" t="s">
        <v>865</v>
      </c>
      <c r="B74" s="1698">
        <v>2000</v>
      </c>
      <c r="C74" s="1699">
        <f>SUM(C42,C47,C53,C57,C65,C72,C73)</f>
        <v>873114</v>
      </c>
      <c r="D74" s="1699">
        <f t="shared" ref="D74:K74" si="10">SUM(D42,D47,D53,D57,D65,D72,D73)</f>
        <v>117149</v>
      </c>
      <c r="E74" s="1699">
        <f t="shared" si="10"/>
        <v>190757</v>
      </c>
      <c r="F74" s="1699">
        <f t="shared" si="10"/>
        <v>59097</v>
      </c>
      <c r="G74" s="1699">
        <f t="shared" si="10"/>
        <v>54419</v>
      </c>
      <c r="H74" s="1699">
        <f t="shared" si="10"/>
        <v>7665</v>
      </c>
      <c r="I74" s="1699">
        <f t="shared" si="10"/>
        <v>96802</v>
      </c>
      <c r="J74" s="1699">
        <f t="shared" si="10"/>
        <v>0</v>
      </c>
      <c r="K74" s="1699">
        <f t="shared" si="10"/>
        <v>1399003</v>
      </c>
      <c r="L74" s="1699">
        <f>SUM(L42,L47,L53,L57,L65,L72,L73)</f>
        <v>1460410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46147</v>
      </c>
      <c r="I79" s="477"/>
      <c r="J79" s="477"/>
      <c r="K79" s="1693">
        <f t="shared" si="11"/>
        <v>46147</v>
      </c>
      <c r="L79" s="466">
        <v>46150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46147</v>
      </c>
      <c r="I84" s="477"/>
      <c r="J84" s="477"/>
      <c r="K84" s="1692">
        <f>SUM(K78:K83)</f>
        <v>46147</v>
      </c>
      <c r="L84" s="1692">
        <f>SUM(L78:L83)</f>
        <v>46150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348054</v>
      </c>
      <c r="I86" s="477"/>
      <c r="J86" s="477"/>
      <c r="K86" s="1699">
        <f t="shared" ref="K86:K98" si="12">H86</f>
        <v>348054</v>
      </c>
      <c r="L86" s="530">
        <v>360930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v>9752</v>
      </c>
      <c r="I91" s="477"/>
      <c r="J91" s="477"/>
      <c r="K91" s="1699">
        <f t="shared" si="12"/>
        <v>9752</v>
      </c>
      <c r="L91" s="530">
        <v>9755</v>
      </c>
    </row>
    <row r="92" spans="1:12" ht="14.25" thickTop="1" thickBot="1" x14ac:dyDescent="0.25">
      <c r="A92" s="1702" t="s">
        <v>1641</v>
      </c>
      <c r="B92" s="1700">
        <v>4200</v>
      </c>
      <c r="C92" s="617"/>
      <c r="D92" s="617"/>
      <c r="E92" s="639"/>
      <c r="F92" s="617"/>
      <c r="G92" s="617"/>
      <c r="H92" s="1692">
        <f>SUM(H85:H91)</f>
        <v>357806</v>
      </c>
      <c r="I92" s="477"/>
      <c r="J92" s="477"/>
      <c r="K92" s="1699">
        <f t="shared" si="12"/>
        <v>357806</v>
      </c>
      <c r="L92" s="1692">
        <f>SUM(L85:L91)</f>
        <v>370685</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403953</v>
      </c>
      <c r="I102" s="477"/>
      <c r="J102" s="477"/>
      <c r="K102" s="1699">
        <f>SUM(K84,K92,K100,K101)</f>
        <v>403953</v>
      </c>
      <c r="L102" s="1699">
        <f>SUM(L84,L92,L100,L101)</f>
        <v>416835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3775537</v>
      </c>
      <c r="D114" s="1692">
        <f t="shared" ref="D114:K114" si="13">SUM(D33,D74,D75,D102,D112,D113)</f>
        <v>660881</v>
      </c>
      <c r="E114" s="1692">
        <f t="shared" si="13"/>
        <v>226015</v>
      </c>
      <c r="F114" s="1692">
        <f t="shared" si="13"/>
        <v>216473</v>
      </c>
      <c r="G114" s="1692">
        <f t="shared" si="13"/>
        <v>54419</v>
      </c>
      <c r="H114" s="1692">
        <f>SUM(H33,H74,H75,H102,H112,H113)</f>
        <v>554821</v>
      </c>
      <c r="I114" s="1692">
        <f t="shared" si="13"/>
        <v>98095</v>
      </c>
      <c r="J114" s="1692">
        <f t="shared" si="13"/>
        <v>0</v>
      </c>
      <c r="K114" s="1692">
        <f t="shared" si="13"/>
        <v>5586241</v>
      </c>
      <c r="L114" s="1692">
        <f>SUM(L33,L74,L75,L102,L112,L113)</f>
        <v>5761875</v>
      </c>
    </row>
    <row r="115" spans="1:14" ht="13.5" thickTop="1" x14ac:dyDescent="0.2">
      <c r="A115" s="2198" t="s">
        <v>1053</v>
      </c>
      <c r="B115" s="2199"/>
      <c r="C115" s="619"/>
      <c r="D115" s="619"/>
      <c r="E115" s="619"/>
      <c r="F115" s="619"/>
      <c r="G115" s="619"/>
      <c r="H115" s="619"/>
      <c r="I115" s="619"/>
      <c r="J115" s="619"/>
      <c r="K115" s="1706">
        <f>'Revenues 9-14'!C275-'Expenditures 15-22'!K114</f>
        <v>56848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19322</v>
      </c>
      <c r="D122" s="466">
        <v>3316</v>
      </c>
      <c r="E122" s="466"/>
      <c r="F122" s="466"/>
      <c r="G122" s="466"/>
      <c r="H122" s="466"/>
      <c r="I122" s="467"/>
      <c r="J122" s="467"/>
      <c r="K122" s="1692">
        <f>SUM(C122:J122)</f>
        <v>22638</v>
      </c>
      <c r="L122" s="466">
        <v>22670</v>
      </c>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156015</v>
      </c>
      <c r="D124" s="466">
        <v>20024</v>
      </c>
      <c r="E124" s="466">
        <v>72591</v>
      </c>
      <c r="F124" s="466">
        <v>139256</v>
      </c>
      <c r="G124" s="466">
        <v>48864</v>
      </c>
      <c r="H124" s="466"/>
      <c r="I124" s="467">
        <v>324</v>
      </c>
      <c r="J124" s="467"/>
      <c r="K124" s="1692">
        <f>SUM(C124:J124)</f>
        <v>437074</v>
      </c>
      <c r="L124" s="466">
        <v>475090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175337</v>
      </c>
      <c r="D127" s="1692">
        <f t="shared" ref="D127:L127" si="14">SUM(D122:D126)</f>
        <v>23340</v>
      </c>
      <c r="E127" s="1692">
        <f t="shared" si="14"/>
        <v>72591</v>
      </c>
      <c r="F127" s="1692">
        <f t="shared" si="14"/>
        <v>139256</v>
      </c>
      <c r="G127" s="1692">
        <f t="shared" si="14"/>
        <v>48864</v>
      </c>
      <c r="H127" s="1692">
        <f t="shared" si="14"/>
        <v>0</v>
      </c>
      <c r="I127" s="1692">
        <f t="shared" si="14"/>
        <v>324</v>
      </c>
      <c r="J127" s="1692">
        <f t="shared" si="14"/>
        <v>0</v>
      </c>
      <c r="K127" s="1692">
        <f t="shared" si="14"/>
        <v>459712</v>
      </c>
      <c r="L127" s="1692">
        <f t="shared" si="14"/>
        <v>497760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175337</v>
      </c>
      <c r="D129" s="1699">
        <f t="shared" ref="D129:L129" si="15">SUM(D120,D127,D128)</f>
        <v>23340</v>
      </c>
      <c r="E129" s="1699">
        <f t="shared" si="15"/>
        <v>72591</v>
      </c>
      <c r="F129" s="1699">
        <f t="shared" si="15"/>
        <v>139256</v>
      </c>
      <c r="G129" s="1699">
        <f t="shared" si="15"/>
        <v>48864</v>
      </c>
      <c r="H129" s="1699">
        <f t="shared" si="15"/>
        <v>0</v>
      </c>
      <c r="I129" s="1699">
        <f t="shared" si="15"/>
        <v>324</v>
      </c>
      <c r="J129" s="1699">
        <f t="shared" si="15"/>
        <v>0</v>
      </c>
      <c r="K129" s="1699">
        <f t="shared" si="15"/>
        <v>459712</v>
      </c>
      <c r="L129" s="1699">
        <f t="shared" si="15"/>
        <v>497760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175337</v>
      </c>
      <c r="D151" s="1692">
        <f t="shared" ref="D151:K151" si="16">SUM(D129,D130,D139,D149,D150)</f>
        <v>23340</v>
      </c>
      <c r="E151" s="1692">
        <f t="shared" si="16"/>
        <v>72591</v>
      </c>
      <c r="F151" s="1692">
        <f t="shared" si="16"/>
        <v>139256</v>
      </c>
      <c r="G151" s="1692">
        <f t="shared" si="16"/>
        <v>48864</v>
      </c>
      <c r="H151" s="1692">
        <f t="shared" si="16"/>
        <v>0</v>
      </c>
      <c r="I151" s="1692">
        <f t="shared" si="16"/>
        <v>324</v>
      </c>
      <c r="J151" s="1692">
        <f t="shared" si="16"/>
        <v>0</v>
      </c>
      <c r="K151" s="1692">
        <f t="shared" si="16"/>
        <v>459712</v>
      </c>
      <c r="L151" s="1692">
        <f>SUM(L129,L130,L139,L149,L150)</f>
        <v>497760</v>
      </c>
    </row>
    <row r="152" spans="1:14" ht="12.75" customHeight="1" thickTop="1" x14ac:dyDescent="0.2">
      <c r="A152" s="2191" t="s">
        <v>1240</v>
      </c>
      <c r="B152" s="2192"/>
      <c r="C152" s="619"/>
      <c r="D152" s="619"/>
      <c r="E152" s="619"/>
      <c r="F152" s="619"/>
      <c r="G152" s="619"/>
      <c r="H152" s="619"/>
      <c r="I152" s="619"/>
      <c r="J152" s="617"/>
      <c r="K152" s="1706">
        <f>'Revenues 9-14'!D275-'Expenditures 15-22'!K151</f>
        <v>64251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323400</v>
      </c>
      <c r="I169" s="617"/>
      <c r="J169" s="617"/>
      <c r="K169" s="1693">
        <f>SUM(C169:H169)</f>
        <v>323400</v>
      </c>
      <c r="L169" s="657">
        <v>324300</v>
      </c>
    </row>
    <row r="170" spans="1:14" ht="33.75" customHeight="1" x14ac:dyDescent="0.2">
      <c r="A170" s="670" t="s">
        <v>1769</v>
      </c>
      <c r="B170" s="672" t="s">
        <v>31</v>
      </c>
      <c r="C170" s="617"/>
      <c r="D170" s="617"/>
      <c r="E170" s="617"/>
      <c r="F170" s="617"/>
      <c r="G170" s="617"/>
      <c r="H170" s="569">
        <v>670000</v>
      </c>
      <c r="I170" s="617"/>
      <c r="J170" s="617"/>
      <c r="K170" s="1693">
        <f>SUM(C170:J170)</f>
        <v>670000</v>
      </c>
      <c r="L170" s="569">
        <v>670000</v>
      </c>
    </row>
    <row r="171" spans="1:14" ht="15.75" customHeight="1" x14ac:dyDescent="0.2">
      <c r="A171" s="622" t="s">
        <v>790</v>
      </c>
      <c r="B171" s="673" t="s">
        <v>86</v>
      </c>
      <c r="C171" s="617"/>
      <c r="D171" s="617"/>
      <c r="E171" s="466"/>
      <c r="F171" s="617"/>
      <c r="G171" s="617"/>
      <c r="H171" s="569">
        <v>900</v>
      </c>
      <c r="I171" s="477"/>
      <c r="J171" s="617"/>
      <c r="K171" s="1693">
        <f>SUM(C171:J171)</f>
        <v>900</v>
      </c>
      <c r="L171" s="569"/>
    </row>
    <row r="172" spans="1:14" ht="12.75" customHeight="1" thickBot="1" x14ac:dyDescent="0.25">
      <c r="A172" s="1690" t="s">
        <v>659</v>
      </c>
      <c r="B172" s="1691" t="s">
        <v>513</v>
      </c>
      <c r="C172" s="617"/>
      <c r="D172" s="617"/>
      <c r="E172" s="1699">
        <f>SUM(E168,E169,E170,E171)</f>
        <v>0</v>
      </c>
      <c r="F172" s="617"/>
      <c r="G172" s="617"/>
      <c r="H172" s="1699">
        <f>SUM(H168,H169,H170,H171)</f>
        <v>994300</v>
      </c>
      <c r="I172" s="639"/>
      <c r="J172" s="617"/>
      <c r="K172" s="1699">
        <f>SUM(K168,K169,K170,K171)</f>
        <v>994300</v>
      </c>
      <c r="L172" s="1699">
        <f>SUM(L168,L169,L170,L171)</f>
        <v>994300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994300</v>
      </c>
      <c r="I174" s="639"/>
      <c r="J174" s="617"/>
      <c r="K174" s="1699">
        <f>SUM(K160,K172,K173)</f>
        <v>994300</v>
      </c>
      <c r="L174" s="1699">
        <f>SUM(L160,L172,L173)</f>
        <v>994300</v>
      </c>
    </row>
    <row r="175" spans="1:14" ht="13.5" thickTop="1" x14ac:dyDescent="0.2">
      <c r="A175" s="2198" t="s">
        <v>1053</v>
      </c>
      <c r="B175" s="2199"/>
      <c r="C175" s="617"/>
      <c r="D175" s="617"/>
      <c r="E175" s="617"/>
      <c r="F175" s="617"/>
      <c r="G175" s="617"/>
      <c r="H175" s="619"/>
      <c r="I175" s="617"/>
      <c r="J175" s="617"/>
      <c r="K175" s="1706">
        <f>'Revenues 9-14'!E275-'Expenditures 15-22'!K174</f>
        <v>351194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764899</v>
      </c>
      <c r="D182" s="466">
        <v>16288</v>
      </c>
      <c r="E182" s="466">
        <v>126273</v>
      </c>
      <c r="F182" s="466">
        <v>176963</v>
      </c>
      <c r="G182" s="466">
        <v>288496</v>
      </c>
      <c r="H182" s="466"/>
      <c r="I182" s="467"/>
      <c r="J182" s="467"/>
      <c r="K182" s="1693">
        <f>SUM(C182:J182)</f>
        <v>1372919</v>
      </c>
      <c r="L182" s="466">
        <v>1442625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764899</v>
      </c>
      <c r="D184" s="1699">
        <f t="shared" ref="D184:J184" si="17">SUM(D180,D182,D183)</f>
        <v>16288</v>
      </c>
      <c r="E184" s="1699">
        <f t="shared" si="17"/>
        <v>126273</v>
      </c>
      <c r="F184" s="1699">
        <f t="shared" si="17"/>
        <v>176963</v>
      </c>
      <c r="G184" s="1699">
        <f t="shared" si="17"/>
        <v>288496</v>
      </c>
      <c r="H184" s="1699">
        <f t="shared" si="17"/>
        <v>0</v>
      </c>
      <c r="I184" s="1699">
        <f t="shared" si="17"/>
        <v>0</v>
      </c>
      <c r="J184" s="1699">
        <f t="shared" si="17"/>
        <v>0</v>
      </c>
      <c r="K184" s="1699">
        <f>SUM(K180,K182,K183)</f>
        <v>1372919</v>
      </c>
      <c r="L184" s="1699">
        <f>SUM(L180, L182:L183)</f>
        <v>1442625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764899</v>
      </c>
      <c r="D210" s="1692">
        <f>SUM(D184,D185)</f>
        <v>16288</v>
      </c>
      <c r="E210" s="1692">
        <f>SUM(E184,E185,E196)</f>
        <v>126273</v>
      </c>
      <c r="F210" s="1692">
        <f>SUM(F184,F185)</f>
        <v>176963</v>
      </c>
      <c r="G210" s="1692">
        <f>SUM(G184,G185)</f>
        <v>288496</v>
      </c>
      <c r="H210" s="1692">
        <f>SUM(H184,H185,H196,H208,H209)</f>
        <v>0</v>
      </c>
      <c r="I210" s="1692">
        <f>SUM(I184,I185)</f>
        <v>0</v>
      </c>
      <c r="J210" s="1692">
        <f>SUM(J184,J185)</f>
        <v>0</v>
      </c>
      <c r="K210" s="1693">
        <f>SUM(K184,K185,K196,K208,K209)</f>
        <v>1372919</v>
      </c>
      <c r="L210" s="1692">
        <f>SUM(L184,L185,L196,L208,L209)</f>
        <v>1442625</v>
      </c>
    </row>
    <row r="211" spans="1:14" ht="13.5" thickTop="1" x14ac:dyDescent="0.2">
      <c r="A211" s="2198" t="s">
        <v>1053</v>
      </c>
      <c r="B211" s="2199"/>
      <c r="C211" s="619"/>
      <c r="D211" s="619"/>
      <c r="E211" s="619"/>
      <c r="F211" s="619"/>
      <c r="G211" s="619"/>
      <c r="H211" s="619"/>
      <c r="I211" s="617"/>
      <c r="J211" s="617"/>
      <c r="K211" s="1706">
        <f>'Revenues 9-14'!F275-'Expenditures 15-22'!K210</f>
        <v>87317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29852</v>
      </c>
      <c r="E215" s="617"/>
      <c r="F215" s="617"/>
      <c r="G215" s="617"/>
      <c r="H215" s="617"/>
      <c r="I215" s="617"/>
      <c r="J215" s="617"/>
      <c r="K215" s="1693">
        <f>D215</f>
        <v>29852</v>
      </c>
      <c r="L215" s="466">
        <v>33310</v>
      </c>
    </row>
    <row r="216" spans="1:14" x14ac:dyDescent="0.2">
      <c r="A216" s="1526" t="s">
        <v>165</v>
      </c>
      <c r="B216" s="615" t="s">
        <v>1024</v>
      </c>
      <c r="C216" s="617"/>
      <c r="D216" s="467">
        <v>6660</v>
      </c>
      <c r="E216" s="617"/>
      <c r="F216" s="617"/>
      <c r="G216" s="617"/>
      <c r="H216" s="617"/>
      <c r="I216" s="617"/>
      <c r="J216" s="617"/>
      <c r="K216" s="1693">
        <f t="shared" ref="K216:K228" si="19">D216</f>
        <v>6660</v>
      </c>
      <c r="L216" s="466">
        <v>5600</v>
      </c>
    </row>
    <row r="217" spans="1:14" x14ac:dyDescent="0.2">
      <c r="A217" s="1526" t="s">
        <v>166</v>
      </c>
      <c r="B217" s="615">
        <v>1200</v>
      </c>
      <c r="C217" s="617"/>
      <c r="D217" s="466">
        <v>21641</v>
      </c>
      <c r="E217" s="617"/>
      <c r="F217" s="617"/>
      <c r="G217" s="617"/>
      <c r="H217" s="617"/>
      <c r="I217" s="617"/>
      <c r="J217" s="617"/>
      <c r="K217" s="1693">
        <f t="shared" si="19"/>
        <v>21641</v>
      </c>
      <c r="L217" s="466">
        <v>23875</v>
      </c>
    </row>
    <row r="218" spans="1:14" x14ac:dyDescent="0.2">
      <c r="A218" s="1526" t="s">
        <v>296</v>
      </c>
      <c r="B218" s="615" t="s">
        <v>1025</v>
      </c>
      <c r="C218" s="617"/>
      <c r="D218" s="467"/>
      <c r="E218" s="617"/>
      <c r="F218" s="617"/>
      <c r="G218" s="617"/>
      <c r="H218" s="617"/>
      <c r="I218" s="617"/>
      <c r="J218" s="617"/>
      <c r="K218" s="1693">
        <f t="shared" si="19"/>
        <v>0</v>
      </c>
      <c r="L218" s="466">
        <v>3300</v>
      </c>
    </row>
    <row r="219" spans="1:14" x14ac:dyDescent="0.2">
      <c r="A219" s="1526" t="s">
        <v>297</v>
      </c>
      <c r="B219" s="615">
        <v>1250</v>
      </c>
      <c r="C219" s="617"/>
      <c r="D219" s="466">
        <v>13397</v>
      </c>
      <c r="E219" s="617"/>
      <c r="F219" s="617"/>
      <c r="G219" s="617"/>
      <c r="H219" s="617"/>
      <c r="I219" s="617"/>
      <c r="J219" s="617"/>
      <c r="K219" s="1693">
        <f t="shared" si="19"/>
        <v>13397</v>
      </c>
      <c r="L219" s="466">
        <v>16310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2438</v>
      </c>
      <c r="E223" s="617"/>
      <c r="F223" s="617"/>
      <c r="G223" s="617"/>
      <c r="H223" s="617"/>
      <c r="I223" s="617"/>
      <c r="J223" s="617"/>
      <c r="K223" s="1693">
        <f t="shared" si="19"/>
        <v>2438</v>
      </c>
      <c r="L223" s="466">
        <v>2880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1290</v>
      </c>
      <c r="E227" s="617"/>
      <c r="F227" s="617"/>
      <c r="G227" s="617"/>
      <c r="H227" s="617"/>
      <c r="I227" s="617"/>
      <c r="J227" s="617"/>
      <c r="K227" s="1693">
        <f t="shared" si="19"/>
        <v>1290</v>
      </c>
      <c r="L227" s="466">
        <v>1475</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75278</v>
      </c>
      <c r="E229" s="617"/>
      <c r="F229" s="617"/>
      <c r="G229" s="617"/>
      <c r="H229" s="617"/>
      <c r="I229" s="617"/>
      <c r="J229" s="617"/>
      <c r="K229" s="1692">
        <f>SUM(K215:K228)</f>
        <v>75278</v>
      </c>
      <c r="L229" s="1692">
        <f>SUM(L215:L228)</f>
        <v>86750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1521</v>
      </c>
      <c r="E232" s="617"/>
      <c r="F232" s="617"/>
      <c r="G232" s="617"/>
      <c r="H232" s="617"/>
      <c r="I232" s="617"/>
      <c r="J232" s="617"/>
      <c r="K232" s="1693">
        <f t="shared" ref="K232:K237" si="20">D232</f>
        <v>1521</v>
      </c>
      <c r="L232" s="466">
        <v>1750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9080</v>
      </c>
      <c r="E234" s="617"/>
      <c r="F234" s="617"/>
      <c r="G234" s="617"/>
      <c r="H234" s="617"/>
      <c r="I234" s="617"/>
      <c r="J234" s="617"/>
      <c r="K234" s="1693">
        <f t="shared" si="20"/>
        <v>9080</v>
      </c>
      <c r="L234" s="466">
        <v>9550</v>
      </c>
    </row>
    <row r="235" spans="1:12" x14ac:dyDescent="0.2">
      <c r="A235" s="1526" t="s">
        <v>208</v>
      </c>
      <c r="B235" s="615">
        <v>2140</v>
      </c>
      <c r="C235" s="617"/>
      <c r="D235" s="466">
        <v>461</v>
      </c>
      <c r="E235" s="617"/>
      <c r="F235" s="617"/>
      <c r="G235" s="617"/>
      <c r="H235" s="617"/>
      <c r="I235" s="617"/>
      <c r="J235" s="617"/>
      <c r="K235" s="1693">
        <f t="shared" si="20"/>
        <v>461</v>
      </c>
      <c r="L235" s="466">
        <v>540</v>
      </c>
    </row>
    <row r="236" spans="1:12" x14ac:dyDescent="0.2">
      <c r="A236" s="1526" t="s">
        <v>209</v>
      </c>
      <c r="B236" s="615">
        <v>2150</v>
      </c>
      <c r="C236" s="617"/>
      <c r="D236" s="466">
        <v>1117</v>
      </c>
      <c r="E236" s="617"/>
      <c r="F236" s="617"/>
      <c r="G236" s="617"/>
      <c r="H236" s="617"/>
      <c r="I236" s="617"/>
      <c r="J236" s="617"/>
      <c r="K236" s="1693">
        <f t="shared" si="20"/>
        <v>1117</v>
      </c>
      <c r="L236" s="466">
        <v>1200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12179</v>
      </c>
      <c r="E238" s="617"/>
      <c r="F238" s="617"/>
      <c r="G238" s="617"/>
      <c r="H238" s="617"/>
      <c r="I238" s="617"/>
      <c r="J238" s="617"/>
      <c r="K238" s="1692">
        <f>SUM(K232:K237)</f>
        <v>12179</v>
      </c>
      <c r="L238" s="1692">
        <f>SUM(L232:L237)</f>
        <v>13040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439</v>
      </c>
      <c r="E240" s="617"/>
      <c r="F240" s="617"/>
      <c r="G240" s="617"/>
      <c r="H240" s="617"/>
      <c r="I240" s="617"/>
      <c r="J240" s="617"/>
      <c r="K240" s="1694">
        <f>D240</f>
        <v>439</v>
      </c>
      <c r="L240" s="481">
        <v>450</v>
      </c>
    </row>
    <row r="241" spans="1:12" x14ac:dyDescent="0.2">
      <c r="A241" s="1526" t="s">
        <v>869</v>
      </c>
      <c r="B241" s="615">
        <v>2220</v>
      </c>
      <c r="C241" s="617"/>
      <c r="D241" s="466">
        <v>8516</v>
      </c>
      <c r="E241" s="617"/>
      <c r="F241" s="617"/>
      <c r="G241" s="617"/>
      <c r="H241" s="617"/>
      <c r="I241" s="617"/>
      <c r="J241" s="617"/>
      <c r="K241" s="1694">
        <f>D241</f>
        <v>8516</v>
      </c>
      <c r="L241" s="466">
        <v>9665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8955</v>
      </c>
      <c r="E243" s="617"/>
      <c r="F243" s="617"/>
      <c r="G243" s="617"/>
      <c r="H243" s="617"/>
      <c r="I243" s="617"/>
      <c r="J243" s="617"/>
      <c r="K243" s="1692">
        <f>SUM(K240:K242)</f>
        <v>8955</v>
      </c>
      <c r="L243" s="1692">
        <f>SUM(L240:L242)</f>
        <v>10115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577</v>
      </c>
      <c r="E245" s="617"/>
      <c r="F245" s="617"/>
      <c r="G245" s="617"/>
      <c r="H245" s="617"/>
      <c r="I245" s="617"/>
      <c r="J245" s="617"/>
      <c r="K245" s="1694">
        <f>D245</f>
        <v>577</v>
      </c>
      <c r="L245" s="481">
        <v>610</v>
      </c>
    </row>
    <row r="246" spans="1:12" x14ac:dyDescent="0.2">
      <c r="A246" s="1526" t="s">
        <v>872</v>
      </c>
      <c r="B246" s="615">
        <v>2320</v>
      </c>
      <c r="C246" s="617"/>
      <c r="D246" s="466">
        <v>8337</v>
      </c>
      <c r="E246" s="617"/>
      <c r="F246" s="617"/>
      <c r="G246" s="617"/>
      <c r="H246" s="617"/>
      <c r="I246" s="617"/>
      <c r="J246" s="617"/>
      <c r="K246" s="1694">
        <f t="shared" ref="K246:K256" si="21">D246</f>
        <v>8337</v>
      </c>
      <c r="L246" s="466">
        <v>9050</v>
      </c>
    </row>
    <row r="247" spans="1:12" x14ac:dyDescent="0.2">
      <c r="A247" s="1526" t="s">
        <v>873</v>
      </c>
      <c r="B247" s="615">
        <v>2330</v>
      </c>
      <c r="C247" s="617"/>
      <c r="D247" s="466">
        <v>458</v>
      </c>
      <c r="E247" s="617"/>
      <c r="F247" s="617"/>
      <c r="G247" s="617"/>
      <c r="H247" s="617"/>
      <c r="I247" s="617"/>
      <c r="J247" s="617"/>
      <c r="K247" s="1694">
        <f t="shared" si="21"/>
        <v>458</v>
      </c>
      <c r="L247" s="466">
        <v>505</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7513</v>
      </c>
      <c r="E254" s="617"/>
      <c r="F254" s="617"/>
      <c r="G254" s="617"/>
      <c r="H254" s="617"/>
      <c r="I254" s="617"/>
      <c r="J254" s="617"/>
      <c r="K254" s="1694">
        <f t="shared" si="21"/>
        <v>7513</v>
      </c>
      <c r="L254" s="466">
        <v>8600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16885</v>
      </c>
      <c r="E257" s="617"/>
      <c r="F257" s="617"/>
      <c r="G257" s="617"/>
      <c r="H257" s="617"/>
      <c r="I257" s="617"/>
      <c r="J257" s="617"/>
      <c r="K257" s="1692">
        <f>SUM(K245:K256)</f>
        <v>16885</v>
      </c>
      <c r="L257" s="1692">
        <f>SUM(L245:L256)</f>
        <v>18765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13287</v>
      </c>
      <c r="E259" s="617"/>
      <c r="F259" s="617"/>
      <c r="G259" s="617"/>
      <c r="H259" s="617"/>
      <c r="I259" s="617"/>
      <c r="J259" s="617"/>
      <c r="K259" s="1694">
        <f>D259</f>
        <v>13287</v>
      </c>
      <c r="L259" s="481">
        <v>13930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13287</v>
      </c>
      <c r="E261" s="617"/>
      <c r="F261" s="617"/>
      <c r="G261" s="617"/>
      <c r="H261" s="617"/>
      <c r="I261" s="617"/>
      <c r="J261" s="617"/>
      <c r="K261" s="1692">
        <f>SUM(K259:K260)</f>
        <v>13287</v>
      </c>
      <c r="L261" s="1692">
        <f>SUM(L259:L260)</f>
        <v>13930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271</v>
      </c>
      <c r="E263" s="617"/>
      <c r="F263" s="617"/>
      <c r="G263" s="617"/>
      <c r="H263" s="617"/>
      <c r="I263" s="617"/>
      <c r="J263" s="617"/>
      <c r="K263" s="1694">
        <f>D263</f>
        <v>271</v>
      </c>
      <c r="L263" s="481">
        <v>285</v>
      </c>
    </row>
    <row r="264" spans="1:14" x14ac:dyDescent="0.2">
      <c r="A264" s="1526" t="s">
        <v>483</v>
      </c>
      <c r="B264" s="686">
        <v>2520</v>
      </c>
      <c r="C264" s="617"/>
      <c r="D264" s="466">
        <v>9796</v>
      </c>
      <c r="E264" s="617"/>
      <c r="F264" s="617"/>
      <c r="G264" s="617"/>
      <c r="H264" s="617"/>
      <c r="I264" s="617"/>
      <c r="J264" s="617"/>
      <c r="K264" s="1694">
        <f t="shared" ref="K264:K269" si="22">D264</f>
        <v>9796</v>
      </c>
      <c r="L264" s="466">
        <v>9725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24238</v>
      </c>
      <c r="E266" s="617"/>
      <c r="F266" s="617"/>
      <c r="G266" s="617"/>
      <c r="H266" s="617"/>
      <c r="I266" s="617"/>
      <c r="J266" s="617"/>
      <c r="K266" s="1694">
        <f t="shared" si="22"/>
        <v>24238</v>
      </c>
      <c r="L266" s="466">
        <v>26130</v>
      </c>
    </row>
    <row r="267" spans="1:14" x14ac:dyDescent="0.2">
      <c r="A267" s="1526" t="s">
        <v>1010</v>
      </c>
      <c r="B267" s="615">
        <v>2550</v>
      </c>
      <c r="C267" s="617"/>
      <c r="D267" s="466">
        <v>124865</v>
      </c>
      <c r="E267" s="617"/>
      <c r="F267" s="617"/>
      <c r="G267" s="617"/>
      <c r="H267" s="617"/>
      <c r="I267" s="617"/>
      <c r="J267" s="617"/>
      <c r="K267" s="1694">
        <f t="shared" si="22"/>
        <v>124865</v>
      </c>
      <c r="L267" s="466">
        <v>136225</v>
      </c>
    </row>
    <row r="268" spans="1:14" x14ac:dyDescent="0.2">
      <c r="A268" s="1526" t="s">
        <v>102</v>
      </c>
      <c r="B268" s="615">
        <v>2560</v>
      </c>
      <c r="C268" s="617"/>
      <c r="D268" s="466">
        <v>5165</v>
      </c>
      <c r="E268" s="617"/>
      <c r="F268" s="617"/>
      <c r="G268" s="617"/>
      <c r="H268" s="617"/>
      <c r="I268" s="617"/>
      <c r="J268" s="617"/>
      <c r="K268" s="1694">
        <f t="shared" si="22"/>
        <v>5165</v>
      </c>
      <c r="L268" s="466">
        <v>6175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164335</v>
      </c>
      <c r="E270" s="617"/>
      <c r="F270" s="617"/>
      <c r="G270" s="617"/>
      <c r="H270" s="617"/>
      <c r="I270" s="617"/>
      <c r="J270" s="617"/>
      <c r="K270" s="1692">
        <f>SUM(K263:K269)</f>
        <v>164335</v>
      </c>
      <c r="L270" s="1692">
        <f>SUM(L263:L269)</f>
        <v>178540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215641</v>
      </c>
      <c r="E279" s="617"/>
      <c r="F279" s="617"/>
      <c r="G279" s="617"/>
      <c r="H279" s="617"/>
      <c r="I279" s="617"/>
      <c r="J279" s="617"/>
      <c r="K279" s="1699">
        <f>SUM(K238,K243,K257,K261,K270,K277,K278)</f>
        <v>215641</v>
      </c>
      <c r="L279" s="1699">
        <f>SUM(L238,L243,L257,L261,L270,L277,L278)</f>
        <v>234390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290919</v>
      </c>
      <c r="E295" s="617"/>
      <c r="F295" s="617"/>
      <c r="G295" s="617"/>
      <c r="H295" s="1692">
        <f>H293</f>
        <v>0</v>
      </c>
      <c r="I295" s="617"/>
      <c r="J295" s="617"/>
      <c r="K295" s="1692">
        <f>SUM(K229,K279,K280,K285,K293,K294)</f>
        <v>290919</v>
      </c>
      <c r="L295" s="1692">
        <f>SUM(L229,L279,L280,L285,L293,L294)</f>
        <v>321140</v>
      </c>
    </row>
    <row r="296" spans="1:14" ht="13.5" thickTop="1" x14ac:dyDescent="0.2">
      <c r="A296" s="2198" t="s">
        <v>1053</v>
      </c>
      <c r="B296" s="2199"/>
      <c r="C296" s="617"/>
      <c r="D296" s="619"/>
      <c r="E296" s="617"/>
      <c r="F296" s="617"/>
      <c r="G296" s="617"/>
      <c r="H296" s="688"/>
      <c r="I296" s="617"/>
      <c r="J296" s="617"/>
      <c r="K296" s="1706">
        <f>'Revenues 9-14'!G275-'Expenditures 15-22'!K295</f>
        <v>-82748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28014</v>
      </c>
      <c r="F301" s="466">
        <v>5379</v>
      </c>
      <c r="G301" s="466">
        <v>262844</v>
      </c>
      <c r="H301" s="466"/>
      <c r="I301" s="467">
        <v>4587</v>
      </c>
      <c r="J301" s="467"/>
      <c r="K301" s="1693">
        <f>SUM(C301:J301)</f>
        <v>300824</v>
      </c>
      <c r="L301" s="467">
        <v>375500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28014</v>
      </c>
      <c r="F303" s="1699">
        <f t="shared" si="23"/>
        <v>5379</v>
      </c>
      <c r="G303" s="1699">
        <f t="shared" si="23"/>
        <v>262844</v>
      </c>
      <c r="H303" s="1699">
        <f t="shared" si="23"/>
        <v>0</v>
      </c>
      <c r="I303" s="1699">
        <f t="shared" si="23"/>
        <v>4587</v>
      </c>
      <c r="J303" s="1699">
        <f t="shared" si="23"/>
        <v>0</v>
      </c>
      <c r="K303" s="1699">
        <f t="shared" si="23"/>
        <v>300824</v>
      </c>
      <c r="L303" s="1699">
        <f t="shared" si="23"/>
        <v>375500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v>10068</v>
      </c>
      <c r="I309" s="477"/>
      <c r="J309" s="617"/>
      <c r="K309" s="1693">
        <f>SUM(E309,H309)</f>
        <v>10068</v>
      </c>
      <c r="L309" s="466">
        <v>10100</v>
      </c>
    </row>
    <row r="310" spans="1:14" ht="12.75" customHeight="1" thickBot="1" x14ac:dyDescent="0.25">
      <c r="A310" s="1690" t="s">
        <v>1567</v>
      </c>
      <c r="B310" s="1697" t="s">
        <v>915</v>
      </c>
      <c r="C310" s="617"/>
      <c r="D310" s="617"/>
      <c r="E310" s="1692">
        <f>SUM(E306:E309)</f>
        <v>0</v>
      </c>
      <c r="F310" s="617"/>
      <c r="G310" s="617"/>
      <c r="H310" s="1692">
        <f>SUM(H306:H309)</f>
        <v>10068</v>
      </c>
      <c r="I310" s="477"/>
      <c r="J310" s="617"/>
      <c r="K310" s="1692">
        <f>SUM(K306:K309)</f>
        <v>10068</v>
      </c>
      <c r="L310" s="1699">
        <f>SUM(L306:L309)</f>
        <v>10100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28014</v>
      </c>
      <c r="F312" s="1692">
        <f>SUM(F303)</f>
        <v>5379</v>
      </c>
      <c r="G312" s="1692">
        <f>SUM(G303)</f>
        <v>262844</v>
      </c>
      <c r="H312" s="1692">
        <f>SUM(H303,H310)</f>
        <v>10068</v>
      </c>
      <c r="I312" s="1692">
        <f>SUM(I303)</f>
        <v>4587</v>
      </c>
      <c r="J312" s="1692">
        <f>SUM(J303)</f>
        <v>0</v>
      </c>
      <c r="K312" s="1692">
        <f>SUM(K303,K310,K311)</f>
        <v>310892</v>
      </c>
      <c r="L312" s="1692">
        <f>SUM(L303,L310,L311)</f>
        <v>385600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-99099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63662</v>
      </c>
      <c r="F320" s="467"/>
      <c r="G320" s="467"/>
      <c r="H320" s="467"/>
      <c r="I320" s="467"/>
      <c r="J320" s="467"/>
      <c r="K320" s="1693">
        <f t="shared" ref="K320:K327" si="24">SUM(C320:J320)</f>
        <v>63662</v>
      </c>
      <c r="L320" s="467">
        <v>76800</v>
      </c>
      <c r="M320" s="666"/>
      <c r="N320" s="666"/>
    </row>
    <row r="321" spans="1:14" s="675" customFormat="1" x14ac:dyDescent="0.2">
      <c r="A321" s="1541" t="s">
        <v>318</v>
      </c>
      <c r="B321" s="698" t="s">
        <v>301</v>
      </c>
      <c r="C321" s="467"/>
      <c r="D321" s="467"/>
      <c r="E321" s="467">
        <v>4284</v>
      </c>
      <c r="F321" s="467"/>
      <c r="G321" s="467"/>
      <c r="H321" s="467"/>
      <c r="I321" s="467"/>
      <c r="J321" s="467"/>
      <c r="K321" s="1693">
        <f t="shared" si="24"/>
        <v>4284</v>
      </c>
      <c r="L321" s="467">
        <v>10000</v>
      </c>
      <c r="M321" s="666"/>
      <c r="N321" s="666"/>
    </row>
    <row r="322" spans="1:14" s="675" customFormat="1" x14ac:dyDescent="0.2">
      <c r="A322" s="1541" t="s">
        <v>256</v>
      </c>
      <c r="B322" s="698" t="s">
        <v>302</v>
      </c>
      <c r="C322" s="467"/>
      <c r="D322" s="467"/>
      <c r="E322" s="467">
        <v>40248</v>
      </c>
      <c r="F322" s="467"/>
      <c r="G322" s="467"/>
      <c r="H322" s="467"/>
      <c r="I322" s="467"/>
      <c r="J322" s="467"/>
      <c r="K322" s="1693">
        <f t="shared" si="24"/>
        <v>40248</v>
      </c>
      <c r="L322" s="467">
        <v>40305</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83278</v>
      </c>
      <c r="D325" s="467">
        <v>8410</v>
      </c>
      <c r="E325" s="467">
        <v>28348</v>
      </c>
      <c r="F325" s="467">
        <v>790</v>
      </c>
      <c r="G325" s="467"/>
      <c r="H325" s="467"/>
      <c r="I325" s="467"/>
      <c r="J325" s="467"/>
      <c r="K325" s="1693">
        <f t="shared" si="24"/>
        <v>120826</v>
      </c>
      <c r="L325" s="467">
        <v>143295</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3108</v>
      </c>
      <c r="F327" s="467"/>
      <c r="G327" s="467"/>
      <c r="H327" s="467"/>
      <c r="I327" s="467"/>
      <c r="J327" s="467"/>
      <c r="K327" s="1693">
        <f t="shared" si="24"/>
        <v>3108</v>
      </c>
      <c r="L327" s="467">
        <v>3200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83278</v>
      </c>
      <c r="D330" s="1692">
        <f t="shared" ref="D330:J330" si="25">SUM(D319:D329)</f>
        <v>8410</v>
      </c>
      <c r="E330" s="1692">
        <f t="shared" si="25"/>
        <v>139650</v>
      </c>
      <c r="F330" s="1692">
        <f t="shared" si="25"/>
        <v>790</v>
      </c>
      <c r="G330" s="1692">
        <f t="shared" si="25"/>
        <v>0</v>
      </c>
      <c r="H330" s="1692">
        <f t="shared" si="25"/>
        <v>0</v>
      </c>
      <c r="I330" s="1692">
        <f t="shared" si="25"/>
        <v>0</v>
      </c>
      <c r="J330" s="1692">
        <f t="shared" si="25"/>
        <v>0</v>
      </c>
      <c r="K330" s="1692">
        <f>SUM(K319:K329)</f>
        <v>232128</v>
      </c>
      <c r="L330" s="1692">
        <f>SUM(L319:L329)</f>
        <v>273600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83278</v>
      </c>
      <c r="D342" s="1692">
        <f>SUM(D330)</f>
        <v>8410</v>
      </c>
      <c r="E342" s="1692">
        <f>SUM(E330)</f>
        <v>139650</v>
      </c>
      <c r="F342" s="1692">
        <f>SUM(F330)</f>
        <v>790</v>
      </c>
      <c r="G342" s="1692">
        <f>SUM(G330)</f>
        <v>0</v>
      </c>
      <c r="H342" s="1692">
        <f>SUM(H330,H334,H340)</f>
        <v>0</v>
      </c>
      <c r="I342" s="1692">
        <f>SUM(I330)</f>
        <v>0</v>
      </c>
      <c r="J342" s="1692">
        <f>SUM(J330)</f>
        <v>0</v>
      </c>
      <c r="K342" s="1692">
        <f>SUM(K330,K334,K340)</f>
        <v>232128</v>
      </c>
      <c r="L342" s="1699">
        <f>SUM(L330,L340,L341)</f>
        <v>273600</v>
      </c>
    </row>
    <row r="343" spans="1:14" ht="12.75" customHeight="1" thickTop="1" x14ac:dyDescent="0.2">
      <c r="A343" s="2184" t="s">
        <v>1053</v>
      </c>
      <c r="B343" s="2185"/>
      <c r="C343" s="617"/>
      <c r="D343" s="617"/>
      <c r="E343" s="617"/>
      <c r="F343" s="617"/>
      <c r="G343" s="617"/>
      <c r="H343" s="617"/>
      <c r="I343" s="617"/>
      <c r="J343" s="617"/>
      <c r="K343" s="1706">
        <f>'Revenues 9-14'!J275-'Expenditures 15-22'!K342</f>
        <v>-49934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96741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6ce3111e-7420-4802-b50a-75d4e9a0b980"/>
    <ds:schemaRef ds:uri="http://purl.org/dc/terms/"/>
    <ds:schemaRef ds:uri="http://schemas.microsoft.com/office/infopath/2007/PartnerControls"/>
    <ds:schemaRef ds:uri="http://purl.org/dc/elements/1.1/"/>
    <ds:schemaRef ds:uri="http://schemas.microsoft.com/sharepoint/v3"/>
    <ds:schemaRef ds:uri="4d435f69-8686-490b-bd6d-b153bf22ab50"/>
    <ds:schemaRef ds:uri="d21dc803-237d-4c68-8692-8d731fd29118"/>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2018-10-11T20:12:20Z</cp:lastPrinted>
  <dcterms:created xsi:type="dcterms:W3CDTF">2003-10-29T19:06:34Z</dcterms:created>
  <dcterms:modified xsi:type="dcterms:W3CDTF">2018-10-12T18:20:46Z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