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85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D24" i="181" l="1"/>
  <c r="J31" i="8"/>
  <c r="L33"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s="1"/>
  <c r="B5104" i="106"/>
  <c r="D5104" i="106" s="1"/>
  <c r="B5105" i="106"/>
  <c r="D5105" i="106"/>
  <c r="B5106" i="106"/>
  <c r="D5106" i="106" s="1"/>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s="1"/>
  <c r="B6331" i="106"/>
  <c r="D6331" i="106" s="1"/>
  <c r="B6332" i="106"/>
  <c r="D6332" i="106" s="1"/>
  <c r="B6333" i="106"/>
  <c r="D6333" i="106" s="1"/>
  <c r="B6334" i="106"/>
  <c r="D6334" i="106" s="1"/>
  <c r="B6335" i="106"/>
  <c r="D6335" i="106" s="1"/>
  <c r="B6336" i="106"/>
  <c r="D6336" i="106"/>
  <c r="B6337" i="106"/>
  <c r="D6337" i="106" s="1"/>
  <c r="B6338" i="106"/>
  <c r="D6338" i="106" s="1"/>
  <c r="B6339" i="106"/>
  <c r="D6339" i="106"/>
  <c r="B6340" i="106"/>
  <c r="D6340" i="106" s="1"/>
  <c r="B6341" i="106"/>
  <c r="D6341" i="106"/>
  <c r="B6342" i="106"/>
  <c r="D6342" i="106" s="1"/>
  <c r="B6343" i="106"/>
  <c r="D6343" i="106" s="1"/>
  <c r="B6344" i="106"/>
  <c r="D6344" i="106" s="1"/>
  <c r="B6345" i="106"/>
  <c r="D6345" i="106"/>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c r="B6359" i="106"/>
  <c r="D6359" i="106" s="1"/>
  <c r="B6360" i="106"/>
  <c r="D6360" i="106"/>
  <c r="B6361" i="106"/>
  <c r="D6361" i="106" s="1"/>
  <c r="B6362" i="106"/>
  <c r="D6362" i="106" s="1"/>
  <c r="B6363" i="106"/>
  <c r="D6363" i="106" s="1"/>
  <c r="B6364" i="106"/>
  <c r="D6364" i="106"/>
  <c r="B6365" i="106"/>
  <c r="D6365" i="106" s="1"/>
  <c r="B6366" i="106"/>
  <c r="D6366" i="106" s="1"/>
  <c r="B6367" i="106"/>
  <c r="D6367" i="106" s="1"/>
  <c r="B6368" i="106"/>
  <c r="D6368" i="106"/>
  <c r="B6369" i="106"/>
  <c r="D6369" i="106" s="1"/>
  <c r="B6370" i="106"/>
  <c r="D6370" i="106" s="1"/>
  <c r="B6371" i="106"/>
  <c r="D6371" i="106" s="1"/>
  <c r="B6372" i="106"/>
  <c r="D6372" i="106" s="1"/>
  <c r="B6373" i="106"/>
  <c r="D6373" i="106" s="1"/>
  <c r="B6374" i="106"/>
  <c r="D6374" i="106"/>
  <c r="B6375" i="106"/>
  <c r="D6375" i="106" s="1"/>
  <c r="B6376" i="106"/>
  <c r="D6376" i="106"/>
  <c r="B6377" i="106"/>
  <c r="D6377" i="106" s="1"/>
  <c r="B6378" i="106"/>
  <c r="D6378" i="106" s="1"/>
  <c r="B6379" i="106"/>
  <c r="D6379" i="106" s="1"/>
  <c r="B6380" i="106"/>
  <c r="D6380" i="106"/>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c r="B6391" i="106"/>
  <c r="D6391" i="106" s="1"/>
  <c r="B6392" i="106"/>
  <c r="D6392" i="106"/>
  <c r="B6393" i="106"/>
  <c r="D6393" i="106" s="1"/>
  <c r="B6394" i="106"/>
  <c r="D6394" i="106" s="1"/>
  <c r="B6395" i="106"/>
  <c r="D6395" i="106" s="1"/>
  <c r="B6398" i="106"/>
  <c r="D6398" i="106"/>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c r="B6624" i="106"/>
  <c r="D6624" i="106" s="1"/>
  <c r="B6625" i="106"/>
  <c r="D6625" i="106"/>
  <c r="B6626" i="106"/>
  <c r="D6626" i="106" s="1"/>
  <c r="B6627" i="106"/>
  <c r="D6627" i="106" s="1"/>
  <c r="B6628" i="106"/>
  <c r="D6628" i="106" s="1"/>
  <c r="B6629" i="106"/>
  <c r="D6629" i="106"/>
  <c r="B6630" i="106"/>
  <c r="D6630" i="106" s="1"/>
  <c r="B6631" i="106"/>
  <c r="D6631" i="106" s="1"/>
  <c r="B6632" i="106"/>
  <c r="D6632" i="106" s="1"/>
  <c r="B6633" i="106"/>
  <c r="D6633" i="106"/>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c r="B6644" i="106"/>
  <c r="D6644" i="106" s="1"/>
  <c r="B6645" i="106"/>
  <c r="D6645" i="106"/>
  <c r="B6646" i="106"/>
  <c r="D6646" i="106" s="1"/>
  <c r="B6647" i="106"/>
  <c r="D6647" i="106" s="1"/>
  <c r="B6648" i="106"/>
  <c r="D6648" i="106" s="1"/>
  <c r="B6649" i="106"/>
  <c r="D6649" i="106"/>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c r="B6660" i="106"/>
  <c r="D6660" i="106" s="1"/>
  <c r="B6661" i="106"/>
  <c r="D6661" i="106"/>
  <c r="B6662" i="106"/>
  <c r="D6662" i="106" s="1"/>
  <c r="B6663" i="106"/>
  <c r="D6663" i="106" s="1"/>
  <c r="B6664" i="106"/>
  <c r="D6664" i="106" s="1"/>
  <c r="B6665" i="106"/>
  <c r="D6665" i="106"/>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c r="B6676" i="106"/>
  <c r="D6676" i="106" s="1"/>
  <c r="B6677" i="106"/>
  <c r="D6677" i="106"/>
  <c r="B6678" i="106"/>
  <c r="D6678" i="106" s="1"/>
  <c r="B6679" i="106"/>
  <c r="D6679" i="106" s="1"/>
  <c r="B6680" i="106"/>
  <c r="D6680" i="106" s="1"/>
  <c r="B6681" i="106"/>
  <c r="D6681" i="106"/>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c r="B6692" i="106"/>
  <c r="D6692" i="106" s="1"/>
  <c r="B6693" i="106"/>
  <c r="D6693" i="106"/>
  <c r="B6694" i="106"/>
  <c r="D6694" i="106" s="1"/>
  <c r="B6695" i="106"/>
  <c r="D6695" i="106" s="1"/>
  <c r="B6696" i="106"/>
  <c r="D6696" i="106" s="1"/>
  <c r="B6697" i="106"/>
  <c r="D6697" i="106"/>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c r="B6708" i="106"/>
  <c r="D6708" i="106" s="1"/>
  <c r="B6709" i="106"/>
  <c r="D6709" i="106"/>
  <c r="B6710" i="106"/>
  <c r="D6710" i="106" s="1"/>
  <c r="B6711" i="106"/>
  <c r="D6711" i="106" s="1"/>
  <c r="B6712" i="106"/>
  <c r="D6712" i="106" s="1"/>
  <c r="B6713" i="106"/>
  <c r="D6713" i="106"/>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c r="B6724" i="106"/>
  <c r="D6724" i="106" s="1"/>
  <c r="B6725" i="106"/>
  <c r="D6725" i="106"/>
  <c r="B6726" i="106"/>
  <c r="D6726" i="106" s="1"/>
  <c r="B6727" i="106"/>
  <c r="D6727" i="106" s="1"/>
  <c r="B6728" i="106"/>
  <c r="D6728" i="106"/>
  <c r="B6729" i="106"/>
  <c r="D6729" i="106" s="1"/>
  <c r="B6730" i="106"/>
  <c r="D6730" i="106" s="1"/>
  <c r="B6731" i="106"/>
  <c r="D6731" i="106" s="1"/>
  <c r="B6732" i="106"/>
  <c r="D6732" i="106"/>
  <c r="B6733" i="106"/>
  <c r="D6733" i="106" s="1"/>
  <c r="B6734" i="106"/>
  <c r="D6734" i="106" s="1"/>
  <c r="B6735" i="106"/>
  <c r="D6735" i="106" s="1"/>
  <c r="B6736" i="106"/>
  <c r="D6736" i="106"/>
  <c r="B6737" i="106"/>
  <c r="D6737" i="106" s="1"/>
  <c r="B6738" i="106"/>
  <c r="D6738" i="106" s="1"/>
  <c r="B6739" i="106"/>
  <c r="D6739" i="106" s="1"/>
  <c r="B6740" i="106"/>
  <c r="D6740" i="106"/>
  <c r="B6741" i="106"/>
  <c r="D6741" i="106" s="1"/>
  <c r="B6742" i="106"/>
  <c r="D6742" i="106" s="1"/>
  <c r="B6743" i="106"/>
  <c r="D6743" i="106" s="1"/>
  <c r="B6744" i="106"/>
  <c r="D6744" i="106"/>
  <c r="B6745" i="106"/>
  <c r="D6745" i="106" s="1"/>
  <c r="B6746" i="106"/>
  <c r="D6746" i="106" s="1"/>
  <c r="B6747" i="106"/>
  <c r="D6747" i="106" s="1"/>
  <c r="B6748" i="106"/>
  <c r="D6748" i="106"/>
  <c r="B6749" i="106"/>
  <c r="D6749" i="106" s="1"/>
  <c r="B6750" i="106"/>
  <c r="D6750" i="106" s="1"/>
  <c r="B6751" i="106"/>
  <c r="D6751" i="106" s="1"/>
  <c r="B6752" i="106"/>
  <c r="D6752" i="106"/>
  <c r="B6753" i="106"/>
  <c r="D6753" i="106" s="1"/>
  <c r="B6754" i="106"/>
  <c r="D6754" i="106" s="1"/>
  <c r="B6755" i="106"/>
  <c r="D6755" i="106" s="1"/>
  <c r="B6756" i="106"/>
  <c r="D6756" i="106"/>
  <c r="B6757" i="106"/>
  <c r="D6757" i="106" s="1"/>
  <c r="B6758" i="106"/>
  <c r="D6758" i="106" s="1"/>
  <c r="B6759" i="106"/>
  <c r="D6759" i="106" s="1"/>
  <c r="B6760" i="106"/>
  <c r="D6760" i="106"/>
  <c r="B6761" i="106"/>
  <c r="D6761" i="106" s="1"/>
  <c r="B6762" i="106"/>
  <c r="D6762" i="106" s="1"/>
  <c r="B6763" i="106"/>
  <c r="D6763" i="106" s="1"/>
  <c r="B6764" i="106"/>
  <c r="D6764" i="106"/>
  <c r="B6765" i="106"/>
  <c r="D6765" i="106" s="1"/>
  <c r="B6766" i="106"/>
  <c r="D6766" i="106" s="1"/>
  <c r="B6767" i="106"/>
  <c r="D6767" i="106" s="1"/>
  <c r="B6768" i="106"/>
  <c r="D6768" i="106"/>
  <c r="B6769" i="106"/>
  <c r="D6769" i="106" s="1"/>
  <c r="B6770" i="106"/>
  <c r="D6770" i="106" s="1"/>
  <c r="B6771" i="106"/>
  <c r="D6771" i="106" s="1"/>
  <c r="B6772" i="106"/>
  <c r="D6772" i="106"/>
  <c r="B6773" i="106"/>
  <c r="D6773" i="106" s="1"/>
  <c r="B6774" i="106"/>
  <c r="D6774" i="106" s="1"/>
  <c r="B6775" i="106"/>
  <c r="D6775" i="106" s="1"/>
  <c r="B6776" i="106"/>
  <c r="D6776" i="106"/>
  <c r="B6777" i="106"/>
  <c r="D6777" i="106" s="1"/>
  <c r="B6778" i="106"/>
  <c r="D6778" i="106" s="1"/>
  <c r="B6779" i="106"/>
  <c r="D6779" i="106" s="1"/>
  <c r="B6780" i="106"/>
  <c r="D6780" i="106"/>
  <c r="B6781" i="106"/>
  <c r="D6781" i="106" s="1"/>
  <c r="B6782" i="106"/>
  <c r="D6782" i="106" s="1"/>
  <c r="B6783" i="106"/>
  <c r="D6783" i="106" s="1"/>
  <c r="B6784" i="106"/>
  <c r="D6784" i="106"/>
  <c r="B6785" i="106"/>
  <c r="D6785" i="106" s="1"/>
  <c r="B6786" i="106"/>
  <c r="D6786" i="106" s="1"/>
  <c r="B6787" i="106"/>
  <c r="D6787" i="106" s="1"/>
  <c r="B6788" i="106"/>
  <c r="D6788" i="106"/>
  <c r="B6789" i="106"/>
  <c r="D6789" i="106" s="1"/>
  <c r="B6790" i="106"/>
  <c r="D6790" i="106" s="1"/>
  <c r="B6791" i="106"/>
  <c r="D6791" i="106" s="1"/>
  <c r="B6792" i="106"/>
  <c r="D6792" i="106"/>
  <c r="B6793" i="106"/>
  <c r="D6793" i="106" s="1"/>
  <c r="B6794" i="106"/>
  <c r="D6794" i="106" s="1"/>
  <c r="B6795" i="106"/>
  <c r="D6795" i="106" s="1"/>
  <c r="B6796" i="106"/>
  <c r="D6796" i="106"/>
  <c r="B6797" i="106"/>
  <c r="D6797" i="106" s="1"/>
  <c r="B6798" i="106"/>
  <c r="D6798" i="106" s="1"/>
  <c r="B6799" i="106"/>
  <c r="D6799" i="106" s="1"/>
  <c r="B6800" i="106"/>
  <c r="D6800" i="106"/>
  <c r="B6801" i="106"/>
  <c r="D6801" i="106" s="1"/>
  <c r="B6802" i="106"/>
  <c r="D6802" i="106" s="1"/>
  <c r="B6803" i="106"/>
  <c r="D6803" i="106" s="1"/>
  <c r="B6804" i="106"/>
  <c r="D6804" i="106"/>
  <c r="B6805" i="106"/>
  <c r="D6805" i="106" s="1"/>
  <c r="B6806" i="106"/>
  <c r="D6806" i="106" s="1"/>
  <c r="B6807" i="106"/>
  <c r="D6807" i="106" s="1"/>
  <c r="B6808" i="106"/>
  <c r="D6808" i="106"/>
  <c r="B6809" i="106"/>
  <c r="D6809" i="106" s="1"/>
  <c r="B6810" i="106"/>
  <c r="D6810" i="106" s="1"/>
  <c r="B6811" i="106"/>
  <c r="D6811" i="106" s="1"/>
  <c r="B6812" i="106"/>
  <c r="D6812" i="106"/>
  <c r="B6813" i="106"/>
  <c r="D6813" i="106" s="1"/>
  <c r="B6814" i="106"/>
  <c r="D6814" i="106" s="1"/>
  <c r="B6815" i="106"/>
  <c r="D6815" i="106" s="1"/>
  <c r="B6816" i="106"/>
  <c r="D6816" i="106"/>
  <c r="B6817" i="106"/>
  <c r="D6817" i="106" s="1"/>
  <c r="B6818" i="106"/>
  <c r="D6818" i="106" s="1"/>
  <c r="B6819" i="106"/>
  <c r="D6819" i="106" s="1"/>
  <c r="B6820" i="106"/>
  <c r="D6820" i="106"/>
  <c r="B6821" i="106"/>
  <c r="D6821" i="106" s="1"/>
  <c r="B6822" i="106"/>
  <c r="D6822" i="106" s="1"/>
  <c r="B6823" i="106"/>
  <c r="D6823" i="106" s="1"/>
  <c r="B6824" i="106"/>
  <c r="D6824" i="106"/>
  <c r="B6825" i="106"/>
  <c r="D6825" i="106" s="1"/>
  <c r="B6826" i="106"/>
  <c r="D6826" i="106" s="1"/>
  <c r="B6827" i="106"/>
  <c r="D6827" i="106" s="1"/>
  <c r="B6828" i="106"/>
  <c r="D6828" i="106"/>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6" i="108"/>
  <c r="F26" i="108"/>
  <c r="E27" i="108"/>
  <c r="F27" i="108"/>
  <c r="G27" i="108"/>
  <c r="F31" i="108"/>
  <c r="F36" i="108"/>
  <c r="F37" i="108"/>
  <c r="G28"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F128" i="34"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D11" i="37"/>
  <c r="J22" i="37"/>
  <c r="L22" i="37"/>
  <c r="D24" i="37"/>
  <c r="B4270" i="106" s="1"/>
  <c r="D4270" i="106" s="1"/>
  <c r="L5" i="11"/>
  <c r="B2056" i="106" s="1"/>
  <c r="D2056" i="106" s="1"/>
  <c r="F136" i="34"/>
  <c r="F127" i="34"/>
  <c r="B5847" i="106"/>
  <c r="D5847" i="106" s="1"/>
  <c r="B5599" i="106"/>
  <c r="D5599" i="106" s="1"/>
  <c r="H173" i="5"/>
  <c r="B5906" i="106" s="1"/>
  <c r="D5906" i="106" s="1"/>
  <c r="F106" i="34"/>
  <c r="H6" i="4"/>
  <c r="B2656" i="106" s="1"/>
  <c r="D2656" i="106" s="1"/>
  <c r="D11" i="7"/>
  <c r="B1768" i="106" s="1"/>
  <c r="D1768" i="106" s="1"/>
  <c r="D68" i="36" l="1"/>
  <c r="G173" i="5"/>
  <c r="B5778" i="106" s="1"/>
  <c r="D5778" i="106" s="1"/>
  <c r="B5770" i="106"/>
  <c r="D5770" i="106" s="1"/>
  <c r="F130" i="34"/>
  <c r="D9" i="7"/>
  <c r="B1767" i="106" s="1"/>
  <c r="D1767" i="106" s="1"/>
  <c r="B2054" i="106"/>
  <c r="D2054" i="106" s="1"/>
  <c r="L13" i="11"/>
  <c r="B2060" i="106" s="1"/>
  <c r="D2060" i="106" s="1"/>
  <c r="D15" i="7"/>
  <c r="B1772" i="106" s="1"/>
  <c r="D1772" i="106" s="1"/>
  <c r="D7" i="7"/>
  <c r="B1763" i="106" s="1"/>
  <c r="D1763" i="106" s="1"/>
  <c r="K274" i="5"/>
  <c r="F111" i="34"/>
  <c r="F131" i="34"/>
  <c r="D5" i="7"/>
  <c r="B1761" i="106" s="1"/>
  <c r="D1761" i="106" s="1"/>
  <c r="K28" i="118"/>
  <c r="O27" i="118" s="1"/>
  <c r="O29" i="118" s="1"/>
  <c r="D5" i="4"/>
  <c r="B3406" i="106" s="1"/>
  <c r="D3406" i="106" s="1"/>
  <c r="J274" i="5"/>
  <c r="B7054" i="106" s="1"/>
  <c r="D7054" i="106" s="1"/>
  <c r="B4396" i="106"/>
  <c r="D4396" i="106" s="1"/>
  <c r="L367" i="29"/>
  <c r="D69" i="36"/>
  <c r="B6858" i="106"/>
  <c r="D6858" i="106" s="1"/>
  <c r="F36" i="34"/>
  <c r="B3668" i="106"/>
  <c r="D3668" i="106" s="1"/>
  <c r="K350" i="29"/>
  <c r="B1470" i="106"/>
  <c r="D1470" i="106" s="1"/>
  <c r="F70" i="34"/>
  <c r="B7205" i="106"/>
  <c r="D7205" i="106" s="1"/>
  <c r="I342" i="29"/>
  <c r="B7222" i="106" s="1"/>
  <c r="D7222" i="106" s="1"/>
  <c r="B6889" i="106"/>
  <c r="D6889" i="106" s="1"/>
  <c r="F45" i="34"/>
  <c r="D17" i="7"/>
  <c r="B4104" i="106" s="1"/>
  <c r="D4104" i="106" s="1"/>
  <c r="H109" i="5"/>
  <c r="B6025" i="106" s="1"/>
  <c r="D6025" i="106" s="1"/>
  <c r="B5752" i="106"/>
  <c r="D5752" i="106" s="1"/>
  <c r="D22" i="37"/>
  <c r="K173" i="5"/>
  <c r="K6" i="4" s="1"/>
  <c r="B3570" i="106" s="1"/>
  <c r="D3570" i="106" s="1"/>
  <c r="F172" i="5"/>
  <c r="B5644" i="106" s="1"/>
  <c r="D5644" i="106" s="1"/>
  <c r="F49" i="34"/>
  <c r="F41" i="34"/>
  <c r="B7235" i="106"/>
  <c r="D7235" i="106" s="1"/>
  <c r="B7071" i="106"/>
  <c r="D7071" i="106" s="1"/>
  <c r="F66" i="34"/>
  <c r="J77" i="4"/>
  <c r="B6262" i="106" s="1"/>
  <c r="D6262" i="106" s="1"/>
  <c r="B6238" i="106"/>
  <c r="D6238" i="106" s="1"/>
  <c r="G352" i="29"/>
  <c r="B3647" i="106"/>
  <c r="D3647" i="106" s="1"/>
  <c r="B3619" i="106"/>
  <c r="D3619" i="106" s="1"/>
  <c r="C352" i="29"/>
  <c r="I24" i="12"/>
  <c r="B1995" i="106"/>
  <c r="D1995" i="106" s="1"/>
  <c r="B1364" i="106"/>
  <c r="D1364" i="106" s="1"/>
  <c r="G210" i="29"/>
  <c r="B1308" i="106"/>
  <c r="D1308" i="106" s="1"/>
  <c r="E174" i="29"/>
  <c r="B1309" i="106" s="1"/>
  <c r="D1309" i="106" s="1"/>
  <c r="B3565" i="106"/>
  <c r="D3565" i="106" s="1"/>
  <c r="K41" i="3"/>
  <c r="B3568" i="106" s="1"/>
  <c r="D3568" i="106" s="1"/>
  <c r="K184" i="29"/>
  <c r="F13" i="4" s="1"/>
  <c r="B2596" i="106" s="1"/>
  <c r="D2596" i="106" s="1"/>
  <c r="F21" i="8"/>
  <c r="K285" i="29"/>
  <c r="D6103" i="106"/>
  <c r="L15" i="11"/>
  <c r="B3459" i="106" s="1"/>
  <c r="D3459" i="106" s="1"/>
  <c r="N22" i="3"/>
  <c r="B283" i="106" s="1"/>
  <c r="D283" i="106" s="1"/>
  <c r="F19" i="7"/>
  <c r="B1807" i="106" s="1"/>
  <c r="D1807" i="106" s="1"/>
  <c r="B1329" i="106"/>
  <c r="D1329" i="106" s="1"/>
  <c r="F61" i="34"/>
  <c r="L342" i="29"/>
  <c r="B1410" i="106"/>
  <c r="D1410" i="106" s="1"/>
  <c r="E29" i="108"/>
  <c r="G29" i="108"/>
  <c r="F28" i="108"/>
  <c r="C129" i="29"/>
  <c r="C151" i="29" s="1"/>
  <c r="B1226" i="106" s="1"/>
  <c r="D1226" i="106" s="1"/>
  <c r="E28" i="108"/>
  <c r="E26" i="108"/>
  <c r="B1274" i="106"/>
  <c r="D1274" i="106" s="1"/>
  <c r="G26" i="108"/>
  <c r="G35" i="108"/>
  <c r="E35" i="108"/>
  <c r="G30" i="108"/>
  <c r="E30" i="108"/>
  <c r="H4" i="4"/>
  <c r="B2655" i="106" s="1"/>
  <c r="D2655" i="106" s="1"/>
  <c r="E109" i="5"/>
  <c r="E4" i="4" s="1"/>
  <c r="B2630" i="106" s="1"/>
  <c r="D2630" i="106" s="1"/>
  <c r="B1746" i="106"/>
  <c r="D1746" i="106" s="1"/>
  <c r="D12" i="7"/>
  <c r="B1769" i="106" s="1"/>
  <c r="D1769" i="106" s="1"/>
  <c r="G109" i="5"/>
  <c r="D109" i="5"/>
  <c r="B5356" i="106" s="1"/>
  <c r="D5356" i="106" s="1"/>
  <c r="C172" i="5"/>
  <c r="B5214" i="106" s="1"/>
  <c r="D5214" i="106" s="1"/>
  <c r="C109" i="5"/>
  <c r="B5121" i="106" s="1"/>
  <c r="D5121" i="106" s="1"/>
  <c r="D13" i="7"/>
  <c r="B3726" i="106" s="1"/>
  <c r="D3726" i="106" s="1"/>
  <c r="B5066" i="106"/>
  <c r="D5066" i="106" s="1"/>
  <c r="D4" i="7"/>
  <c r="B1760" i="106" s="1"/>
  <c r="D1760" i="106" s="1"/>
  <c r="H33" i="118"/>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D7252"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3447" i="106"/>
  <c r="D3447" i="106" s="1"/>
  <c r="B7270" i="106"/>
  <c r="N23" i="3" l="1"/>
  <c r="B284" i="106" s="1"/>
  <c r="D284" i="106" s="1"/>
  <c r="D52" i="36"/>
  <c r="F275" i="5"/>
  <c r="B1879" i="106"/>
  <c r="D1879" i="106" s="1"/>
  <c r="H22" i="37"/>
  <c r="B5914" i="106"/>
  <c r="D5914" i="106" s="1"/>
  <c r="D7253" i="106"/>
  <c r="B1996" i="106"/>
  <c r="D1996" i="106" s="1"/>
  <c r="I26" i="12"/>
  <c r="B7741" i="106" s="1"/>
  <c r="D7741" i="106" s="1"/>
  <c r="B3649" i="106"/>
  <c r="D3649" i="106" s="1"/>
  <c r="G367" i="29"/>
  <c r="B3650" i="106" s="1"/>
  <c r="D3650" i="106" s="1"/>
  <c r="H367" i="29"/>
  <c r="B3660" i="106" s="1"/>
  <c r="D3660" i="106" s="1"/>
  <c r="F73" i="34"/>
  <c r="G15" i="4"/>
  <c r="B6032" i="106" s="1"/>
  <c r="D6032" i="106" s="1"/>
  <c r="H275" i="5"/>
  <c r="D7254" i="106"/>
  <c r="D7250" i="106"/>
  <c r="B1225" i="106"/>
  <c r="D1225" i="106" s="1"/>
  <c r="B3724" i="106"/>
  <c r="D3724" i="106" s="1"/>
  <c r="B1365" i="106"/>
  <c r="D1365" i="106" s="1"/>
  <c r="F65" i="34"/>
  <c r="B3621" i="106"/>
  <c r="D3621" i="106" s="1"/>
  <c r="C367" i="29"/>
  <c r="B3622" i="106" s="1"/>
  <c r="D3622" i="106" s="1"/>
  <c r="B3670" i="106"/>
  <c r="D3670" i="106" s="1"/>
  <c r="K352" i="29"/>
  <c r="K342" i="29"/>
  <c r="F13" i="34" s="1"/>
  <c r="L114" i="29"/>
  <c r="C114" i="29"/>
  <c r="B757" i="106" s="1"/>
  <c r="D757" i="106" s="1"/>
  <c r="H8" i="4"/>
  <c r="H10" i="4" s="1"/>
  <c r="B4127" i="106" s="1"/>
  <c r="D4127" i="106" s="1"/>
  <c r="B5527" i="106"/>
  <c r="D5527" i="106" s="1"/>
  <c r="B6024" i="106"/>
  <c r="D6024" i="106" s="1"/>
  <c r="G4" i="4"/>
  <c r="B2603" i="106" s="1"/>
  <c r="D2603" i="106" s="1"/>
  <c r="D274" i="5"/>
  <c r="B5507" i="106" s="1"/>
  <c r="D5507" i="106" s="1"/>
  <c r="D4" i="4"/>
  <c r="B2564" i="106" s="1"/>
  <c r="D2564" i="106" s="1"/>
  <c r="C173" i="5"/>
  <c r="B5223" i="106" s="1"/>
  <c r="D522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D275" i="5"/>
  <c r="B7298" i="106"/>
  <c r="B7299" i="106"/>
  <c r="K13" i="4" l="1"/>
  <c r="B3572" i="106" s="1"/>
  <c r="D3572" i="106" s="1"/>
  <c r="B3672" i="106"/>
  <c r="D3672" i="106" s="1"/>
  <c r="D7" i="4"/>
  <c r="K367" i="29"/>
  <c r="K368" i="29" s="1"/>
  <c r="B3681" i="106" s="1"/>
  <c r="D3681" i="106" s="1"/>
  <c r="J8" i="4"/>
  <c r="B7224" i="106"/>
  <c r="D7224" i="106" s="1"/>
  <c r="J17" i="4"/>
  <c r="B6227" i="106" s="1"/>
  <c r="D6227" i="106" s="1"/>
  <c r="G41" i="108"/>
  <c r="G44" i="108" s="1"/>
  <c r="G45" i="108" s="1"/>
  <c r="E41" i="108"/>
  <c r="E44" i="108" s="1"/>
  <c r="E45" i="108" s="1"/>
  <c r="F8" i="4"/>
  <c r="F10" i="4" s="1"/>
  <c r="B4125" i="106" s="1"/>
  <c r="D4125"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4" l="1"/>
  <c r="J20" i="4"/>
  <c r="B6230" i="106" s="1"/>
  <c r="D6230" i="106" s="1"/>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<sst xmlns="http://schemas.openxmlformats.org/spreadsheetml/2006/main" count="5110" uniqueCount="2141">
  <si>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</si>
  <si>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</si>
  <si>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</si>
  <si>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</si>
  <si>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</si>
  <si>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</si>
  <si>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</si>
  <si>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</si>
  <si>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</si>
  <si>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</si>
  <si>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</si>
  <si>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</si>
  <si>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</si>
  <si>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</si>
  <si>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</si>
  <si>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</si>
  <si>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</si>
  <si>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</si>
  <si>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</si>
  <si>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</si>
  <si>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</si>
  <si>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</si>
  <si>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</si>
  <si>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</si>
  <si>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</si>
  <si>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</si>
  <si>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</si>
  <si>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</si>
  <si>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</si>
  <si>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</si>
  <si>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</si>
  <si>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</si>
  <si>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</si>
  <si>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</si>
  <si>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</si>
  <si>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</si>
  <si>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</si>
  <si>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</si>
  <si>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</si>
  <si>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</si>
  <si>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</si>
  <si>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</si>
  <si>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</si>
  <si>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</si>
  <si>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</si>
  <si>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</si>
  <si>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</si>
  <si>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</si>
  <si>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</si>
  <si>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</si>
  <si>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</si>
  <si>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</si>
  <si>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</si>
  <si>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</si>
  <si>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</si>
  <si>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</si>
  <si>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</si>
  <si>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</si>
  <si>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</si>
  <si>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</si>
  <si>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</si>
  <si>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</si>
  <si>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</si>
  <si>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</si>
  <si>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</si>
  <si>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</si>
  <si>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</si>
  <si>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</si>
  <si>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</si>
  <si>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</si>
  <si>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</si>
  <si>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</si>
  <si>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</si>
  <si>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</si>
  <si>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</si>
  <si>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</si>
  <si>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</si>
  <si>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</si>
  <si>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</si>
  <si>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</si>
  <si>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</si>
  <si>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</si>
  <si>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</si>
  <si>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</si>
  <si>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</si>
  <si>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</si>
  <si>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</si>
  <si>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</si>
  <si>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</si>
  <si>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</si>
  <si>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</si>
  <si>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</si>
  <si>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</si>
  <si>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</si>
  <si>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</si>
  <si>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</si>
  <si>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</si>
  <si>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</si>
  <si>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</si>
  <si>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</si>
  <si>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</si>
  <si>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</si>
  <si>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</si>
  <si>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</si>
  <si>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</si>
  <si>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</si>
  <si>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</si>
  <si>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</si>
  <si>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</si>
  <si>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</si>
  <si>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</si>
  <si>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</si>
  <si>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</si>
  <si>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</si>
  <si>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</si>
  <si>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</si>
  <si>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</si>
  <si>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</si>
  <si>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</si>
  <si>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</si>
  <si>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</si>
  <si>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</si>
  <si>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</si>
  <si>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</si>
  <si>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</si>
  <si>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</si>
  <si>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</si>
  <si>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</si>
  <si>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</si>
  <si>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</si>
  <si>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</si>
  <si>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</si>
  <si>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</si>
  <si>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</si>
  <si>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</si>
  <si>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</si>
  <si>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</si>
  <si>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</si>
  <si>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</si>
  <si>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</si>
  <si>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</si>
  <si>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</si>
  <si>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</si>
  <si>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</si>
  <si>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</si>
  <si>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</si>
  <si>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</si>
  <si>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</si>
  <si>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</si>
  <si>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</si>
  <si>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</si>
  <si>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</si>
  <si>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</si>
  <si>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</si>
  <si>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</si>
  <si>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</si>
  <si>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</si>
  <si>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</si>
  <si>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</si>
  <si>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</si>
  <si>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</si>
  <si>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</si>
  <si>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</si>
  <si>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</si>
  <si>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</si>
  <si>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</si>
  <si>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</si>
  <si>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</si>
  <si>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</si>
  <si>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</si>
  <si>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</si>
  <si>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</si>
  <si>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</si>
  <si>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</si>
  <si>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</si>
  <si>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</si>
  <si>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</si>
  <si>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</si>
  <si>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</si>
  <si>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</si>
  <si>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</si>
  <si>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</si>
  <si>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</si>
  <si>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</si>
  <si>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</si>
  <si>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</si>
  <si>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</si>
  <si>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</si>
  <si>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</si>
  <si>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</si>
  <si>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</si>
  <si>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</si>
  <si>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</si>
  <si>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</si>
  <si>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</si>
  <si>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</si>
  <si>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</si>
  <si>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</si>
  <si>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</si>
  <si>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</si>
  <si>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</si>
  <si>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</si>
  <si>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</si>
  <si>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</si>
  <si>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</si>
  <si>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</si>
  <si>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</si>
  <si>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</si>
  <si>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</si>
  <si>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</si>
  <si>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</si>
  <si>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</si>
  <si>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</si>
  <si>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</si>
  <si>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</si>
  <si>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</si>
  <si>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</si>
  <si>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</si>
  <si>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</si>
  <si>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</si>
  <si>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</si>
  <si>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</si>
  <si>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</si>
  <si>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</si>
  <si>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</si>
  <si>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</si>
  <si>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</si>
  <si>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</si>
  <si>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</si>
  <si>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</si>
  <si>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</si>
  <si>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</si>
  <si>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</si>
  <si>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</si>
  <si>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</si>
  <si>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</si>
  <si>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</si>
  <si>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</si>
  <si>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</si>
  <si>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</si>
  <si>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</si>
  <si>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</si>
  <si>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</si>
  <si>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</si>
  <si>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</si>
  <si>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</si>
  <si>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</si>
  <si>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</si>
  <si>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</si>
  <si>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</si>
  <si>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</si>
  <si>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</si>
  <si>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</si>
  <si>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</si>
  <si>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</si>
  <si>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</si>
  <si>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</si>
  <si>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</si>
  <si>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</si>
  <si>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</si>
  <si>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</si>
  <si>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</si>
  <si>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</si>
  <si>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</si>
  <si>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</si>
  <si>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</si>
  <si>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</si>
  <si>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</si>
  <si>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</si>
  <si>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</si>
  <si>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</si>
  <si>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</si>
  <si>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</si>
  <si>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</si>
  <si>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</si>
  <si>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</si>
  <si>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</si>
  <si>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</si>
  <si>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</si>
  <si>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</si>
  <si>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</si>
  <si>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</si>
  <si>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</si>
  <si>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</si>
  <si>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</si>
  <si>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</si>
  <si>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</si>
  <si>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</si>
  <si>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</si>
  <si>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</si>
  <si>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</si>
  <si>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</si>
  <si>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</si>
  <si>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</si>
  <si>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</si>
  <si>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</si>
  <si>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</si>
  <si>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</si>
  <si>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</si>
  <si>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</si>
  <si>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</si>
  <si>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</si>
  <si>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</si>
  <si>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</si>
  <si>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</si>
  <si>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</si>
  <si>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</si>
  <si>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</si>
  <si>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</si>
  <si>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</si>
  <si>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</si>
  <si>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</si>
  <si>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</si>
  <si>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</si>
  <si>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</si>
  <si>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</si>
  <si>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</si>
  <si>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</si>
  <si>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</si>
  <si>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</si>
  <si>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</si>
  <si>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</si>
  <si>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</si>
  <si>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</si>
  <si>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</si>
  <si>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</si>
  <si>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</si>
  <si>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</si>
  <si>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</si>
  <si>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</si>
  <si>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</si>
  <si>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</si>
  <si>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</si>
  <si>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</si>
  <si>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</si>
  <si>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</si>
  <si>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</si>
  <si>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</si>
  <si>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</si>
  <si>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</si>
  <si>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</si>
  <si>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</si>
  <si>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</si>
  <si>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</si>
  <si>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</si>
  <si>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</si>
  <si>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</si>
  <si>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</si>
  <si>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</si>
  <si>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</si>
  <si>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</si>
  <si>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</si>
  <si>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</si>
  <si>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</si>
  <si>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</si>
  <si>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</si>
  <si>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</si>
  <si>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</si>
  <si>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</si>
  <si>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</si>
  <si>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</si>
  <si>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</si>
  <si>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</si>
  <si>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</si>
  <si>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</si>
  <si>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</si>
  <si>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</si>
  <si>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</si>
  <si>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</si>
  <si>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</si>
  <si>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</si>
  <si>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</si>
  <si>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</si>
  <si>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</si>
  <si>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</si>
  <si>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</si>
  <si>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</si>
  <si>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</si>
  <si>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</si>
  <si>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</si>
  <si>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</si>
  <si>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</si>
  <si>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</si>
  <si>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</si>
  <si>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</si>
  <si>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</si>
  <si>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</si>
  <si>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</si>
  <si>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</si>
  <si>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</si>
  <si>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</si>
  <si>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</si>
  <si>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</si>
  <si>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</si>
  <si>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</si>
  <si>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</si>
  <si>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</si>
  <si>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</si>
  <si>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</si>
  <si>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</si>
  <si>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</si>
  <si>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</si>
  <si>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</si>
  <si>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</si>
  <si>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</si>
  <si>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</si>
  <si>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</si>
  <si>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</si>
  <si>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</si>
  <si>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</si>
  <si>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</si>
  <si>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</si>
  <si>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</si>
  <si>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</si>
  <si>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</si>
  <si>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</si>
  <si>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</si>
  <si>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</si>
  <si>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</si>
  <si>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</si>
  <si>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</si>
  <si>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</si>
  <si>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</si>
  <si>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</si>
  <si>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</si>
  <si>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</si>
  <si>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</si>
  <si>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</si>
  <si>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</si>
  <si>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</si>
  <si>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</si>
  <si>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</si>
  <si>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</si>
  <si>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</si>
  <si>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</si>
  <si>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</si>
  <si>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</si>
  <si>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</si>
  <si>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</si>
  <si>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</si>
  <si>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</si>
  <si>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</si>
  <si>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</si>
  <si>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</si>
  <si>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</si>
  <si>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</si>
  <si>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</si>
  <si>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</si>
  <si>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</si>
  <si>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</si>
  <si>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</si>
  <si>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</si>
  <si>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</si>
  <si>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</si>
  <si>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</si>
  <si>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</si>
  <si>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</si>
  <si>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</si>
  <si>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</si>
  <si>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</si>
  <si>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</si>
  <si>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</si>
  <si>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</si>
  <si>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</si>
  <si>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</si>
  <si>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</si>
  <si>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</si>
  <si>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</si>
  <si>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</si>
  <si>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</si>
  <si>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</si>
  <si>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</si>
  <si>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</si>
  <si>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</si>
  <si>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</si>
  <si>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</si>
  <si>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</si>
  <si>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</si>
  <si>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</si>
  <si>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</si>
  <si>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</si>
  <si>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</si>
  <si>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</si>
  <si>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</si>
  <si>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</si>
  <si>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</si>
  <si>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</si>
  <si>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</si>
  <si>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</si>
  <si>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</si>
  <si>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</si>
  <si>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</si>
  <si>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</si>
  <si>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</si>
  <si>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</si>
  <si>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</si>
  <si>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</si>
  <si>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</si>
  <si>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</si>
  <si>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</si>
  <si>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</si>
  <si>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</si>
  <si>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</si>
  <si>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</si>
  <si>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</si>
  <si>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</si>
  <si>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</si>
  <si>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</si>
  <si>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</si>
  <si>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</si>
  <si>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</si>
  <si>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</si>
  <si>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</si>
  <si>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</si>
  <si>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</si>
  <si>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</si>
  <si>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</si>
  <si>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</si>
  <si>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</si>
  <si>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</si>
  <si>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</si>
  <si>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</si>
  <si>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</si>
  <si>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</si>
  <si>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</si>
  <si>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</si>
  <si>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</si>
  <si>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</si>
  <si>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</si>
  <si>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</si>
  <si>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</si>
  <si>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</si>
  <si>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</si>
  <si>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</si>
  <si>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</si>
  <si>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</si>
  <si>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</si>
  <si>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</si>
  <si>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</si>
  <si>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</si>
  <si>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</si>
  <si>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</si>
  <si>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</si>
  <si>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</si>
  <si>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</si>
  <si>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</si>
  <si>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</si>
  <si>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</si>
  <si>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</si>
  <si>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</si>
  <si>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</si>
  <si>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</si>
  <si>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</si>
  <si>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</si>
  <si>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</si>
  <si>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</si>
  <si>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</si>
  <si>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</si>
  <si>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</si>
  <si>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</si>
  <si>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</si>
  <si>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</si>
  <si>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</si>
  <si>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</si>
  <si>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</si>
  <si>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</si>
  <si>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</si>
  <si>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</si>
  <si>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</si>
  <si>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</si>
  <si>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</si>
  <si>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</si>
  <si>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</si>
  <si>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</si>
  <si>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</si>
  <si>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</si>
  <si>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</si>
  <si>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</si>
  <si>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</si>
  <si>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</si>
  <si>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</si>
  <si>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</si>
  <si>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</si>
  <si>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</si>
  <si>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</si>
  <si>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</si>
  <si>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</si>
  <si>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</si>
  <si>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</si>
  <si>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</si>
  <si>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</si>
  <si>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</si>
  <si>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</si>
  <si>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</si>
  <si>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</si>
  <si>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</si>
  <si>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</si>
  <si>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</si>
  <si>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</si>
  <si>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</si>
  <si>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</si>
  <si>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</si>
  <si>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</si>
  <si>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</si>
  <si>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</si>
  <si>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</si>
  <si>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</si>
  <si>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</si>
  <si>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</si>
  <si>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</si>
  <si>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</si>
  <si>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</si>
  <si>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</si>
  <si>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</si>
  <si>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</si>
  <si>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</si>
  <si>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</si>
  <si>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</si>
  <si>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</si>
  <si>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</si>
  <si>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</si>
  <si>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</si>
  <si>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</si>
  <si>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</si>
  <si>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</si>
  <si>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</si>
  <si>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</si>
  <si>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</si>
  <si>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</si>
  <si>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</si>
  <si>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</si>
  <si>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</si>
  <si>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</si>
  <si>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</si>
  <si>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</si>
  <si>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</si>
  <si>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</si>
  <si>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</si>
  <si>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</si>
  <si>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</si>
  <si>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</si>
  <si>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</si>
  <si>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</si>
  <si>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</si>
  <si>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</si>
  <si>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</si>
  <si>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</si>
  <si>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</si>
  <si>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</si>
  <si>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</si>
  <si>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</si>
  <si>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</si>
  <si>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</si>
  <si>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</si>
  <si>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</si>
  <si>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</si>
  <si>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</si>
  <si>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</si>
  <si>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</si>
  <si>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</si>
  <si>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</si>
  <si>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</si>
  <si>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</si>
  <si>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</si>
  <si>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</si>
  <si>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</si>
  <si>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</si>
  <si>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</si>
  <si>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</si>
  <si>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</si>
  <si>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</si>
  <si>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</si>
  <si>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</si>
  <si>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</si>
  <si>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</si>
  <si>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</si>
  <si>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</si>
  <si>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</si>
  <si>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</si>
  <si>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</si>
  <si>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</si>
  <si>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</si>
  <si>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</si>
  <si>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</si>
  <si>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</si>
  <si>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</si>
  <si>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</si>
  <si>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</si>
  <si>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</si>
  <si>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</si>
  <si>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</si>
  <si>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</si>
  <si>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</si>
  <si>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</si>
  <si>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</si>
  <si>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</si>
  <si>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</si>
  <si>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</si>
  <si>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</si>
  <si>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</si>
  <si>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</si>
  <si>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</si>
  <si>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</si>
  <si>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</si>
  <si>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</si>
  <si>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</si>
  <si>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</si>
  <si>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</si>
  <si>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</si>
  <si>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</si>
  <si>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</si>
  <si>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</si>
  <si>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</si>
  <si>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</si>
  <si>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</si>
  <si>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</si>
  <si>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</si>
  <si>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</si>
  <si>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</si>
  <si>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</si>
  <si>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</si>
  <si>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</si>
  <si>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</si>
  <si>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</si>
  <si>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</si>
  <si>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</si>
  <si>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</si>
  <si>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</si>
  <si>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</si>
  <si>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</si>
  <si>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</si>
  <si>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</si>
  <si>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</si>
  <si>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</si>
  <si>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</si>
  <si>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</si>
  <si>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</si>
  <si>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</si>
  <si>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</si>
  <si>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</si>
  <si>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</si>
  <si>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</si>
  <si>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</si>
  <si>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</si>
  <si>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</si>
  <si>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</si>
  <si>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</si>
  <si>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</si>
  <si>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</si>
  <si>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</si>
  <si>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</si>
  <si>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</si>
  <si>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</si>
  <si>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</si>
  <si>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</si>
  <si>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</si>
  <si>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</si>
  <si>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</si>
  <si>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</si>
  <si>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</si>
  <si>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</si>
  <si>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</si>
  <si>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</si>
  <si>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</si>
  <si>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</si>
  <si>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</si>
  <si>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</si>
  <si>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</si>
  <si>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</si>
  <si>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</si>
  <si>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</si>
  <si>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</si>
  <si>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</si>
  <si>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</si>
  <si>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</si>
  <si>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</si>
  <si>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</si>
  <si>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</si>
  <si>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</si>
  <si>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</si>
  <si>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</si>
  <si>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</si>
  <si>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</si>
  <si>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</si>
  <si>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</si>
  <si>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</si>
  <si>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</si>
  <si>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</si>
  <si>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</si>
  <si>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</si>
  <si>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</si>
  <si>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</si>
  <si>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</si>
  <si>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</si>
  <si>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</si>
  <si>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</si>
  <si>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</si>
  <si>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</si>
  <si>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</si>
  <si>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</si>
  <si>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</si>
  <si>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</si>
  <si>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</si>
  <si>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</si>
  <si>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</si>
  <si>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</si>
  <si>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</si>
  <si>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</si>
  <si>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</si>
  <si>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</si>
  <si>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</si>
  <si>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</si>
  <si>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</si>
  <si>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</si>
  <si>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</si>
  <si>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</si>
  <si>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</si>
  <si>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</si>
  <si>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</si>
  <si>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</si>
  <si>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</si>
  <si>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</si>
  <si>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</si>
  <si>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</si>
  <si>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</si>
  <si>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</si>
  <si>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</si>
  <si>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</si>
  <si>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</si>
  <si>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</si>
  <si>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</si>
  <si>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</si>
  <si>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</si>
  <si>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</si>
  <si>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</si>
  <si>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</si>
  <si>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</si>
  <si>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</si>
  <si>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</si>
  <si>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</si>
  <si>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</si>
  <si>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</si>
  <si>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</si>
  <si>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</si>
  <si>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</si>
  <si>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</si>
  <si>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</si>
  <si>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</si>
  <si>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</si>
  <si>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</si>
  <si>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</si>
  <si>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</si>
  <si>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</si>
  <si>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</si>
  <si>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</si>
  <si>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</si>
  <si>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</si>
  <si>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</si>
  <si>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</si>
  <si>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</si>
  <si>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</si>
  <si>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</si>
  <si>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</si>
  <si>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</si>
  <si>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</si>
  <si>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</si>
  <si>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</si>
  <si>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</si>
  <si>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</si>
  <si>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</si>
  <si>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</si>
  <si>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</si>
  <si>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</si>
  <si>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</si>
  <si>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</si>
  <si>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</si>
  <si>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</si>
  <si>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</si>
  <si>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</si>
  <si>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</si>
  <si>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</si>
  <si>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</si>
  <si>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</si>
  <si>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</si>
  <si>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</si>
  <si>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</si>
  <si>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</si>
  <si>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</si>
  <si>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</si>
  <si>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</si>
  <si>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</si>
  <si>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</si>
  <si>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</si>
  <si>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</si>
  <si>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</si>
  <si>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</si>
  <si>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</si>
  <si>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</si>
  <si>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</si>
  <si>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</si>
  <si>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</si>
  <si>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</si>
  <si>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</si>
  <si>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</si>
  <si>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</si>
  <si>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</si>
  <si>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</si>
  <si>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</si>
  <si>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</si>
  <si>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</si>
  <si>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</si>
  <si>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</si>
  <si>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</si>
  <si>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</si>
  <si>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</si>
  <si>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</si>
  <si>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</si>
  <si>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</si>
  <si>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</si>
  <si>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</si>
  <si>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</si>
  <si>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</si>
  <si>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</si>
  <si>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</si>
  <si>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</si>
  <si>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</si>
  <si>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</si>
  <si>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</si>
  <si>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</si>
  <si>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</si>
  <si>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</si>
  <si>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</si>
  <si>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</si>
  <si>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</si>
  <si>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</si>
  <si>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</si>
  <si>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</si>
  <si>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</si>
  <si>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</si>
  <si>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</si>
  <si>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</si>
  <si>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</si>
  <si>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</si>
  <si>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</si>
  <si>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</si>
  <si>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</si>
  <si>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</si>
  <si>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</si>
  <si>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</si>
  <si>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</si>
  <si>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</si>
  <si>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</si>
  <si>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</si>
  <si>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</si>
  <si>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</si>
  <si>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</si>
  <si>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</si>
  <si>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</si>
  <si>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</si>
  <si>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</si>
  <si>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</si>
  <si>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</si>
  <si>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</si>
  <si>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</si>
  <si>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</si>
  <si>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</si>
  <si>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</si>
  <si>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</si>
  <si>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</si>
  <si>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</si>
  <si>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</si>
  <si>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</si>
  <si>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</si>
  <si>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</si>
  <si>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</si>
  <si>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</si>
  <si>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</si>
  <si>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</si>
  <si>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</si>
  <si>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</si>
  <si>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</si>
  <si>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</si>
  <si>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</si>
  <si>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</si>
  <si>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</si>
  <si>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</si>
  <si>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</si>
  <si>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</si>
  <si>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</si>
  <si>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</si>
  <si>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</si>
  <si>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</si>
  <si>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</si>
  <si>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</si>
  <si>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</si>
  <si>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</si>
  <si>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</si>
  <si>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</si>
  <si>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</si>
  <si>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</si>
  <si>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</si>
  <si>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</si>
  <si>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</si>
  <si>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</si>
  <si>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</si>
  <si>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</si>
  <si>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</si>
  <si>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</si>
  <si>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</si>
  <si>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</si>
  <si>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</si>
  <si>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</si>
  <si>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</si>
  <si>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</si>
  <si>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</si>
  <si>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</si>
  <si>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</si>
  <si>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</si>
  <si>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</si>
  <si>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</si>
  <si>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</si>
  <si>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</si>
  <si>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</si>
  <si>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</si>
  <si>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</si>
  <si>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</si>
  <si>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</si>
  <si>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</si>
  <si>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</si>
  <si>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</si>
  <si>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</si>
  <si>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</si>
  <si>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</si>
  <si>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</si>
  <si>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</si>
  <si>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</si>
  <si>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</si>
  <si>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</si>
  <si>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</si>
  <si>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</si>
  <si>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</si>
  <si>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</si>
  <si>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</si>
  <si>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</si>
  <si>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</si>
  <si>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</si>
  <si>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</si>
  <si>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</si>
  <si>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</si>
  <si>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</si>
  <si>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</si>
  <si>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</si>
  <si>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</si>
  <si>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</si>
  <si>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</si>
  <si>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</si>
  <si>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</si>
  <si>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</si>
  <si>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</si>
  <si>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</si>
  <si>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</si>
  <si>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</si>
  <si>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</si>
  <si>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</si>
  <si>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</si>
  <si>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</si>
  <si>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</si>
  <si>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</si>
  <si>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</si>
  <si>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</si>
  <si>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</si>
  <si>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</si>
  <si>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</si>
  <si>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</si>
  <si>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</si>
  <si>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</si>
  <si>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</si>
  <si>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</si>
  <si>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</si>
  <si>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</si>
  <si>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</si>
  <si>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</si>
  <si>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</si>
  <si>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</si>
  <si>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</si>
  <si>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</si>
  <si>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</si>
  <si>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</si>
  <si>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</si>
  <si>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</si>
  <si>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</si>
  <si>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</si>
  <si>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</si>
  <si>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</si>
  <si>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</si>
  <si>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</si>
  <si>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</si>
  <si>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</si>
  <si>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</si>
  <si>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</si>
  <si>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</si>
  <si>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</si>
  <si>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</si>
  <si>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</si>
  <si>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</si>
  <si>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</si>
  <si>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</si>
  <si>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</si>
  <si>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</si>
  <si>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</si>
  <si>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</si>
  <si>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</si>
  <si>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</si>
  <si>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</si>
  <si>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</si>
  <si>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</si>
  <si>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</si>
  <si>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</si>
  <si>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</si>
  <si>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</si>
  <si>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</si>
  <si>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</si>
  <si>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</si>
  <si>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</si>
  <si>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</si>
  <si>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</si>
  <si>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</si>
  <si>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</si>
  <si>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</si>
  <si>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</si>
  <si>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</si>
  <si>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</si>
  <si>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</si>
  <si>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</si>
  <si>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</si>
  <si>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</si>
  <si>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</si>
  <si>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</si>
  <si>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</si>
  <si>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</si>
  <si>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</si>
  <si>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</si>
  <si>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</si>
  <si>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</si>
  <si>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</si>
  <si>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</si>
  <si>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</si>
  <si>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</si>
  <si>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</si>
  <si>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</si>
  <si>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</si>
  <si>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</si>
  <si>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</si>
  <si>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</si>
  <si>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</si>
  <si>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</si>
  <si>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</si>
  <si>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</si>
  <si>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</si>
  <si>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</si>
  <si>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</si>
  <si>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</si>
  <si>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</si>
  <si>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</si>
  <si>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</si>
  <si>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</si>
  <si>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</si>
  <si>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</si>
  <si>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</si>
  <si>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</si>
  <si>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</si>
  <si>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</si>
  <si>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</si>
  <si>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</si>
  <si>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</si>
  <si>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</si>
  <si>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</si>
  <si>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</si>
  <si>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</si>
  <si>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</si>
  <si>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</si>
  <si>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</si>
  <si>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</si>
  <si>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</si>
  <si>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</si>
  <si>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</si>
  <si>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</si>
  <si>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</si>
  <si>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</si>
  <si>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</si>
  <si>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</si>
  <si>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</si>
  <si>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</si>
  <si>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</si>
  <si>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</si>
  <si>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</si>
  <si>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</si>
  <si>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</si>
  <si>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</si>
  <si>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</si>
  <si>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</si>
  <si>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</si>
  <si>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</si>
  <si>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</si>
  <si>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</si>
  <si>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</si>
  <si>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</si>
  <si>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</si>
  <si>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</si>
  <si>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</si>
  <si>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</si>
  <si>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</si>
  <si>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</si>
  <si>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</si>
  <si>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</si>
  <si>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</si>
  <si>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</si>
  <si>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</si>
  <si>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</si>
  <si>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</si>
  <si>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</si>
  <si>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</si>
  <si>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</si>
  <si>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</si>
  <si>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</si>
  <si>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</si>
  <si>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</si>
  <si>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</si>
  <si>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</si>
  <si>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</si>
  <si>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</si>
  <si>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</si>
  <si>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</si>
  <si>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</si>
  <si>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</si>
  <si>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</si>
  <si>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</si>
  <si>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</si>
  <si>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</si>
  <si>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</si>
  <si>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</si>
  <si>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</si>
  <si>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</si>
  <si>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</si>
  <si>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</si>
  <si>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</si>
  <si>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</si>
  <si>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</si>
  <si>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</si>
  <si>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</si>
  <si>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</si>
  <si>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</si>
  <si>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</si>
  <si>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</si>
  <si>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</si>
  <si>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</si>
  <si>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</si>
  <si>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</si>
  <si>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</si>
  <si>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</si>
  <si>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</si>
  <si>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</si>
  <si>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</si>
  <si>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</si>
  <si>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</si>
  <si>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</si>
  <si>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</si>
  <si>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</si>
  <si>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</si>
  <si>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</si>
  <si>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</si>
  <si>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</si>
  <si>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</si>
  <si>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</si>
  <si>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</si>
  <si>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</si>
  <si>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</si>
  <si>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</si>
  <si>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</si>
  <si>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</si>
  <si>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</si>
  <si>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</si>
  <si>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</si>
  <si>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</si>
  <si>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</si>
  <si>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</si>
  <si>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</si>
  <si>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</si>
  <si>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</si>
  <si>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</si>
  <si>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</si>
  <si>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</si>
  <si>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</si>
  <si>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</si>
  <si>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</si>
  <si>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</si>
  <si>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</si>
  <si>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</si>
  <si>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</si>
  <si>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</si>
  <si>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</si>
  <si>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</si>
  <si>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</si>
  <si>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</si>
  <si>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</si>
  <si>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</si>
  <si>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</si>
  <si>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</si>
  <si>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</si>
  <si>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</si>
  <si>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</si>
  <si>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</si>
  <si>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</si>
  <si>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</si>
  <si>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</si>
  <si>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</si>
  <si>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</si>
  <si>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</si>
  <si>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</si>
  <si>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</si>
  <si>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</si>
  <si>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</si>
  <si>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</si>
  <si>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</si>
  <si>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</si>
  <si>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</si>
  <si>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</si>
  <si>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</si>
  <si>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</si>
  <si>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</si>
  <si>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</si>
  <si>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</si>
  <si>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</si>
  <si>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</si>
  <si>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</si>
  <si>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</si>
  <si>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</si>
  <si>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</si>
  <si>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</si>
  <si>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</si>
  <si>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</si>
  <si>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</si>
  <si>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</si>
  <si>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</si>
  <si>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</si>
  <si>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</si>
  <si>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</si>
  <si>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</si>
  <si>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</si>
  <si>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</si>
  <si>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</si>
  <si>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</si>
  <si>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</si>
  <si>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</si>
  <si>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</si>
  <si>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</si>
  <si>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</si>
  <si>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</si>
  <si>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</si>
  <si>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</si>
  <si>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</si>
  <si>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</si>
  <si>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</si>
  <si>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</si>
  <si>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</si>
  <si>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</si>
  <si>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</si>
  <si>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</si>
  <si>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</si>
  <si>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</si>
  <si>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</si>
  <si>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</si>
  <si>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</si>
  <si>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</si>
  <si>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</si>
  <si>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</si>
  <si>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</si>
  <si>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</si>
  <si>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</si>
  <si>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</si>
  <si>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</si>
  <si>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</si>
  <si>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</si>
  <si>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</si>
  <si>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</si>
  <si>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</si>
  <si>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</si>
  <si>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</si>
  <si>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</si>
  <si>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</si>
  <si>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</si>
  <si>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</si>
  <si>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</si>
  <si>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</si>
  <si>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</si>
  <si>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</si>
  <si>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</si>
  <si>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</si>
  <si>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</si>
  <si>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</si>
  <si>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</si>
  <si>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</si>
  <si>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</si>
  <si>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</si>
  <si>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</si>
  <si>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</si>
  <si>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</si>
  <si>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</si>
  <si>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</si>
  <si>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</si>
  <si>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</si>
  <si>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</si>
  <si>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</si>
  <si>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</si>
  <si>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</si>
  <si>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</si>
  <si>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</si>
  <si>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</si>
  <si>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</si>
  <si>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</si>
  <si>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</si>
  <si>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</si>
  <si>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</si>
  <si>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</si>
  <si>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</si>
  <si>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</si>
  <si>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</si>
  <si>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</si>
  <si>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</si>
  <si>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</si>
  <si>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</si>
  <si>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</si>
  <si>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</si>
  <si>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</si>
  <si>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</si>
  <si>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</si>
  <si>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</si>
  <si>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</si>
  <si>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</si>
  <si>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</si>
  <si>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</si>
  <si>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</si>
  <si>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</si>
  <si>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</si>
  <si>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</si>
  <si>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</si>
  <si>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</si>
  <si>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</si>
  <si>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</si>
  <si>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</si>
  <si>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</si>
  <si>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</si>
  <si>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</si>
  <si>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</si>
  <si>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</si>
  <si>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</si>
  <si>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</si>
  <si>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</si>
  <si>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</si>
  <si>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</si>
  <si>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</si>
  <si>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</si>
  <si>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</si>
  <si>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</si>
  <si>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</si>
  <si>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</si>
  <si>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</si>
  <si>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</si>
  <si>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</si>
  <si>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</si>
  <si>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</si>
  <si>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</si>
  <si>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</si>
  <si>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</si>
  <si>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</si>
  <si>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</si>
  <si>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</si>
  <si>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</si>
  <si>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</si>
  <si>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</si>
  <si>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</si>
  <si>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</si>
  <si>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</si>
  <si>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</si>
  <si>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</si>
  <si>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</si>
  <si>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</si>
  <si>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</si>
  <si>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</si>
  <si>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</si>
  <si>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</si>
  <si>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</si>
  <si>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</si>
  <si>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</si>
  <si>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</si>
  <si>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</si>
  <si>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</si>
  <si>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</si>
  <si>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</si>
  <si>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</si>
  <si>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</si>
  <si>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</si>
  <si>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</si>
  <si>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</si>
  <si>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</si>
  <si>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</si>
  <si>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</si>
  <si>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</si>
  <si>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</si>
  <si>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</si>
  <si>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</si>
  <si>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</si>
  <si>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</si>
  <si>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</si>
  <si>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</si>
  <si>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</si>
  <si>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</si>
  <si>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</si>
  <si>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</si>
  <si>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</si>
  <si>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</si>
  <si>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</si>
  <si>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</si>
  <si>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</si>
  <si>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</si>
  <si>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</si>
  <si>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</si>
  <si>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</si>
  <si>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</si>
  <si>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</si>
  <si>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</si>
  <si>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</si>
  <si>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</si>
  <si>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</si>
  <si>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</si>
  <si>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</si>
  <si>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</si>
  <si>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</si>
  <si>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</si>
  <si>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</si>
  <si>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</si>
  <si>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</si>
  <si>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</si>
  <si>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</si>
  <si>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</si>
  <si>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</si>
  <si>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</si>
  <si>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</si>
  <si>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</si>
  <si>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</si>
  <si>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</si>
  <si>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</si>
  <si>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</si>
  <si>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</si>
  <si>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</si>
  <si>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</si>
  <si>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</si>
  <si>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</si>
  <si>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</si>
  <si>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</si>
  <si>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</si>
  <si>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</si>
  <si>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</si>
  <si>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</si>
  <si>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</si>
  <si>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</si>
  <si>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</si>
  <si>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</si>
  <si>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</si>
  <si>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</si>
  <si>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</si>
  <si>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</si>
  <si>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</si>
  <si>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</si>
  <si>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</si>
  <si>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</si>
  <si>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</si>
  <si>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</si>
  <si>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</si>
  <si>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</si>
  <si>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</si>
  <si>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</si>
  <si>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</si>
  <si>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</si>
  <si>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</si>
  <si>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</si>
  <si>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</si>
  <si>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</si>
  <si>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</si>
  <si>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</si>
  <si>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</si>
  <si>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</si>
  <si>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</si>
  <si>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</si>
  <si>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</si>
  <si>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</si>
  <si>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</si>
  <si>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</si>
  <si>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</si>
  <si>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</si>
  <si>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</si>
  <si>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</si>
  <si>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</si>
  <si>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</si>
  <si>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</si>
  <si>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</si>
  <si>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</si>
  <si>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</si>
  <si>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</si>
  <si>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</si>
  <si>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</si>
  <si>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</si>
  <si>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</si>
  <si>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</si>
  <si>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</si>
  <si>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</si>
  <si>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</si>
  <si>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</si>
  <si>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</si>
  <si>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</si>
  <si>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</si>
  <si>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</si>
  <si>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</si>
  <si>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</si>
  <si>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</si>
  <si>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</si>
  <si>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</si>
  <si>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</si>
  <si>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</si>
  <si>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</si>
  <si>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</si>
  <si>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</si>
  <si>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</si>
  <si>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</si>
  <si>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</si>
  <si>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</si>
  <si>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</si>
  <si>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</si>
  <si>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</si>
  <si>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</si>
  <si>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</si>
  <si>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</si>
  <si>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</si>
  <si>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</si>
  <si>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</si>
  <si>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</si>
  <si>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</si>
  <si>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</si>
  <si>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</si>
  <si>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</si>
  <si>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</si>
  <si>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</si>
  <si>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</si>
  <si>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</si>
  <si>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</si>
  <si>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</si>
  <si>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</si>
  <si>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</si>
  <si>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</si>
  <si>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</si>
  <si>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</si>
  <si>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</si>
  <si>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</si>
  <si>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</si>
  <si>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</si>
  <si>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</si>
  <si>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</si>
  <si>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</si>
  <si>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</si>
  <si>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</si>
  <si>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</si>
  <si>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</si>
  <si>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</si>
  <si>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</si>
  <si>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</si>
  <si>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</si>
  <si>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</si>
  <si>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</si>
  <si>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</si>
  <si>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</si>
  <si>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</si>
  <si>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</si>
  <si>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</si>
  <si>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</si>
  <si>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</si>
  <si>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</si>
  <si>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</si>
  <si>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</si>
  <si>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</si>
  <si>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</si>
  <si>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</si>
  <si>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</si>
  <si>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</si>
  <si>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</si>
  <si>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</si>
  <si>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</si>
  <si>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</si>
  <si>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</si>
  <si>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</si>
  <si>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</si>
  <si>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</si>
  <si>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</si>
  <si>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</si>
  <si>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</si>
  <si>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</si>
  <si>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</si>
  <si>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</si>
  <si>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</si>
  <si>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</si>
  <si>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</si>
  <si>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</si>
  <si>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</si>
  <si>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</si>
  <si>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</si>
  <si>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</si>
  <si>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</si>
  <si>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</si>
  <si>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</si>
  <si>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</si>
  <si>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</si>
  <si>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</si>
  <si>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</si>
  <si>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</si>
  <si>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</si>
  <si>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</si>
  <si>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</si>
  <si>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</si>
  <si>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</si>
  <si>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</si>
  <si>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</si>
  <si>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</si>
  <si>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</si>
  <si>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</si>
  <si>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</si>
  <si>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</si>
  <si>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</si>
  <si>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</si>
  <si>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</si>
  <si>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</si>
  <si>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</si>
  <si>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</si>
  <si>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</si>
  <si>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</si>
  <si>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</si>
  <si>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</si>
  <si>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</si>
  <si>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</si>
  <si>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</si>
  <si>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</si>
  <si>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</si>
  <si>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</si>
  <si>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</si>
  <si>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</si>
  <si>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</si>
  <si>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</si>
  <si>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</si>
  <si>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</si>
  <si>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</si>
  <si>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</si>
  <si>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</si>
  <si>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</si>
  <si>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</si>
  <si>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</si>
  <si>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</si>
  <si>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</si>
  <si>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</si>
  <si>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</si>
  <si>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</si>
  <si>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</si>
  <si>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</si>
  <si>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</si>
  <si>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</si>
  <si>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</si>
  <si>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</si>
  <si>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</si>
  <si>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</si>
  <si>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</si>
  <si>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</si>
  <si>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</si>
  <si>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</si>
  <si>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</si>
  <si>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</si>
  <si>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</si>
  <si>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</si>
  <si>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</si>
  <si>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</si>
  <si>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</si>
  <si>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</si>
  <si>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</si>
  <si>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</si>
  <si>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</si>
  <si>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</si>
  <si>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</si>
  <si>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</si>
  <si>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</si>
  <si>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</si>
  <si>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</si>
  <si>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</si>
  <si>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</si>
  <si>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</si>
  <si>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</si>
  <si>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</si>
  <si>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</si>
  <si>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</si>
  <si>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</si>
  <si>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</si>
  <si>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</si>
  <si>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</si>
  <si>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</si>
  <si>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</si>
  <si>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</si>
  <si>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</si>
  <si>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</si>
  <si>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</si>
  <si>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</si>
  <si>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</si>
  <si>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</si>
  <si>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</si>
  <si>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</si>
  <si>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</si>
  <si>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</si>
  <si>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</si>
  <si>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</si>
  <si>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</si>
  <si>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</si>
  <si>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</si>
  <si>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</si>
  <si>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</si>
  <si>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</si>
  <si>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</si>
  <si>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</si>
  <si>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</si>
  <si>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</si>
  <si>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</si>
  <si>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</si>
  <si>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</si>
  <si>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</si>
  <si>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</si>
  <si>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</si>
  <si>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</si>
  <si>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</si>
  <si>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</si>
  <si>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</si>
  <si>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</si>
  <si>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</si>
  <si>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</si>
  <si>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</si>
  <si>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</si>
  <si>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</si>
  <si>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</si>
  <si>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</si>
  <si>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</si>
  <si>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</si>
  <si>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</si>
  <si>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</si>
  <si>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</si>
  <si>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</si>
  <si>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</si>
  <si>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</si>
  <si>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</si>
  <si>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</si>
  <si>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</si>
  <si>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</si>
  <si>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</si>
  <si>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</si>
  <si>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</si>
  <si>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</si>
  <si>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</si>
  <si>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</si>
  <si>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</si>
  <si>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</si>
  <si>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</si>
  <si>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</si>
  <si>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</si>
  <si>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</si>
  <si>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</si>
  <si>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</si>
  <si>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</si>
  <si>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</si>
  <si>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</si>
  <si>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</si>
  <si>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</si>
  <si>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</si>
  <si>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</si>
  <si>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</si>
  <si>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</si>
  <si>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</si>
  <si>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</si>
  <si>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</si>
  <si>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</si>
  <si>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</si>
  <si>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</si>
  <si>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</si>
  <si>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</si>
  <si>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</si>
  <si>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</si>
  <si>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</si>
  <si>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</si>
  <si>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</si>
  <si>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</si>
  <si>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</si>
  <si>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</si>
  <si>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</si>
  <si>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</si>
  <si>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</si>
  <si>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</si>
  <si>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</si>
  <si>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</si>
  <si>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</si>
  <si>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</si>
  <si>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</si>
  <si>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</si>
  <si>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</si>
  <si>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</si>
  <si>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</si>
  <si>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</si>
  <si>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</si>
  <si>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</si>
  <si>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</si>
  <si>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</si>
  <si>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</si>
  <si>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</si>
  <si>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</si>
  <si>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</si>
  <si>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</si>
  <si>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</si>
  <si>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</si>
  <si>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</si>
  <si>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</si>
  <si>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</si>
  <si>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</si>
  <si>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</si>
  <si>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</si>
  <si>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</si>
  <si>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</si>
  <si>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</si>
  <si>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</si>
  <si>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</si>
  <si>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</si>
  <si>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</si>
  <si>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</si>
  <si>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</si>
  <si>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</si>
  <si>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</si>
  <si>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</si>
  <si>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</si>
  <si>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</si>
  <si>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</si>
  <si>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</si>
  <si>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</si>
  <si>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</si>
  <si>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</si>
  <si>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</si>
  <si>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</si>
  <si>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</si>
  <si>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</si>
  <si>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</si>
  <si>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</si>
  <si>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</si>
  <si>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</si>
  <si>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</si>
  <si>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</si>
  <si>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</si>
  <si>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</si>
  <si>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</si>
  <si>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</si>
  <si>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</si>
  <si>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</si>
  <si>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</si>
  <si>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</si>
  <si>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</si>
  <si>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</si>
  <si>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</si>
  <si>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</si>
  <si>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</si>
  <si>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</si>
  <si>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</si>
  <si>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</si>
  <si>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</si>
  <si>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</si>
  <si>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</si>
  <si>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</si>
  <si>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</si>
  <si>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</si>
  <si>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</si>
  <si>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</si>
  <si>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</si>
  <si>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</si>
  <si>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</si>
  <si>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</si>
  <si>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</si>
  <si>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</si>
  <si>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</si>
  <si>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</si>
  <si>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</si>
  <si>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</si>
  <si>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</si>
  <si>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</si>
  <si>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</si>
  <si>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</si>
  <si>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</si>
  <si>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</si>
  <si>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</si>
  <si>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</si>
  <si>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</si>
  <si>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</si>
  <si>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</si>
  <si>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</si>
  <si>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</si>
  <si>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</si>
  <si>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</si>
  <si>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</si>
  <si>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</si>
  <si>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</si>
  <si>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</si>
  <si>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</si>
  <si>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</si>
  <si>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</si>
  <si>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</si>
  <si>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</si>
  <si>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</si>
  <si>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</si>
  <si>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</si>
  <si>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</si>
  <si>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</si>
  <si>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</si>
  <si>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</si>
  <si>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</si>
  <si>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</si>
  <si>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</si>
  <si>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</si>
  <si>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</si>
  <si>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</si>
  <si>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</si>
  <si>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</si>
  <si>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</si>
  <si>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</si>
  <si>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</si>
  <si>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</si>
  <si>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</si>
  <si>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</si>
  <si>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</si>
  <si>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</si>
  <si>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</si>
  <si>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</si>
  <si>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</si>
  <si>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</si>
  <si>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</si>
  <si>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</si>
  <si>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</si>
  <si>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</si>
  <si>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</si>
  <si>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</si>
  <si>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</si>
  <si>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</si>
  <si>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</si>
  <si>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</si>
  <si>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</si>
  <si>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</si>
  <si>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</si>
  <si>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</si>
  <si>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</si>
  <si>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</si>
  <si>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</si>
  <si>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</si>
  <si>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</si>
  <si>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</si>
  <si>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</si>
  <si>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</si>
  <si>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</si>
  <si>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</si>
  <si>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</si>
  <si>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</si>
  <si>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</si>
  <si>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</si>
  <si>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</si>
  <si>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</si>
  <si>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Grundy</t>
  </si>
  <si>
    <t>Morris Elementary School District #54</t>
  </si>
  <si>
    <t>54 White Oak Drive</t>
  </si>
  <si>
    <t xml:space="preserve">Morris  </t>
  </si>
  <si>
    <t>jmills@morris54.org</t>
  </si>
  <si>
    <t>X</t>
  </si>
  <si>
    <t>Dr. Shannon Dukek</t>
  </si>
  <si>
    <t>sdudek@morris54.org</t>
  </si>
  <si>
    <t>815-942-0056</t>
  </si>
  <si>
    <t>815-942-0240</t>
  </si>
  <si>
    <t>Morris</t>
  </si>
  <si>
    <t>IL</t>
  </si>
  <si>
    <t>815-942-3306</t>
  </si>
  <si>
    <t>815-942-9430</t>
  </si>
  <si>
    <t>Mack &amp; Associates, P.C.</t>
  </si>
  <si>
    <t>Tawnya Mack, CPA</t>
  </si>
  <si>
    <t>116 E. Washington St., Suite One</t>
  </si>
  <si>
    <t>tmack@mackcpas.com</t>
  </si>
  <si>
    <t>G.O. School Refunding Bonds, Series 2005</t>
  </si>
  <si>
    <t>G.O. School Refunding Bonds 2010B</t>
  </si>
  <si>
    <t>G.O. Refunding Bond 2011A</t>
  </si>
  <si>
    <t>COTG 2016 Lease</t>
  </si>
  <si>
    <t>Working Cash Bonds 2017</t>
  </si>
  <si>
    <t>G.O. School Bonds, Series 2016A</t>
  </si>
  <si>
    <t>Working Cash Bonds 2018</t>
  </si>
  <si>
    <t>Saratoga CCSD 60C, Grundy County Speical Education Co-op</t>
  </si>
  <si>
    <t>Saratoga CCSD 60C, Nettle Creek CCSD #24, Morris HS #101</t>
  </si>
  <si>
    <t>Grundy County Special Education Cooperative</t>
  </si>
  <si>
    <t>GAVC</t>
  </si>
  <si>
    <t>Morris HS #101, Saratoga CCSD 60C</t>
  </si>
  <si>
    <t>Page 9, Acct. #1290 - Other Payments in Lieu of Taxes - School Site Donation</t>
  </si>
  <si>
    <t>Page 10, Acct. #1690 - Other Food Services - Food Service Online Fees</t>
  </si>
  <si>
    <t>Page 11, Acct. #1999 - Other Local Revenue - Teacher Ins. Reimb., Teacher computer purchases, other misc. reimb.</t>
  </si>
  <si>
    <t>Page 14, Acct. #4999 - Other Restricted Federal Resources - E-Rate Revenue</t>
  </si>
  <si>
    <t>Page 16, Acct. #2900 - Other Support Services - Homeless Provisions</t>
  </si>
  <si>
    <t>Saratoga CCSD 60C, Nettle Creek, Morris HS #101</t>
  </si>
  <si>
    <t xml:space="preserve">Saratoga CCSD 60C </t>
  </si>
  <si>
    <t>Saratoga CCSD 60C</t>
  </si>
  <si>
    <t xml:space="preserve">Saratoga CCSD 60C  </t>
  </si>
  <si>
    <t>066-005100</t>
  </si>
  <si>
    <t>PDF in Opinion Page with signature</t>
  </si>
  <si>
    <t>O&amp;M - O&amp;M PLANT - PURCHASED SERVICES</t>
  </si>
  <si>
    <t>THE SHOP</t>
  </si>
  <si>
    <t>20-2540-300</t>
  </si>
  <si>
    <t>ACCURATE CONSTRUCTION</t>
  </si>
  <si>
    <t>ALLRED FLOOR SERVICE CO.</t>
  </si>
  <si>
    <t>AUTOMATED LOGIC CHICAGO</t>
  </si>
  <si>
    <t>AYERS ELECTRIC, INC.</t>
  </si>
  <si>
    <t>COVE REMEDIATION LLC</t>
  </si>
  <si>
    <t>MIDWEST ENVIRONMENTAL</t>
  </si>
  <si>
    <t>MIDWEST SIGNWORKS</t>
  </si>
  <si>
    <t>MUTCHLER'S HARDWOOD FLOOR</t>
  </si>
  <si>
    <t>ORKIN</t>
  </si>
  <si>
    <t>SARATOA CCSD 60C</t>
  </si>
  <si>
    <t>ED - FOOD SERVICE - PURCHASED SERVICES</t>
  </si>
  <si>
    <t>10-2560-300</t>
  </si>
  <si>
    <t>HARRIS COMPUTER SOLUTIONS</t>
  </si>
  <si>
    <t>MONERIS</t>
  </si>
  <si>
    <t>Morris HS #101 - Track Improvements for Shared Track</t>
  </si>
  <si>
    <t xml:space="preserve">Page 15 &amp; 19, Acct. #2190 - Other Support Services - Pupil Activities - Special Population Coordination </t>
  </si>
  <si>
    <t>Page 16 &amp; 20, Acct. #2490 - Other Support Services - School Admin. - Dean Services</t>
  </si>
  <si>
    <t>Page 10, Acct. #1819 - PE Rentals</t>
  </si>
  <si>
    <t>Page 12, Acct. #3999 - State Library  Grant</t>
  </si>
  <si>
    <t>Page 24 - COTG lease payments made from Educational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</si>
</sst>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742950</xdr:colOff>
          <xdr:row>4</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742950</xdr:colOff>
          <xdr:row>8</xdr:row>
          <xdr:rowOff>57150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742950</xdr:colOff>
          <xdr:row>12</xdr:row>
          <xdr:rowOff>57150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3D668C40-5316-45ED-90C7-37015328B9C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0" t="s">
        <v>424</v>
      </c>
      <c r="J1" s="2001"/>
      <c r="K1" s="2001"/>
      <c r="L1" s="2001"/>
      <c r="M1" s="2001"/>
      <c r="N1" s="2001"/>
      <c r="O1" s="2001"/>
      <c r="P1" s="2001"/>
      <c r="Q1" s="2001"/>
      <c r="R1" s="2001"/>
      <c r="S1" s="2001"/>
    </row>
    <row r="2" spans="1:28" ht="12" customHeight="1" x14ac:dyDescent="0.2">
      <c r="A2" s="47" t="s">
        <v>1683</v>
      </c>
      <c r="D2" s="48"/>
      <c r="I2" s="2002" t="s">
        <v>1035</v>
      </c>
      <c r="J2" s="2001"/>
      <c r="K2" s="2001"/>
      <c r="L2" s="2001"/>
      <c r="M2" s="2001"/>
      <c r="N2" s="2001"/>
      <c r="O2" s="2001"/>
      <c r="P2" s="2001"/>
      <c r="Q2" s="2001"/>
      <c r="R2" s="2001"/>
      <c r="S2" s="2001"/>
    </row>
    <row r="3" spans="1:28" ht="12" customHeight="1" x14ac:dyDescent="0.2">
      <c r="A3" s="155" t="s">
        <v>1684</v>
      </c>
      <c r="B3" s="156"/>
      <c r="C3" s="156"/>
      <c r="D3" s="157"/>
      <c r="I3" s="2002" t="s">
        <v>54</v>
      </c>
      <c r="J3" s="2001"/>
      <c r="K3" s="2001"/>
      <c r="L3" s="2001"/>
      <c r="M3" s="2001"/>
      <c r="N3" s="2001"/>
      <c r="O3" s="2001"/>
      <c r="P3" s="2001"/>
      <c r="Q3" s="2001"/>
      <c r="R3" s="2001"/>
      <c r="S3" s="2001"/>
    </row>
    <row r="4" spans="1:28" ht="12" customHeight="1" x14ac:dyDescent="0.2">
      <c r="A4" s="37"/>
      <c r="I4" s="2002" t="s">
        <v>544</v>
      </c>
      <c r="J4" s="2001"/>
      <c r="K4" s="2001"/>
      <c r="L4" s="2001"/>
      <c r="M4" s="2001"/>
      <c r="N4" s="2001"/>
      <c r="O4" s="2001"/>
      <c r="P4" s="2001"/>
      <c r="Q4" s="2001"/>
      <c r="R4" s="2001"/>
      <c r="S4" s="2001"/>
    </row>
    <row r="5" spans="1:28" ht="14.1" customHeight="1" x14ac:dyDescent="0.2">
      <c r="B5" s="104" t="s">
        <v>2076</v>
      </c>
      <c r="C5" s="26" t="s">
        <v>965</v>
      </c>
      <c r="D5" s="84"/>
      <c r="E5" s="84"/>
      <c r="H5" s="38"/>
      <c r="I5" s="2010" t="s">
        <v>700</v>
      </c>
      <c r="J5" s="2009"/>
      <c r="K5" s="2009"/>
      <c r="L5" s="2009"/>
      <c r="M5" s="2009"/>
      <c r="N5" s="2009"/>
      <c r="O5" s="2009"/>
      <c r="P5" s="2009"/>
      <c r="Q5" s="2009"/>
      <c r="R5" s="2009"/>
      <c r="S5" s="2009"/>
    </row>
    <row r="6" spans="1:28" ht="14.1" customHeight="1" x14ac:dyDescent="0.2">
      <c r="B6" s="104"/>
      <c r="C6" s="26" t="s">
        <v>966</v>
      </c>
      <c r="D6" s="84"/>
      <c r="E6" s="84"/>
      <c r="I6" s="2008" t="s">
        <v>937</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694</v>
      </c>
      <c r="J9" s="2006"/>
      <c r="K9" s="2006"/>
      <c r="L9" s="2006"/>
      <c r="M9" s="2006"/>
      <c r="N9" s="2006"/>
      <c r="O9" s="2006"/>
      <c r="P9" s="2006"/>
      <c r="Q9" s="2006"/>
      <c r="R9" s="2006"/>
      <c r="S9" s="2007"/>
      <c r="T9" s="2021" t="s">
        <v>553</v>
      </c>
      <c r="U9" s="2022"/>
      <c r="V9" s="2022"/>
      <c r="W9" s="2022"/>
      <c r="X9" s="2022"/>
      <c r="Y9" s="2022"/>
      <c r="Z9" s="2022"/>
      <c r="AA9" s="2023"/>
    </row>
    <row r="10" spans="1:28" ht="13.5" customHeight="1" x14ac:dyDescent="0.2">
      <c r="A10" s="2028" t="s">
        <v>695</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1011</v>
      </c>
      <c r="B11" s="2032"/>
      <c r="C11" s="2032"/>
      <c r="D11" s="2032"/>
      <c r="E11" s="2032"/>
      <c r="F11" s="2032"/>
      <c r="G11" s="2032"/>
      <c r="H11" s="2033"/>
      <c r="I11" s="27"/>
      <c r="J11" s="74"/>
      <c r="K11" s="27"/>
      <c r="O11" s="148" t="s">
        <v>2076</v>
      </c>
      <c r="P11" s="100" t="s">
        <v>210</v>
      </c>
      <c r="Q11" s="30"/>
      <c r="R11" s="28"/>
      <c r="S11" s="27"/>
      <c r="T11" s="2025"/>
      <c r="U11" s="2026"/>
      <c r="V11" s="2026"/>
      <c r="W11" s="2026"/>
      <c r="X11" s="2026"/>
      <c r="Y11" s="2026"/>
      <c r="Z11" s="2026"/>
      <c r="AA11" s="2027"/>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5">
        <v>24032054002</v>
      </c>
      <c r="B13" s="2036"/>
      <c r="C13" s="2036"/>
      <c r="D13" s="2036"/>
      <c r="E13" s="2036"/>
      <c r="F13" s="2036"/>
      <c r="G13" s="2036"/>
      <c r="H13" s="2037"/>
      <c r="I13" s="31"/>
      <c r="J13" s="30"/>
      <c r="K13" s="28"/>
      <c r="L13" s="30"/>
      <c r="M13" s="30"/>
      <c r="N13" s="30"/>
      <c r="O13" s="30"/>
      <c r="P13" s="30"/>
      <c r="Q13" s="30"/>
      <c r="R13" s="30"/>
      <c r="S13" s="30"/>
      <c r="T13" s="2040" t="s">
        <v>2091</v>
      </c>
      <c r="U13" s="2041"/>
      <c r="V13" s="2041"/>
      <c r="W13" s="2041"/>
      <c r="X13" s="2041"/>
      <c r="Y13" s="2042"/>
      <c r="Z13" s="2042"/>
      <c r="AA13" s="204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4" t="s">
        <v>2077</v>
      </c>
      <c r="B15" s="2038"/>
      <c r="C15" s="2038"/>
      <c r="D15" s="2038"/>
      <c r="E15" s="2038"/>
      <c r="F15" s="2038"/>
      <c r="G15" s="2038"/>
      <c r="H15" s="2039"/>
      <c r="T15" s="2044" t="s">
        <v>2092</v>
      </c>
      <c r="U15" s="1988"/>
      <c r="V15" s="1988"/>
      <c r="W15" s="1988"/>
      <c r="X15" s="1988"/>
      <c r="Y15" s="2045"/>
      <c r="Z15" s="2045"/>
      <c r="AA15" s="204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4" t="s">
        <v>2078</v>
      </c>
      <c r="B17" s="1995"/>
      <c r="C17" s="1995"/>
      <c r="D17" s="1995"/>
      <c r="E17" s="1995"/>
      <c r="F17" s="1995"/>
      <c r="G17" s="1995"/>
      <c r="H17" s="2020"/>
      <c r="T17" s="2051" t="s">
        <v>2093</v>
      </c>
      <c r="U17" s="2052"/>
      <c r="V17" s="2052"/>
      <c r="W17" s="2052"/>
      <c r="X17" s="2052"/>
      <c r="Y17" s="2052"/>
      <c r="Z17" s="2052"/>
      <c r="AA17" s="2053"/>
    </row>
    <row r="18" spans="1:27" ht="13.5" customHeight="1" x14ac:dyDescent="0.2">
      <c r="A18" s="85" t="s">
        <v>550</v>
      </c>
      <c r="B18" s="76"/>
      <c r="C18" s="72"/>
      <c r="D18" s="76"/>
      <c r="E18" s="76"/>
      <c r="F18" s="76"/>
      <c r="G18" s="76"/>
      <c r="H18" s="56"/>
      <c r="I18" s="2019" t="s">
        <v>696</v>
      </c>
      <c r="J18" s="1970"/>
      <c r="K18" s="1970"/>
      <c r="L18" s="1970"/>
      <c r="M18" s="1970"/>
      <c r="N18" s="1970"/>
      <c r="O18" s="1970"/>
      <c r="P18" s="1970"/>
      <c r="Q18" s="1970"/>
      <c r="R18" s="1970"/>
      <c r="S18" s="1971"/>
      <c r="T18" s="85" t="s">
        <v>734</v>
      </c>
      <c r="U18" s="51"/>
      <c r="V18" s="72"/>
      <c r="W18" s="50"/>
      <c r="X18" s="85" t="s">
        <v>283</v>
      </c>
      <c r="Y18" s="81"/>
      <c r="Z18" s="159" t="s">
        <v>697</v>
      </c>
      <c r="AA18" s="46"/>
    </row>
    <row r="19" spans="1:27" ht="13.5" customHeight="1" x14ac:dyDescent="0.2">
      <c r="A19" s="2034" t="s">
        <v>2079</v>
      </c>
      <c r="B19" s="1980"/>
      <c r="C19" s="1980"/>
      <c r="D19" s="1980"/>
      <c r="E19" s="1980"/>
      <c r="F19" s="1980"/>
      <c r="G19" s="1980"/>
      <c r="H19" s="1960"/>
      <c r="I19" s="30"/>
      <c r="J19" s="99"/>
      <c r="K19" s="40"/>
      <c r="L19" s="38"/>
      <c r="M19" s="112" t="s">
        <v>332</v>
      </c>
      <c r="P19" s="27"/>
      <c r="Q19" s="27"/>
      <c r="R19" s="27"/>
      <c r="S19" s="31"/>
      <c r="T19" s="2034" t="s">
        <v>2087</v>
      </c>
      <c r="U19" s="1959"/>
      <c r="V19" s="1959"/>
      <c r="W19" s="1960"/>
      <c r="X19" s="2049" t="s">
        <v>2088</v>
      </c>
      <c r="Y19" s="2050"/>
      <c r="Z19" s="2047">
        <v>60450</v>
      </c>
      <c r="AA19" s="204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8" t="s">
        <v>2080</v>
      </c>
      <c r="B21" s="1959"/>
      <c r="C21" s="1959"/>
      <c r="D21" s="1959"/>
      <c r="E21" s="1959"/>
      <c r="F21" s="1959"/>
      <c r="G21" s="1959"/>
      <c r="H21" s="1960"/>
      <c r="I21" s="2014" t="s">
        <v>698</v>
      </c>
      <c r="J21" s="2009"/>
      <c r="K21" s="2009"/>
      <c r="L21" s="2009"/>
      <c r="M21" s="2009"/>
      <c r="N21" s="2009"/>
      <c r="O21" s="2009"/>
      <c r="P21" s="2009"/>
      <c r="Q21" s="2009"/>
      <c r="R21" s="2009"/>
      <c r="S21" s="2015"/>
      <c r="T21" s="2058" t="s">
        <v>2089</v>
      </c>
      <c r="U21" s="2059"/>
      <c r="V21" s="2059"/>
      <c r="W21" s="2059"/>
      <c r="X21" s="2064" t="s">
        <v>2090</v>
      </c>
      <c r="Y21" s="2065"/>
      <c r="Z21" s="2065"/>
      <c r="AA21" s="2066"/>
    </row>
    <row r="22" spans="1:27" ht="13.5" customHeight="1" x14ac:dyDescent="0.2">
      <c r="A22" s="87" t="s">
        <v>551</v>
      </c>
      <c r="B22" s="59"/>
      <c r="C22" s="59"/>
      <c r="D22" s="59"/>
      <c r="E22" s="59"/>
      <c r="F22" s="59"/>
      <c r="G22" s="59"/>
      <c r="H22" s="60"/>
      <c r="I22" s="2016" t="s">
        <v>1503</v>
      </c>
      <c r="J22" s="2017"/>
      <c r="K22" s="2017"/>
      <c r="L22" s="2017"/>
      <c r="M22" s="2017"/>
      <c r="N22" s="2017"/>
      <c r="O22" s="2017"/>
      <c r="P22" s="2017"/>
      <c r="Q22" s="2017"/>
      <c r="R22" s="2017"/>
      <c r="S22" s="2018"/>
      <c r="T22" s="85" t="s">
        <v>1595</v>
      </c>
      <c r="U22" s="51"/>
      <c r="V22" s="72"/>
      <c r="W22" s="51"/>
      <c r="X22" s="160" t="s">
        <v>1384</v>
      </c>
      <c r="Z22" s="45"/>
      <c r="AA22" s="46"/>
    </row>
    <row r="23" spans="1:27" ht="13.5" customHeight="1" x14ac:dyDescent="0.2">
      <c r="A23" s="2011" t="s">
        <v>2081</v>
      </c>
      <c r="B23" s="2012"/>
      <c r="C23" s="2012"/>
      <c r="D23" s="2012"/>
      <c r="E23" s="2012"/>
      <c r="F23" s="2012"/>
      <c r="G23" s="2012"/>
      <c r="H23" s="2013"/>
      <c r="T23" s="1994" t="s">
        <v>2116</v>
      </c>
      <c r="U23" s="2057"/>
      <c r="V23" s="2057"/>
      <c r="W23" s="2057"/>
      <c r="X23" s="2061">
        <v>43434</v>
      </c>
      <c r="Y23" s="2062"/>
      <c r="Z23" s="2062"/>
      <c r="AA23" s="2063"/>
    </row>
    <row r="24" spans="1:27" ht="14.1" customHeight="1" x14ac:dyDescent="0.2">
      <c r="A24" s="88" t="s">
        <v>697</v>
      </c>
      <c r="B24" s="49"/>
      <c r="C24" s="49"/>
      <c r="D24" s="49"/>
      <c r="E24" s="49"/>
      <c r="F24" s="49"/>
      <c r="G24" s="49"/>
      <c r="H24" s="61"/>
      <c r="J24" s="1981" t="str">
        <f>IF(B5="x",IF(AUDITCHECK!D29="AFR form Incomplete.","",IF(AUDITCHECK!D29="Deficit reduction plan is required.","School District must complete a deficit reduction plan in the 2018-2019 Budget",)),"")</f>
        <v>School District must complete a deficit reduction plan in the 2018-2019 Budget</v>
      </c>
      <c r="K24" s="1981"/>
      <c r="L24" s="1981"/>
      <c r="M24" s="1981"/>
      <c r="N24" s="1981"/>
      <c r="O24" s="1981"/>
      <c r="P24" s="1981"/>
      <c r="Q24" s="1981"/>
      <c r="R24" s="1981"/>
      <c r="S24" s="1982"/>
      <c r="T24" s="105" t="s">
        <v>551</v>
      </c>
      <c r="U24" s="106"/>
      <c r="V24" s="106"/>
      <c r="W24" s="106"/>
      <c r="X24" s="107"/>
      <c r="Y24" s="107"/>
      <c r="Z24" s="107"/>
      <c r="AA24" s="108"/>
    </row>
    <row r="25" spans="1:27" ht="14.1" customHeight="1" x14ac:dyDescent="0.2">
      <c r="A25" s="1958">
        <v>60450</v>
      </c>
      <c r="B25" s="1959"/>
      <c r="C25" s="1959"/>
      <c r="D25" s="1959"/>
      <c r="E25" s="1959"/>
      <c r="F25" s="1959"/>
      <c r="G25" s="1959"/>
      <c r="H25" s="1960"/>
      <c r="I25" s="113"/>
      <c r="J25" s="1983"/>
      <c r="K25" s="1983"/>
      <c r="L25" s="1983"/>
      <c r="M25" s="1983"/>
      <c r="N25" s="1983"/>
      <c r="O25" s="1983"/>
      <c r="P25" s="1983"/>
      <c r="Q25" s="1983"/>
      <c r="R25" s="1983"/>
      <c r="S25" s="1984"/>
      <c r="T25" s="2054" t="s">
        <v>2094</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9" t="s">
        <v>1590</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2082</v>
      </c>
      <c r="F29" s="141" t="s">
        <v>1382</v>
      </c>
      <c r="G29" s="114"/>
      <c r="I29" s="54"/>
      <c r="J29" s="148"/>
      <c r="K29" s="28" t="s">
        <v>596</v>
      </c>
      <c r="L29" s="148" t="s">
        <v>2082</v>
      </c>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c r="K30" s="28" t="s">
        <v>596</v>
      </c>
      <c r="L30" s="148" t="s">
        <v>2082</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2082</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2082</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4" t="s">
        <v>2083</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551</v>
      </c>
      <c r="B39" s="1965"/>
      <c r="C39" s="72"/>
      <c r="D39" s="69"/>
      <c r="E39" s="69"/>
      <c r="F39" s="79"/>
      <c r="G39" s="69"/>
      <c r="H39" s="56"/>
      <c r="I39" s="1964" t="s">
        <v>551</v>
      </c>
      <c r="J39" s="1965"/>
      <c r="K39" s="1965"/>
      <c r="L39" s="1965"/>
      <c r="M39" s="1965"/>
      <c r="N39" s="67"/>
      <c r="O39" s="72"/>
      <c r="P39" s="72"/>
      <c r="Q39" s="78"/>
      <c r="R39" s="72"/>
      <c r="S39" s="56"/>
      <c r="T39" s="72" t="s">
        <v>551</v>
      </c>
      <c r="U39" s="51"/>
      <c r="V39" s="72"/>
      <c r="W39" s="50"/>
      <c r="X39" s="78"/>
      <c r="Y39" s="45"/>
      <c r="Z39" s="45"/>
      <c r="AA39" s="46"/>
    </row>
    <row r="40" spans="1:27" ht="13.5" customHeight="1" x14ac:dyDescent="0.2">
      <c r="A40" s="1972" t="s">
        <v>2084</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6" t="s">
        <v>2085</v>
      </c>
      <c r="B42" s="1978"/>
      <c r="C42" s="1979"/>
      <c r="D42" s="1977" t="s">
        <v>2086</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4" sqref="E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1904</v>
      </c>
      <c r="B2" s="1550" t="s">
        <v>2034</v>
      </c>
      <c r="C2" s="715" t="s">
        <v>1909</v>
      </c>
      <c r="D2" s="715" t="s">
        <v>1910</v>
      </c>
      <c r="E2" s="715" t="s">
        <v>1911</v>
      </c>
      <c r="F2" s="715" t="s">
        <v>1912</v>
      </c>
    </row>
    <row r="3" spans="1:6" ht="12" customHeight="1" x14ac:dyDescent="0.2">
      <c r="A3" s="2201"/>
      <c r="B3" s="1547"/>
      <c r="C3" s="1548"/>
      <c r="D3" s="1549" t="s">
        <v>274</v>
      </c>
      <c r="E3" s="1548"/>
      <c r="F3" s="1549" t="s">
        <v>275</v>
      </c>
    </row>
    <row r="4" spans="1:6" ht="13.7" customHeight="1" x14ac:dyDescent="0.2">
      <c r="A4" s="716" t="s">
        <v>1216</v>
      </c>
      <c r="B4" s="1771">
        <f>'Revenues 9-14'!C5</f>
        <v>1961333</v>
      </c>
      <c r="C4" s="1546"/>
      <c r="D4" s="1774">
        <f>B4-C4</f>
        <v>1961333</v>
      </c>
      <c r="E4" s="1546">
        <v>1996707</v>
      </c>
      <c r="F4" s="1774">
        <f>E4-C4</f>
        <v>1996707</v>
      </c>
    </row>
    <row r="5" spans="1:6" ht="13.7" customHeight="1" x14ac:dyDescent="0.2">
      <c r="A5" s="716" t="s">
        <v>924</v>
      </c>
      <c r="B5" s="1772">
        <f>'Revenues 9-14'!D5</f>
        <v>532971</v>
      </c>
      <c r="C5" s="585"/>
      <c r="D5" s="1775">
        <f t="shared" ref="D5:D18" si="0">B5-C5</f>
        <v>532971</v>
      </c>
      <c r="E5" s="585">
        <v>542583</v>
      </c>
      <c r="F5" s="1775">
        <f>E5-C5</f>
        <v>542583</v>
      </c>
    </row>
    <row r="6" spans="1:6" ht="13.7" customHeight="1" x14ac:dyDescent="0.2">
      <c r="A6" s="716" t="s">
        <v>430</v>
      </c>
      <c r="B6" s="1772">
        <f>'Revenues 9-14'!E5</f>
        <v>3582117</v>
      </c>
      <c r="C6" s="585"/>
      <c r="D6" s="1775">
        <f t="shared" si="0"/>
        <v>3582117</v>
      </c>
      <c r="E6" s="585">
        <v>3694016</v>
      </c>
      <c r="F6" s="1775">
        <f t="shared" ref="F6:F18" si="1">E6-C6</f>
        <v>3694016</v>
      </c>
    </row>
    <row r="7" spans="1:6" ht="13.7" customHeight="1" x14ac:dyDescent="0.2">
      <c r="A7" s="716" t="s">
        <v>157</v>
      </c>
      <c r="B7" s="1772">
        <f>'Revenues 9-14'!F5</f>
        <v>255826</v>
      </c>
      <c r="C7" s="585"/>
      <c r="D7" s="1775">
        <f t="shared" si="0"/>
        <v>255826</v>
      </c>
      <c r="E7" s="585">
        <v>260440</v>
      </c>
      <c r="F7" s="1775">
        <f t="shared" si="1"/>
        <v>260440</v>
      </c>
    </row>
    <row r="8" spans="1:6" ht="13.7" customHeight="1" x14ac:dyDescent="0.2">
      <c r="A8" s="716" t="s">
        <v>1240</v>
      </c>
      <c r="B8" s="1772">
        <f>'Revenues 9-14'!G5</f>
        <v>224913</v>
      </c>
      <c r="C8" s="585"/>
      <c r="D8" s="1775">
        <f t="shared" si="0"/>
        <v>224913</v>
      </c>
      <c r="E8" s="585">
        <v>275003</v>
      </c>
      <c r="F8" s="1775">
        <f t="shared" si="1"/>
        <v>275003</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106594</v>
      </c>
      <c r="C10" s="585"/>
      <c r="D10" s="1775">
        <f t="shared" si="0"/>
        <v>106594</v>
      </c>
      <c r="E10" s="585">
        <v>108517</v>
      </c>
      <c r="F10" s="1775">
        <f t="shared" si="1"/>
        <v>108517</v>
      </c>
    </row>
    <row r="11" spans="1:6" x14ac:dyDescent="0.2">
      <c r="A11" s="716" t="s">
        <v>428</v>
      </c>
      <c r="B11" s="1772">
        <f>'Revenues 9-14'!J5</f>
        <v>549792</v>
      </c>
      <c r="C11" s="585"/>
      <c r="D11" s="1775">
        <f t="shared" si="0"/>
        <v>549792</v>
      </c>
      <c r="E11" s="585">
        <v>519968</v>
      </c>
      <c r="F11" s="1775">
        <f t="shared" si="1"/>
        <v>519968</v>
      </c>
    </row>
    <row r="12" spans="1:6" ht="13.7" customHeight="1" x14ac:dyDescent="0.2">
      <c r="A12" s="716" t="s">
        <v>159</v>
      </c>
      <c r="B12" s="1772">
        <f>'Revenues 9-14'!K5</f>
        <v>106594</v>
      </c>
      <c r="C12" s="585"/>
      <c r="D12" s="1775">
        <f t="shared" si="0"/>
        <v>106594</v>
      </c>
      <c r="E12" s="585">
        <v>108517</v>
      </c>
      <c r="F12" s="1775">
        <f t="shared" si="1"/>
        <v>108517</v>
      </c>
    </row>
    <row r="13" spans="1:6" ht="13.7" customHeight="1" x14ac:dyDescent="0.2">
      <c r="A13" s="716" t="s">
        <v>992</v>
      </c>
      <c r="B13" s="1772">
        <f>SUM('Revenues 9-14'!C6:D6)</f>
        <v>106594</v>
      </c>
      <c r="C13" s="585"/>
      <c r="D13" s="1775">
        <f t="shared" si="0"/>
        <v>106594</v>
      </c>
      <c r="E13" s="585">
        <v>108517</v>
      </c>
      <c r="F13" s="1775">
        <f t="shared" si="1"/>
        <v>108517</v>
      </c>
    </row>
    <row r="14" spans="1:6" ht="13.7" customHeight="1" x14ac:dyDescent="0.2">
      <c r="A14" s="716" t="s">
        <v>429</v>
      </c>
      <c r="B14" s="1772">
        <f>SUM('Revenues 9-14'!C7:D7,'Revenues 9-14'!F7:H7)</f>
        <v>42637</v>
      </c>
      <c r="C14" s="585"/>
      <c r="D14" s="1775">
        <f t="shared" si="0"/>
        <v>42637</v>
      </c>
      <c r="E14" s="585">
        <v>43407</v>
      </c>
      <c r="F14" s="1775">
        <f t="shared" si="1"/>
        <v>43407</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224913</v>
      </c>
      <c r="C16" s="585"/>
      <c r="D16" s="1775">
        <f t="shared" si="0"/>
        <v>224913</v>
      </c>
      <c r="E16" s="585">
        <v>175016</v>
      </c>
      <c r="F16" s="1775">
        <f t="shared" si="1"/>
        <v>175016</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7694284</v>
      </c>
      <c r="C19" s="1773">
        <f>SUM(C4:C18)</f>
        <v>0</v>
      </c>
      <c r="D19" s="1773">
        <f>SUM(D4:D18)</f>
        <v>7694284</v>
      </c>
      <c r="E19" s="1773">
        <f>SUM(E4:E18)</f>
        <v>7832691</v>
      </c>
      <c r="F19" s="1773">
        <f>SUM(F4:F18)</f>
        <v>7832691</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J40" sqref="J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649</v>
      </c>
      <c r="B1" s="2220"/>
      <c r="C1" s="722"/>
    </row>
    <row r="2" spans="1:7" ht="33.75" x14ac:dyDescent="0.2">
      <c r="A2" s="2227" t="s">
        <v>1904</v>
      </c>
      <c r="B2" s="2228"/>
      <c r="C2" s="1908" t="s">
        <v>2035</v>
      </c>
      <c r="D2" s="724" t="s">
        <v>2042</v>
      </c>
      <c r="E2" s="724" t="s">
        <v>2043</v>
      </c>
      <c r="F2" s="1908" t="s">
        <v>2036</v>
      </c>
    </row>
    <row r="3" spans="1:7" ht="15.75" customHeight="1" x14ac:dyDescent="0.2">
      <c r="A3" s="2229" t="s">
        <v>1175</v>
      </c>
      <c r="B3" s="2230"/>
      <c r="C3" s="2223"/>
      <c r="D3" s="2224"/>
      <c r="E3" s="2224"/>
      <c r="F3" s="2225"/>
    </row>
    <row r="4" spans="1:7" ht="12.75" customHeight="1" thickBot="1" x14ac:dyDescent="0.25">
      <c r="A4" s="2217" t="s">
        <v>650</v>
      </c>
      <c r="B4" s="2218"/>
      <c r="C4" s="581"/>
      <c r="D4" s="581"/>
      <c r="E4" s="581"/>
      <c r="F4" s="1777">
        <f>SUM(C4+D4)-E4</f>
        <v>0</v>
      </c>
    </row>
    <row r="5" spans="1:7" ht="15.75" customHeight="1" thickTop="1" x14ac:dyDescent="0.2">
      <c r="A5" s="2221" t="s">
        <v>1171</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3" t="s">
        <v>651</v>
      </c>
      <c r="B15" s="2214"/>
      <c r="C15" s="1777">
        <f>SUM(C6:C14)</f>
        <v>0</v>
      </c>
      <c r="D15" s="1777">
        <f>SUM(D6:D14)</f>
        <v>0</v>
      </c>
      <c r="E15" s="1777">
        <f>SUM(E6:E14)</f>
        <v>0</v>
      </c>
      <c r="F15" s="1777">
        <f>SUM(F6:F14)</f>
        <v>0</v>
      </c>
      <c r="G15" s="552"/>
    </row>
    <row r="16" spans="1:7" s="202" customFormat="1" ht="15.75" customHeight="1" thickTop="1" x14ac:dyDescent="0.2">
      <c r="A16" s="2226" t="s">
        <v>1172</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405</v>
      </c>
      <c r="B19" s="2209"/>
      <c r="C19" s="727"/>
      <c r="D19" s="585"/>
      <c r="E19" s="727"/>
      <c r="F19" s="1777">
        <f>SUM(C19+D19)-E19</f>
        <v>0</v>
      </c>
    </row>
    <row r="20" spans="1:11" ht="12.75" customHeight="1" thickTop="1" thickBot="1" x14ac:dyDescent="0.25">
      <c r="A20" s="2208" t="s">
        <v>467</v>
      </c>
      <c r="B20" s="2209"/>
      <c r="C20" s="727"/>
      <c r="D20" s="585"/>
      <c r="E20" s="727"/>
      <c r="F20" s="1777">
        <f>SUM(C20+D20)-E20</f>
        <v>0</v>
      </c>
    </row>
    <row r="21" spans="1:11" ht="14.25" thickTop="1" thickBot="1" x14ac:dyDescent="0.25">
      <c r="A21" s="2213" t="s">
        <v>652</v>
      </c>
      <c r="B21" s="2214"/>
      <c r="C21" s="1777">
        <f>SUM(C17:C20)</f>
        <v>0</v>
      </c>
      <c r="D21" s="1777">
        <f>SUM(D17:D20)</f>
        <v>0</v>
      </c>
      <c r="E21" s="1777">
        <f>SUM(E17:E20)</f>
        <v>0</v>
      </c>
      <c r="F21" s="1777">
        <f>SUM(F17:F20)</f>
        <v>0</v>
      </c>
      <c r="G21" s="552"/>
    </row>
    <row r="22" spans="1:11" ht="15.75" customHeight="1" thickTop="1" x14ac:dyDescent="0.2">
      <c r="A22" s="2215" t="s">
        <v>1173</v>
      </c>
      <c r="B22" s="2216"/>
      <c r="C22" s="2210"/>
      <c r="D22" s="2211"/>
      <c r="E22" s="2211"/>
      <c r="F22" s="2212"/>
    </row>
    <row r="23" spans="1:11" ht="13.5" thickBot="1" x14ac:dyDescent="0.25">
      <c r="A23" s="2217" t="s">
        <v>653</v>
      </c>
      <c r="B23" s="2218"/>
      <c r="C23" s="581"/>
      <c r="D23" s="581"/>
      <c r="E23" s="581"/>
      <c r="F23" s="1777">
        <f>SUM(C23+D23)-E23</f>
        <v>0</v>
      </c>
      <c r="G23" s="552"/>
    </row>
    <row r="24" spans="1:11" ht="15.75" customHeight="1" thickTop="1" x14ac:dyDescent="0.2">
      <c r="A24" s="2215" t="s">
        <v>1174</v>
      </c>
      <c r="B24" s="2216"/>
      <c r="C24" s="2210"/>
      <c r="D24" s="2211"/>
      <c r="E24" s="2211"/>
      <c r="F24" s="2212"/>
    </row>
    <row r="25" spans="1:11" ht="13.5" thickBot="1" x14ac:dyDescent="0.25">
      <c r="A25" s="2217" t="s">
        <v>654</v>
      </c>
      <c r="B25" s="2218"/>
      <c r="C25" s="581"/>
      <c r="D25" s="581"/>
      <c r="E25" s="581"/>
      <c r="F25" s="1777">
        <f>SUM(C25+D25)-E25</f>
        <v>0</v>
      </c>
      <c r="G25" s="552"/>
    </row>
    <row r="26" spans="1:11" ht="15.75" customHeight="1" thickTop="1" x14ac:dyDescent="0.2">
      <c r="A26" s="2221" t="s">
        <v>677</v>
      </c>
      <c r="B26" s="2216"/>
      <c r="C26" s="728"/>
      <c r="D26" s="728"/>
      <c r="E26" s="728"/>
      <c r="F26" s="729"/>
    </row>
    <row r="27" spans="1:11" ht="13.5" thickBot="1" x14ac:dyDescent="0.25">
      <c r="A27" s="2213" t="s">
        <v>1129</v>
      </c>
      <c r="B27" s="2214"/>
      <c r="C27" s="585"/>
      <c r="D27" s="585"/>
      <c r="E27" s="585"/>
      <c r="F27" s="1777">
        <f>SUM(C27+D27)-E27</f>
        <v>0</v>
      </c>
      <c r="G27" s="552"/>
    </row>
    <row r="28" spans="1:11" ht="7.5" customHeight="1" thickTop="1" x14ac:dyDescent="0.2">
      <c r="A28" s="594"/>
    </row>
    <row r="29" spans="1:11" ht="23.25" customHeight="1" x14ac:dyDescent="0.2">
      <c r="A29" s="2219" t="s">
        <v>602</v>
      </c>
      <c r="B29" s="2220"/>
      <c r="C29" s="730"/>
      <c r="D29" s="730"/>
      <c r="E29" s="730"/>
      <c r="F29" s="730"/>
      <c r="G29" s="730"/>
      <c r="H29" s="730"/>
      <c r="I29" s="730"/>
      <c r="J29" s="730"/>
    </row>
    <row r="30" spans="1:11" ht="33.75" x14ac:dyDescent="0.2">
      <c r="A30" s="1551" t="s">
        <v>1130</v>
      </c>
      <c r="B30" s="731" t="s">
        <v>1185</v>
      </c>
      <c r="C30" s="1909" t="s">
        <v>603</v>
      </c>
      <c r="D30" s="1909" t="s">
        <v>1771</v>
      </c>
      <c r="E30" s="1909" t="s">
        <v>2037</v>
      </c>
      <c r="F30" s="1909" t="s">
        <v>2038</v>
      </c>
      <c r="G30" s="1909" t="s">
        <v>2041</v>
      </c>
      <c r="H30" s="1909" t="s">
        <v>2039</v>
      </c>
      <c r="I30" s="1909" t="s">
        <v>2040</v>
      </c>
      <c r="J30" s="1910" t="s">
        <v>2</v>
      </c>
      <c r="K30" s="732"/>
    </row>
    <row r="31" spans="1:11" ht="12" customHeight="1" x14ac:dyDescent="0.2">
      <c r="A31" s="733" t="s">
        <v>2095</v>
      </c>
      <c r="B31" s="734">
        <v>38443</v>
      </c>
      <c r="C31" s="735">
        <v>13850000</v>
      </c>
      <c r="D31" s="736">
        <v>3</v>
      </c>
      <c r="E31" s="735">
        <v>9785000</v>
      </c>
      <c r="F31" s="735"/>
      <c r="G31" s="735"/>
      <c r="H31" s="735">
        <v>455000</v>
      </c>
      <c r="I31" s="1778">
        <f>((E31+F31)-H31)+G31</f>
        <v>9330000</v>
      </c>
      <c r="J31" s="735">
        <f>9330000-545000-563151</f>
        <v>8221849</v>
      </c>
      <c r="K31" s="737"/>
    </row>
    <row r="32" spans="1:11" ht="12" customHeight="1" x14ac:dyDescent="0.2">
      <c r="A32" s="733" t="s">
        <v>2096</v>
      </c>
      <c r="B32" s="734">
        <v>40479</v>
      </c>
      <c r="C32" s="735">
        <v>6380000</v>
      </c>
      <c r="D32" s="736">
        <v>3</v>
      </c>
      <c r="E32" s="735">
        <v>5545000</v>
      </c>
      <c r="F32" s="735"/>
      <c r="G32" s="735"/>
      <c r="H32" s="735"/>
      <c r="I32" s="1778">
        <f>((E32+F32)-H32)+G32</f>
        <v>5545000</v>
      </c>
      <c r="J32" s="735">
        <v>5545000</v>
      </c>
      <c r="K32" s="737"/>
    </row>
    <row r="33" spans="1:11" ht="12" customHeight="1" x14ac:dyDescent="0.2">
      <c r="A33" s="733" t="s">
        <v>2097</v>
      </c>
      <c r="B33" s="734">
        <v>40771</v>
      </c>
      <c r="C33" s="735">
        <v>3710000</v>
      </c>
      <c r="D33" s="736">
        <v>3</v>
      </c>
      <c r="E33" s="735">
        <v>3710000</v>
      </c>
      <c r="F33" s="735"/>
      <c r="G33" s="735"/>
      <c r="H33" s="735"/>
      <c r="I33" s="1778">
        <f t="shared" ref="I33:I48" si="1">((E33+F33)-H33)+G33</f>
        <v>3710000</v>
      </c>
      <c r="J33" s="735">
        <v>3710000</v>
      </c>
      <c r="K33" s="737"/>
    </row>
    <row r="34" spans="1:11" ht="12" customHeight="1" x14ac:dyDescent="0.2">
      <c r="A34" s="733" t="s">
        <v>2098</v>
      </c>
      <c r="B34" s="734">
        <v>42508</v>
      </c>
      <c r="C34" s="735">
        <v>75200</v>
      </c>
      <c r="D34" s="736">
        <v>7</v>
      </c>
      <c r="E34" s="735">
        <v>61269</v>
      </c>
      <c r="F34" s="735"/>
      <c r="G34" s="735">
        <v>-14463</v>
      </c>
      <c r="H34" s="735"/>
      <c r="I34" s="1778">
        <f t="shared" si="1"/>
        <v>46806</v>
      </c>
      <c r="J34" s="735">
        <v>31788</v>
      </c>
      <c r="K34" s="738"/>
    </row>
    <row r="35" spans="1:11" ht="12" customHeight="1" x14ac:dyDescent="0.2">
      <c r="A35" s="733" t="s">
        <v>2099</v>
      </c>
      <c r="B35" s="734">
        <v>42794</v>
      </c>
      <c r="C35" s="739">
        <v>1965000</v>
      </c>
      <c r="D35" s="736">
        <v>1</v>
      </c>
      <c r="E35" s="739">
        <v>1965000</v>
      </c>
      <c r="F35" s="739"/>
      <c r="G35" s="739"/>
      <c r="H35" s="739">
        <v>1965000</v>
      </c>
      <c r="I35" s="1778">
        <f t="shared" si="1"/>
        <v>0</v>
      </c>
      <c r="J35" s="739"/>
      <c r="K35" s="738"/>
    </row>
    <row r="36" spans="1:11" ht="12" customHeight="1" x14ac:dyDescent="0.2">
      <c r="A36" s="733" t="s">
        <v>2100</v>
      </c>
      <c r="B36" s="734">
        <v>42588</v>
      </c>
      <c r="C36" s="735">
        <v>700000</v>
      </c>
      <c r="D36" s="736">
        <v>2</v>
      </c>
      <c r="E36" s="735">
        <v>585000</v>
      </c>
      <c r="F36" s="735"/>
      <c r="G36" s="735"/>
      <c r="H36" s="735">
        <v>115000</v>
      </c>
      <c r="I36" s="1778">
        <f t="shared" si="1"/>
        <v>470000</v>
      </c>
      <c r="J36" s="735">
        <v>355000</v>
      </c>
      <c r="K36" s="740"/>
    </row>
    <row r="37" spans="1:11" ht="12" customHeight="1" x14ac:dyDescent="0.2">
      <c r="A37" s="733" t="s">
        <v>2101</v>
      </c>
      <c r="B37" s="734">
        <v>43171</v>
      </c>
      <c r="C37" s="467">
        <v>2005000</v>
      </c>
      <c r="D37" s="741">
        <v>1</v>
      </c>
      <c r="E37" s="467"/>
      <c r="F37" s="467">
        <v>2005000</v>
      </c>
      <c r="G37" s="467"/>
      <c r="H37" s="467"/>
      <c r="I37" s="1778">
        <f t="shared" si="1"/>
        <v>2005000</v>
      </c>
      <c r="J37" s="467">
        <v>2005000</v>
      </c>
      <c r="K37" s="738"/>
    </row>
    <row r="38" spans="1:11" ht="12" customHeight="1" x14ac:dyDescent="0.2">
      <c r="A38" s="733"/>
      <c r="B38" s="734"/>
      <c r="C38" s="735"/>
      <c r="D38" s="742"/>
      <c r="E38" s="743"/>
      <c r="F38" s="743"/>
      <c r="G38" s="743"/>
      <c r="H38" s="743"/>
      <c r="I38" s="1778">
        <f t="shared" si="1"/>
        <v>0</v>
      </c>
      <c r="J38" s="744"/>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28685200</v>
      </c>
      <c r="D49" s="746"/>
      <c r="E49" s="1778">
        <f t="shared" ref="E49:J49" si="2">SUM(E31:E48)</f>
        <v>21651269</v>
      </c>
      <c r="F49" s="1778">
        <f t="shared" si="2"/>
        <v>2005000</v>
      </c>
      <c r="G49" s="1778">
        <f t="shared" si="2"/>
        <v>-14463</v>
      </c>
      <c r="H49" s="1778">
        <f t="shared" si="2"/>
        <v>2535000</v>
      </c>
      <c r="I49" s="1778">
        <f t="shared" si="2"/>
        <v>21106806</v>
      </c>
      <c r="J49" s="1778">
        <f t="shared" si="2"/>
        <v>19868637</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02" t="s">
        <v>604</v>
      </c>
      <c r="C52" s="2203"/>
      <c r="D52" s="2203"/>
      <c r="E52" s="750" t="s">
        <v>899</v>
      </c>
      <c r="F52" s="2204"/>
      <c r="G52" s="2205"/>
      <c r="H52" s="737"/>
      <c r="I52" s="737"/>
      <c r="J52" s="747"/>
    </row>
    <row r="53" spans="1:11" ht="11.25" customHeight="1" x14ac:dyDescent="0.2">
      <c r="A53" s="751" t="s">
        <v>968</v>
      </c>
      <c r="B53" s="752" t="s">
        <v>1007</v>
      </c>
      <c r="C53" s="747"/>
      <c r="D53" s="738"/>
      <c r="E53" s="750" t="s">
        <v>517</v>
      </c>
      <c r="F53" s="2206"/>
      <c r="G53" s="2207"/>
      <c r="H53" s="737"/>
      <c r="I53" s="737"/>
      <c r="J53" s="747"/>
    </row>
    <row r="54" spans="1:11" ht="11.25" customHeight="1" x14ac:dyDescent="0.2">
      <c r="A54" s="753" t="s">
        <v>969</v>
      </c>
      <c r="B54" s="748" t="s">
        <v>1008</v>
      </c>
      <c r="C54" s="747"/>
      <c r="D54" s="738"/>
      <c r="E54" s="750" t="s">
        <v>518</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910</v>
      </c>
      <c r="B1" s="2232"/>
      <c r="C1" s="2232"/>
      <c r="D1" s="2232"/>
      <c r="E1" s="2232"/>
      <c r="F1" s="2232"/>
      <c r="G1" s="2233"/>
      <c r="H1" s="1552"/>
      <c r="I1" s="761"/>
      <c r="J1" s="433"/>
    </row>
    <row r="2" spans="1:11" ht="26.25" x14ac:dyDescent="0.2">
      <c r="A2" s="2250" t="s">
        <v>1775</v>
      </c>
      <c r="B2" s="2251"/>
      <c r="C2" s="2251"/>
      <c r="D2" s="2251"/>
      <c r="E2" s="2252"/>
      <c r="F2" s="762" t="s">
        <v>959</v>
      </c>
      <c r="G2" s="763" t="s">
        <v>1772</v>
      </c>
      <c r="H2" s="763" t="s">
        <v>429</v>
      </c>
      <c r="I2" s="763" t="s">
        <v>1219</v>
      </c>
      <c r="J2" s="763" t="s">
        <v>1918</v>
      </c>
      <c r="K2" s="763" t="s">
        <v>140</v>
      </c>
    </row>
    <row r="3" spans="1:11" x14ac:dyDescent="0.2">
      <c r="A3" s="2253" t="s">
        <v>1697</v>
      </c>
      <c r="B3" s="2254"/>
      <c r="C3" s="2254"/>
      <c r="D3" s="2254"/>
      <c r="E3" s="2255"/>
      <c r="F3" s="764"/>
      <c r="G3" s="765"/>
      <c r="H3" s="765"/>
      <c r="I3" s="765"/>
      <c r="J3" s="766"/>
      <c r="K3" s="766"/>
    </row>
    <row r="4" spans="1:11" x14ac:dyDescent="0.2">
      <c r="A4" s="2256" t="s">
        <v>386</v>
      </c>
      <c r="B4" s="2257"/>
      <c r="C4" s="2257"/>
      <c r="D4" s="2257"/>
      <c r="E4" s="2203"/>
      <c r="F4" s="767"/>
      <c r="G4" s="768"/>
      <c r="H4" s="769"/>
      <c r="I4" s="768"/>
      <c r="J4" s="770"/>
      <c r="K4" s="770"/>
    </row>
    <row r="5" spans="1:11" x14ac:dyDescent="0.2">
      <c r="A5" s="2234" t="s">
        <v>1128</v>
      </c>
      <c r="B5" s="2235"/>
      <c r="C5" s="2235"/>
      <c r="D5" s="2235"/>
      <c r="E5" s="2236"/>
      <c r="F5" s="771" t="s">
        <v>902</v>
      </c>
      <c r="G5" s="772"/>
      <c r="H5" s="765">
        <v>42637</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34" t="s">
        <v>1919</v>
      </c>
      <c r="B10" s="2235"/>
      <c r="C10" s="2235"/>
      <c r="D10" s="2235"/>
      <c r="E10" s="2237"/>
      <c r="F10" s="784" t="s">
        <v>916</v>
      </c>
      <c r="G10" s="783"/>
      <c r="H10" s="785"/>
      <c r="I10" s="765"/>
      <c r="J10" s="766"/>
      <c r="K10" s="766"/>
    </row>
    <row r="11" spans="1:11" x14ac:dyDescent="0.2">
      <c r="A11" s="2234" t="s">
        <v>162</v>
      </c>
      <c r="B11" s="2235"/>
      <c r="C11" s="2235"/>
      <c r="D11" s="2235"/>
      <c r="E11" s="2236"/>
      <c r="F11" s="771" t="s">
        <v>906</v>
      </c>
      <c r="G11" s="772"/>
      <c r="H11" s="765"/>
      <c r="I11" s="765"/>
      <c r="J11" s="766"/>
      <c r="K11" s="774"/>
    </row>
    <row r="12" spans="1:11" ht="13.5" thickBot="1" x14ac:dyDescent="0.25">
      <c r="A12" s="2261" t="s">
        <v>960</v>
      </c>
      <c r="B12" s="2262"/>
      <c r="C12" s="2262"/>
      <c r="D12" s="2262"/>
      <c r="E12" s="2263"/>
      <c r="F12" s="1779"/>
      <c r="G12" s="1780">
        <f>SUM(G5:G11)</f>
        <v>0</v>
      </c>
      <c r="H12" s="1780">
        <f>SUM(H5:H11)</f>
        <v>42637</v>
      </c>
      <c r="I12" s="1780">
        <f>SUM(I5:I11)</f>
        <v>0</v>
      </c>
      <c r="J12" s="1780">
        <f>SUM(J5:J11)</f>
        <v>0</v>
      </c>
      <c r="K12" s="1780">
        <f>SUM(K5:K11)</f>
        <v>0</v>
      </c>
    </row>
    <row r="13" spans="1:11" ht="13.5" thickTop="1" x14ac:dyDescent="0.2">
      <c r="A13" s="2258" t="s">
        <v>387</v>
      </c>
      <c r="B13" s="2259"/>
      <c r="C13" s="2259"/>
      <c r="D13" s="2259"/>
      <c r="E13" s="2260"/>
      <c r="F13" s="786"/>
      <c r="G13" s="787"/>
      <c r="H13" s="788"/>
      <c r="I13" s="789"/>
      <c r="J13" s="789"/>
      <c r="K13" s="789"/>
    </row>
    <row r="14" spans="1:11" x14ac:dyDescent="0.2">
      <c r="A14" s="2241" t="s">
        <v>475</v>
      </c>
      <c r="B14" s="2241"/>
      <c r="C14" s="2241"/>
      <c r="D14" s="2241"/>
      <c r="E14" s="2242"/>
      <c r="F14" s="790" t="s">
        <v>908</v>
      </c>
      <c r="G14" s="783"/>
      <c r="H14" s="765">
        <v>42637</v>
      </c>
      <c r="I14" s="772"/>
      <c r="J14" s="774"/>
      <c r="K14" s="766"/>
    </row>
    <row r="15" spans="1:11" x14ac:dyDescent="0.2">
      <c r="A15" s="2235" t="s">
        <v>4</v>
      </c>
      <c r="B15" s="2235"/>
      <c r="C15" s="2235"/>
      <c r="D15" s="2235"/>
      <c r="E15" s="2236"/>
      <c r="F15" s="790" t="s">
        <v>909</v>
      </c>
      <c r="G15" s="772"/>
      <c r="H15" s="765"/>
      <c r="I15" s="765"/>
      <c r="J15" s="766"/>
      <c r="K15" s="766"/>
    </row>
    <row r="16" spans="1:11" x14ac:dyDescent="0.2">
      <c r="A16" s="2235" t="s">
        <v>315</v>
      </c>
      <c r="B16" s="2235"/>
      <c r="C16" s="2235"/>
      <c r="D16" s="2235"/>
      <c r="E16" s="2236"/>
      <c r="F16" s="790" t="s">
        <v>979</v>
      </c>
      <c r="G16" s="773"/>
      <c r="H16" s="768"/>
      <c r="I16" s="768"/>
      <c r="J16" s="770"/>
      <c r="K16" s="770"/>
    </row>
    <row r="17" spans="1:11" x14ac:dyDescent="0.2">
      <c r="A17" s="2266" t="s">
        <v>991</v>
      </c>
      <c r="B17" s="2266"/>
      <c r="C17" s="2266"/>
      <c r="D17" s="2266"/>
      <c r="E17" s="2267"/>
      <c r="F17" s="791"/>
      <c r="G17" s="792"/>
      <c r="H17" s="793"/>
      <c r="I17" s="793"/>
      <c r="J17" s="794"/>
      <c r="K17" s="795"/>
    </row>
    <row r="18" spans="1:11" x14ac:dyDescent="0.2">
      <c r="A18" s="2245" t="s">
        <v>385</v>
      </c>
      <c r="B18" s="2246"/>
      <c r="C18" s="2246"/>
      <c r="D18" s="2246"/>
      <c r="E18" s="2247"/>
      <c r="F18" s="790" t="s">
        <v>988</v>
      </c>
      <c r="G18" s="783"/>
      <c r="H18" s="783"/>
      <c r="I18" s="783"/>
      <c r="J18" s="766"/>
      <c r="K18" s="796"/>
    </row>
    <row r="19" spans="1:11" ht="21.75" customHeight="1" x14ac:dyDescent="0.2">
      <c r="A19" s="2243" t="s">
        <v>1915</v>
      </c>
      <c r="B19" s="2243"/>
      <c r="C19" s="2243"/>
      <c r="D19" s="2243"/>
      <c r="E19" s="2244"/>
      <c r="F19" s="790" t="s">
        <v>989</v>
      </c>
      <c r="G19" s="783"/>
      <c r="H19" s="783"/>
      <c r="I19" s="783"/>
      <c r="J19" s="766"/>
      <c r="K19" s="796"/>
    </row>
    <row r="20" spans="1:11" x14ac:dyDescent="0.2">
      <c r="A20" s="2245" t="s">
        <v>1920</v>
      </c>
      <c r="B20" s="2246"/>
      <c r="C20" s="2246"/>
      <c r="D20" s="2246"/>
      <c r="E20" s="2247"/>
      <c r="F20" s="790" t="s">
        <v>990</v>
      </c>
      <c r="G20" s="783"/>
      <c r="H20" s="783"/>
      <c r="I20" s="783"/>
      <c r="J20" s="766"/>
      <c r="K20" s="796"/>
    </row>
    <row r="21" spans="1:11" ht="13.5" thickBot="1" x14ac:dyDescent="0.25">
      <c r="A21" s="2264" t="s">
        <v>658</v>
      </c>
      <c r="B21" s="2264"/>
      <c r="C21" s="2264"/>
      <c r="D21" s="2264"/>
      <c r="E21" s="2264"/>
      <c r="F21" s="1781"/>
      <c r="G21" s="793"/>
      <c r="H21" s="797"/>
      <c r="I21" s="797"/>
      <c r="J21" s="1782">
        <f>SUM(J18:J20)</f>
        <v>0</v>
      </c>
      <c r="K21" s="794"/>
    </row>
    <row r="22" spans="1:11" ht="13.5" thickTop="1" x14ac:dyDescent="0.2">
      <c r="A22" s="2235" t="s">
        <v>1921</v>
      </c>
      <c r="B22" s="2235"/>
      <c r="C22" s="2235"/>
      <c r="D22" s="2235"/>
      <c r="E22" s="2236"/>
      <c r="F22" s="790" t="s">
        <v>916</v>
      </c>
      <c r="G22" s="783"/>
      <c r="H22" s="765"/>
      <c r="I22" s="765"/>
      <c r="J22" s="798"/>
      <c r="K22" s="766"/>
    </row>
    <row r="23" spans="1:11" ht="13.5" thickBot="1" x14ac:dyDescent="0.25">
      <c r="A23" s="2265" t="s">
        <v>961</v>
      </c>
      <c r="B23" s="2264"/>
      <c r="C23" s="2264"/>
      <c r="D23" s="2264"/>
      <c r="E23" s="2264"/>
      <c r="F23" s="1783"/>
      <c r="G23" s="1780">
        <f>SUM(G14:G16,G21,G22)</f>
        <v>0</v>
      </c>
      <c r="H23" s="1780">
        <f>SUM(H14:H16,H21,H22)</f>
        <v>42637</v>
      </c>
      <c r="I23" s="1780">
        <f>SUM(I14:I16,I21,I22)</f>
        <v>0</v>
      </c>
      <c r="J23" s="1780">
        <f>SUM(J14:J16,J21,J22)</f>
        <v>0</v>
      </c>
      <c r="K23" s="1780">
        <f>SUM(K14:K16,K21,K22)</f>
        <v>0</v>
      </c>
    </row>
    <row r="24" spans="1:11" ht="14.25" thickTop="1" thickBot="1" x14ac:dyDescent="0.25">
      <c r="A24" s="2265" t="s">
        <v>2023</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38"/>
      <c r="I31" s="2239"/>
      <c r="J31" s="2239"/>
      <c r="K31" s="2239"/>
    </row>
    <row r="32" spans="1:11" x14ac:dyDescent="0.2">
      <c r="A32" s="810"/>
      <c r="B32" s="237"/>
      <c r="C32" s="237"/>
      <c r="D32" s="237"/>
      <c r="E32" s="806"/>
      <c r="F32" s="812" t="s">
        <v>560</v>
      </c>
      <c r="G32" s="765"/>
      <c r="H32" s="2240"/>
      <c r="I32" s="2239"/>
      <c r="J32" s="2239"/>
      <c r="K32" s="2239"/>
    </row>
    <row r="33" spans="1:11" ht="1.5" customHeight="1" x14ac:dyDescent="0.2">
      <c r="A33" s="813" t="s">
        <v>1230</v>
      </c>
      <c r="B33" s="364"/>
      <c r="C33" s="364"/>
      <c r="D33" s="364"/>
      <c r="E33" s="364"/>
      <c r="F33" s="364"/>
      <c r="G33" s="814"/>
      <c r="H33" s="2240"/>
      <c r="I33" s="2239"/>
      <c r="J33" s="2239"/>
      <c r="K33" s="2239"/>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5" t="s">
        <v>561</v>
      </c>
      <c r="B41" s="2248"/>
      <c r="C41" s="2248"/>
      <c r="D41" s="2248"/>
      <c r="E41" s="2248"/>
      <c r="F41" s="2249"/>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2032</v>
      </c>
      <c r="B1" s="2271"/>
      <c r="C1" s="2272"/>
      <c r="D1" s="827"/>
      <c r="E1" s="828"/>
      <c r="F1" s="828"/>
      <c r="G1" s="829"/>
      <c r="H1" s="830"/>
      <c r="I1" s="831"/>
      <c r="J1" s="2268"/>
      <c r="K1" s="2269"/>
      <c r="L1" s="2269"/>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465255</v>
      </c>
      <c r="D5" s="842"/>
      <c r="E5" s="842"/>
      <c r="F5" s="1782">
        <f>(C5+D5)-E5</f>
        <v>465255</v>
      </c>
      <c r="G5" s="838"/>
      <c r="H5" s="843"/>
      <c r="I5" s="843"/>
      <c r="J5" s="843"/>
      <c r="K5" s="794"/>
      <c r="L5" s="1791">
        <f>F5-K5</f>
        <v>465255</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37167554</v>
      </c>
      <c r="D8" s="845">
        <v>110380</v>
      </c>
      <c r="E8" s="845"/>
      <c r="F8" s="1782">
        <f>(C8+D8)-E8</f>
        <v>37277934</v>
      </c>
      <c r="G8" s="844">
        <v>50</v>
      </c>
      <c r="H8" s="766">
        <v>12222953</v>
      </c>
      <c r="I8" s="766">
        <v>766449</v>
      </c>
      <c r="J8" s="766"/>
      <c r="K8" s="1791">
        <f>(H8+I8)-J8</f>
        <v>12989402</v>
      </c>
      <c r="L8" s="1791">
        <f>F8-K8</f>
        <v>24288532</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318931</v>
      </c>
      <c r="D10" s="847"/>
      <c r="E10" s="847"/>
      <c r="F10" s="1786">
        <f>(C10+D10)-E10</f>
        <v>318931</v>
      </c>
      <c r="G10" s="844">
        <v>20</v>
      </c>
      <c r="H10" s="848">
        <v>287409</v>
      </c>
      <c r="I10" s="848">
        <v>2251</v>
      </c>
      <c r="J10" s="848"/>
      <c r="K10" s="1791">
        <f>(H10+I10)-J10</f>
        <v>289660</v>
      </c>
      <c r="L10" s="1791">
        <f>F10-K10</f>
        <v>29271</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5158674</v>
      </c>
      <c r="D12" s="845"/>
      <c r="E12" s="845"/>
      <c r="F12" s="1782">
        <f>(C12+D12)-E12</f>
        <v>5158674</v>
      </c>
      <c r="G12" s="844">
        <v>10</v>
      </c>
      <c r="H12" s="766">
        <v>4918639</v>
      </c>
      <c r="I12" s="766">
        <v>127206</v>
      </c>
      <c r="J12" s="766"/>
      <c r="K12" s="1791">
        <f>(H12+I12)-J12</f>
        <v>5045845</v>
      </c>
      <c r="L12" s="1791">
        <f>F12-K12</f>
        <v>112829</v>
      </c>
    </row>
    <row r="13" spans="1:14" ht="14.25" thickTop="1" thickBot="1" x14ac:dyDescent="0.25">
      <c r="A13" s="849" t="s">
        <v>1183</v>
      </c>
      <c r="B13" s="841">
        <v>252</v>
      </c>
      <c r="C13" s="845">
        <v>586076</v>
      </c>
      <c r="D13" s="845"/>
      <c r="E13" s="845"/>
      <c r="F13" s="1782">
        <f>(C13+D13)-E13</f>
        <v>586076</v>
      </c>
      <c r="G13" s="844">
        <v>5</v>
      </c>
      <c r="H13" s="766">
        <v>570519</v>
      </c>
      <c r="I13" s="766">
        <v>8590</v>
      </c>
      <c r="J13" s="766"/>
      <c r="K13" s="1791">
        <f>(H13+I13)-J13</f>
        <v>579109</v>
      </c>
      <c r="L13" s="1791">
        <f>F13-K13</f>
        <v>6967</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20010</v>
      </c>
      <c r="D15" s="845"/>
      <c r="E15" s="845">
        <v>20010</v>
      </c>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43716500</v>
      </c>
      <c r="D16" s="1782">
        <f>SUM(D3,D5:D6,D8:D10,D12:D15)</f>
        <v>110380</v>
      </c>
      <c r="E16" s="1782">
        <f>SUM(E3,E5:E6,E8:E10,E12:E15)</f>
        <v>20010</v>
      </c>
      <c r="F16" s="1782">
        <f>SUM(F3,F5:F6,F8:F10,F12:F15)</f>
        <v>43806870</v>
      </c>
      <c r="G16" s="844"/>
      <c r="H16" s="1782">
        <f>SUM(H3,H6,H8:H10,H12:H14,)</f>
        <v>17999520</v>
      </c>
      <c r="I16" s="1782">
        <f>SUM(I3,I6,I8:I10,I12:I14,)</f>
        <v>904496</v>
      </c>
      <c r="J16" s="1782">
        <f>SUM(J3,J6,J8:J10,J12:J14,)</f>
        <v>0</v>
      </c>
      <c r="K16" s="1782">
        <f>(H16+I16)-J16</f>
        <v>18904016</v>
      </c>
      <c r="L16" s="1782">
        <f>F16-K16</f>
        <v>24902854</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7266</v>
      </c>
      <c r="G17" s="838">
        <v>10</v>
      </c>
      <c r="H17" s="770"/>
      <c r="I17" s="1791">
        <f>F17/G17</f>
        <v>726.6</v>
      </c>
      <c r="J17" s="770"/>
      <c r="K17" s="796"/>
      <c r="L17" s="796"/>
    </row>
    <row r="18" spans="1:12" ht="14.25" thickTop="1" thickBot="1" x14ac:dyDescent="0.25">
      <c r="A18" s="1789" t="s">
        <v>705</v>
      </c>
      <c r="B18" s="1790"/>
      <c r="C18" s="772"/>
      <c r="D18" s="772"/>
      <c r="E18" s="772"/>
      <c r="F18" s="851"/>
      <c r="G18" s="852"/>
      <c r="H18" s="774"/>
      <c r="I18" s="1782">
        <f>SUM(I16,I17)</f>
        <v>905222.6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497</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8682380</v>
      </c>
      <c r="G8" s="866"/>
    </row>
    <row r="9" spans="1:7" x14ac:dyDescent="0.2">
      <c r="A9" s="870" t="s">
        <v>479</v>
      </c>
      <c r="B9" s="871" t="s">
        <v>1987</v>
      </c>
      <c r="C9" s="872"/>
      <c r="D9" s="870" t="s">
        <v>521</v>
      </c>
      <c r="E9" s="869"/>
      <c r="F9" s="1934">
        <f>'Expenditures 15-22'!K151</f>
        <v>902759</v>
      </c>
      <c r="G9" s="873"/>
    </row>
    <row r="10" spans="1:7" x14ac:dyDescent="0.2">
      <c r="A10" s="870" t="s">
        <v>519</v>
      </c>
      <c r="B10" s="871" t="s">
        <v>1988</v>
      </c>
      <c r="C10" s="872"/>
      <c r="D10" s="870" t="s">
        <v>521</v>
      </c>
      <c r="E10" s="869"/>
      <c r="F10" s="1934">
        <f>'Expenditures 15-22'!K174</f>
        <v>3711652</v>
      </c>
      <c r="G10" s="873"/>
    </row>
    <row r="11" spans="1:7" x14ac:dyDescent="0.2">
      <c r="A11" s="870" t="s">
        <v>480</v>
      </c>
      <c r="B11" s="871" t="s">
        <v>1989</v>
      </c>
      <c r="C11" s="872"/>
      <c r="D11" s="870" t="s">
        <v>521</v>
      </c>
      <c r="E11" s="869"/>
      <c r="F11" s="1934">
        <f>'Expenditures 15-22'!K210</f>
        <v>632675</v>
      </c>
      <c r="G11" s="873"/>
    </row>
    <row r="12" spans="1:7" x14ac:dyDescent="0.2">
      <c r="A12" s="870" t="s">
        <v>481</v>
      </c>
      <c r="B12" s="871" t="s">
        <v>1990</v>
      </c>
      <c r="C12" s="872"/>
      <c r="D12" s="870" t="s">
        <v>521</v>
      </c>
      <c r="E12" s="869"/>
      <c r="F12" s="1934">
        <f>'Expenditures 15-22'!K295</f>
        <v>290708</v>
      </c>
      <c r="G12" s="873"/>
    </row>
    <row r="13" spans="1:7" x14ac:dyDescent="0.2">
      <c r="A13" s="870" t="s">
        <v>108</v>
      </c>
      <c r="B13" s="871" t="s">
        <v>1991</v>
      </c>
      <c r="C13" s="872"/>
      <c r="D13" s="870" t="s">
        <v>521</v>
      </c>
      <c r="E13" s="869"/>
      <c r="F13" s="1934">
        <f>'Expenditures 15-22'!K342</f>
        <v>301982</v>
      </c>
      <c r="G13" s="874"/>
    </row>
    <row r="14" spans="1:7" ht="12" customHeight="1" thickBot="1" x14ac:dyDescent="0.25">
      <c r="A14" s="1792"/>
      <c r="B14" s="1793"/>
      <c r="C14" s="1794"/>
      <c r="D14" s="1795" t="s">
        <v>521</v>
      </c>
      <c r="E14" s="1796" t="s">
        <v>1014</v>
      </c>
      <c r="F14" s="1797">
        <f>SUM(F8:F13)</f>
        <v>14522156</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149470</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17580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1527</v>
      </c>
      <c r="G52" s="866"/>
    </row>
    <row r="53" spans="1:7" x14ac:dyDescent="0.2">
      <c r="A53" s="870" t="s">
        <v>478</v>
      </c>
      <c r="B53" s="870" t="s">
        <v>1550</v>
      </c>
      <c r="C53" s="890">
        <f>'Expenditures 15-22'!B102</f>
        <v>4000</v>
      </c>
      <c r="D53" s="889" t="str">
        <f>'Expenditures 15-22'!A102</f>
        <v>Total Payments to Other Govt Units</v>
      </c>
      <c r="E53" s="869"/>
      <c r="F53" s="1938">
        <f>'Expenditures 15-22'!K102</f>
        <v>1016216</v>
      </c>
      <c r="G53" s="866"/>
    </row>
    <row r="54" spans="1:7" x14ac:dyDescent="0.2">
      <c r="A54" s="870" t="s">
        <v>478</v>
      </c>
      <c r="B54" s="870" t="s">
        <v>1551</v>
      </c>
      <c r="C54" s="890" t="s">
        <v>1038</v>
      </c>
      <c r="D54" s="886" t="s">
        <v>1156</v>
      </c>
      <c r="E54" s="869"/>
      <c r="F54" s="1938">
        <f>'Expenditures 15-22'!G114</f>
        <v>92099</v>
      </c>
      <c r="G54" s="866"/>
    </row>
    <row r="55" spans="1:7" x14ac:dyDescent="0.2">
      <c r="A55" s="870" t="s">
        <v>478</v>
      </c>
      <c r="B55" s="870" t="s">
        <v>1552</v>
      </c>
      <c r="C55" s="890" t="s">
        <v>1038</v>
      </c>
      <c r="D55" s="886" t="s">
        <v>308</v>
      </c>
      <c r="E55" s="869"/>
      <c r="F55" s="1938">
        <f>'Expenditures 15-22'!I114</f>
        <v>3794</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1992</v>
      </c>
      <c r="C57" s="890">
        <f>'Expenditures 15-22'!B139</f>
        <v>4000</v>
      </c>
      <c r="D57" s="888" t="str">
        <f>'Expenditures 15-22'!A139</f>
        <v>Total Payments to Other Govt Units</v>
      </c>
      <c r="E57" s="869"/>
      <c r="F57" s="1938">
        <f>'Expenditures 15-22'!K139</f>
        <v>0</v>
      </c>
      <c r="G57" s="866"/>
    </row>
    <row r="58" spans="1:7" x14ac:dyDescent="0.2">
      <c r="A58" s="870" t="s">
        <v>479</v>
      </c>
      <c r="B58" s="870" t="s">
        <v>1993</v>
      </c>
      <c r="C58" s="887" t="s">
        <v>1038</v>
      </c>
      <c r="D58" s="886" t="s">
        <v>1156</v>
      </c>
      <c r="E58" s="869"/>
      <c r="F58" s="1940">
        <f>'Expenditures 15-22'!G151</f>
        <v>71</v>
      </c>
      <c r="G58" s="866"/>
    </row>
    <row r="59" spans="1:7" x14ac:dyDescent="0.2">
      <c r="A59" s="894" t="s">
        <v>479</v>
      </c>
      <c r="B59" s="857" t="s">
        <v>1994</v>
      </c>
      <c r="C59" s="895" t="s">
        <v>1038</v>
      </c>
      <c r="D59" s="857" t="s">
        <v>308</v>
      </c>
      <c r="F59" s="1941">
        <f>'Expenditures 15-22'!I151</f>
        <v>0</v>
      </c>
      <c r="G59" s="866"/>
    </row>
    <row r="60" spans="1:7" x14ac:dyDescent="0.2">
      <c r="A60" s="894" t="s">
        <v>519</v>
      </c>
      <c r="B60" s="857" t="s">
        <v>1995</v>
      </c>
      <c r="C60" s="895">
        <v>4000</v>
      </c>
      <c r="D60" s="857" t="s">
        <v>329</v>
      </c>
      <c r="F60" s="1939">
        <f>'Expenditures 15-22'!K160</f>
        <v>0</v>
      </c>
      <c r="G60" s="866"/>
    </row>
    <row r="61" spans="1:7" x14ac:dyDescent="0.2">
      <c r="A61" s="896" t="s">
        <v>519</v>
      </c>
      <c r="B61" s="896" t="s">
        <v>1996</v>
      </c>
      <c r="C61" s="897" t="str">
        <f>'Expenditures 15-22'!B170</f>
        <v>5300</v>
      </c>
      <c r="D61" s="898" t="s">
        <v>328</v>
      </c>
      <c r="E61" s="880"/>
      <c r="F61" s="1938">
        <f>'Expenditures 15-22'!K170</f>
        <v>2535000</v>
      </c>
      <c r="G61" s="866"/>
    </row>
    <row r="62" spans="1:7" x14ac:dyDescent="0.2">
      <c r="A62" s="870" t="s">
        <v>480</v>
      </c>
      <c r="B62" s="870" t="s">
        <v>1997</v>
      </c>
      <c r="C62" s="887">
        <f>'Expenditures 15-22'!B185</f>
        <v>3000</v>
      </c>
      <c r="D62" s="877" t="s">
        <v>468</v>
      </c>
      <c r="E62" s="869"/>
      <c r="F62" s="1938">
        <f>'Expenditures 15-22'!K185-SUM('Expenditures 15-22'!G185,'Expenditures 15-22'!I185)</f>
        <v>0</v>
      </c>
      <c r="G62" s="866"/>
    </row>
    <row r="63" spans="1:7" x14ac:dyDescent="0.2">
      <c r="A63" s="870" t="s">
        <v>480</v>
      </c>
      <c r="B63" s="870" t="s">
        <v>1998</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1999</v>
      </c>
      <c r="C64" s="897" t="str">
        <f>'Expenditures 15-22'!B206</f>
        <v>5300</v>
      </c>
      <c r="D64" s="893" t="s">
        <v>328</v>
      </c>
      <c r="E64" s="869"/>
      <c r="F64" s="1938">
        <f>'Expenditures 15-22'!K206</f>
        <v>0</v>
      </c>
      <c r="G64" s="866"/>
    </row>
    <row r="65" spans="1:8" x14ac:dyDescent="0.2">
      <c r="A65" s="870" t="s">
        <v>480</v>
      </c>
      <c r="B65" s="870" t="s">
        <v>2000</v>
      </c>
      <c r="C65" s="887" t="s">
        <v>1038</v>
      </c>
      <c r="D65" s="886" t="s">
        <v>1156</v>
      </c>
      <c r="E65" s="869"/>
      <c r="F65" s="1938">
        <f>'Expenditures 15-22'!G210</f>
        <v>0</v>
      </c>
      <c r="G65" s="866"/>
    </row>
    <row r="66" spans="1:8" x14ac:dyDescent="0.2">
      <c r="A66" s="870" t="s">
        <v>480</v>
      </c>
      <c r="B66" s="870" t="s">
        <v>2001</v>
      </c>
      <c r="C66" s="887" t="s">
        <v>1038</v>
      </c>
      <c r="D66" s="886" t="s">
        <v>308</v>
      </c>
      <c r="E66" s="869"/>
      <c r="F66" s="1938">
        <f>'Expenditures 15-22'!I210</f>
        <v>0</v>
      </c>
      <c r="G66" s="866"/>
    </row>
    <row r="67" spans="1:8" x14ac:dyDescent="0.2">
      <c r="A67" s="870" t="s">
        <v>481</v>
      </c>
      <c r="B67" s="870" t="s">
        <v>2002</v>
      </c>
      <c r="C67" s="887" t="str">
        <f>'Expenditures 15-22'!B216</f>
        <v>1125</v>
      </c>
      <c r="D67" s="893" t="str">
        <f>'Expenditures 15-22'!A216</f>
        <v>Pre-K Programs</v>
      </c>
      <c r="E67" s="869"/>
      <c r="F67" s="1938">
        <f>'Expenditures 15-22'!K216</f>
        <v>1430</v>
      </c>
      <c r="G67" s="866"/>
    </row>
    <row r="68" spans="1:8" x14ac:dyDescent="0.2">
      <c r="A68" s="870" t="s">
        <v>481</v>
      </c>
      <c r="B68" s="870" t="s">
        <v>1554</v>
      </c>
      <c r="C68" s="887" t="str">
        <f>'Expenditures 15-22'!B218</f>
        <v>1225</v>
      </c>
      <c r="D68" s="893" t="str">
        <f>'Expenditures 15-22'!A218</f>
        <v>Special Education Programs - Pre-K</v>
      </c>
      <c r="E68" s="869"/>
      <c r="F68" s="1938">
        <f>'Expenditures 15-22'!K218</f>
        <v>198</v>
      </c>
      <c r="G68" s="866"/>
    </row>
    <row r="69" spans="1:8" x14ac:dyDescent="0.2">
      <c r="A69" s="870" t="s">
        <v>481</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2004</v>
      </c>
      <c r="C70" s="887">
        <f>'Expenditures 15-22'!B221</f>
        <v>1300</v>
      </c>
      <c r="D70" s="888" t="str">
        <f>'Expenditures 15-22'!A221</f>
        <v>Adult/Continuing Education Programs</v>
      </c>
      <c r="E70" s="869"/>
      <c r="F70" s="1938">
        <f>'Expenditures 15-22'!K221</f>
        <v>0</v>
      </c>
      <c r="G70" s="866"/>
    </row>
    <row r="71" spans="1:8" x14ac:dyDescent="0.2">
      <c r="A71" s="870" t="s">
        <v>481</v>
      </c>
      <c r="B71" s="870" t="s">
        <v>2005</v>
      </c>
      <c r="C71" s="887">
        <f>'Expenditures 15-22'!B224</f>
        <v>1600</v>
      </c>
      <c r="D71" s="888" t="str">
        <f>'Expenditures 15-22'!A224</f>
        <v>Summer School Programs</v>
      </c>
      <c r="E71" s="869"/>
      <c r="F71" s="1938">
        <f>'Expenditures 15-22'!K224</f>
        <v>0</v>
      </c>
      <c r="G71" s="866"/>
    </row>
    <row r="72" spans="1:8" x14ac:dyDescent="0.2">
      <c r="A72" s="870" t="s">
        <v>481</v>
      </c>
      <c r="B72" s="870" t="s">
        <v>2006</v>
      </c>
      <c r="C72" s="887">
        <f>'Expenditures 15-22'!B280</f>
        <v>3000</v>
      </c>
      <c r="D72" s="877" t="s">
        <v>468</v>
      </c>
      <c r="E72" s="869"/>
      <c r="F72" s="1938">
        <f>'Expenditures 15-22'!K280</f>
        <v>0</v>
      </c>
      <c r="G72" s="866"/>
    </row>
    <row r="73" spans="1:8" x14ac:dyDescent="0.2">
      <c r="A73" s="870" t="s">
        <v>481</v>
      </c>
      <c r="B73" s="870" t="s">
        <v>2007</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2008</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1014</v>
      </c>
      <c r="F76" s="1800">
        <f>SUM(F18:F74)</f>
        <v>3817385</v>
      </c>
      <c r="G76" s="866"/>
    </row>
    <row r="77" spans="1:8" s="894" customFormat="1" ht="12" customHeight="1" thickTop="1" thickBot="1" x14ac:dyDescent="0.25">
      <c r="A77" s="1801"/>
      <c r="B77" s="1798"/>
      <c r="C77" s="1794"/>
      <c r="D77" s="1799" t="s">
        <v>2010</v>
      </c>
      <c r="E77" s="1796"/>
      <c r="F77" s="1802">
        <f>(F14-F76)</f>
        <v>10704771</v>
      </c>
      <c r="G77" s="870"/>
    </row>
    <row r="78" spans="1:8" s="894" customFormat="1" ht="12" customHeight="1" thickTop="1" x14ac:dyDescent="0.2">
      <c r="A78" s="1803"/>
      <c r="B78" s="1798"/>
      <c r="C78" s="1794"/>
      <c r="D78" s="1799" t="s">
        <v>2056</v>
      </c>
      <c r="E78" s="1796"/>
      <c r="F78" s="899">
        <v>1086.6600000000001</v>
      </c>
      <c r="G78" s="900"/>
      <c r="H78" s="870"/>
    </row>
    <row r="79" spans="1:8" s="894" customFormat="1" ht="12" customHeight="1" thickBot="1" x14ac:dyDescent="0.25">
      <c r="A79" s="1804"/>
      <c r="B79" s="1798"/>
      <c r="C79" s="1794"/>
      <c r="D79" s="1799" t="s">
        <v>2011</v>
      </c>
      <c r="E79" s="1796" t="s">
        <v>1014</v>
      </c>
      <c r="F79" s="1805">
        <f>IF(F78&gt;0,F77/F78," Complete Line 78")</f>
        <v>9851.0766937220469</v>
      </c>
      <c r="G79" s="870"/>
    </row>
    <row r="80" spans="1:8" s="894" customFormat="1" ht="8.25" customHeight="1" thickTop="1" x14ac:dyDescent="0.2">
      <c r="A80" s="901"/>
      <c r="B80" s="870"/>
      <c r="C80" s="872"/>
      <c r="D80" s="902"/>
      <c r="E80" s="869"/>
      <c r="F80" s="903"/>
      <c r="G80" s="870"/>
    </row>
    <row r="81" spans="1:7" s="894" customFormat="1" ht="12" thickBot="1" x14ac:dyDescent="0.25">
      <c r="A81" s="2273" t="s">
        <v>1166</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98836</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478</v>
      </c>
      <c r="B96" s="909" t="s">
        <v>178</v>
      </c>
      <c r="C96" s="911">
        <f>'Revenues 9-14'!B84</f>
        <v>1811</v>
      </c>
      <c r="D96" s="912" t="str">
        <f>'Revenues 9-14'!A84</f>
        <v>Rentals - Regular Textbooks</v>
      </c>
      <c r="E96" s="907"/>
      <c r="F96" s="1811">
        <f>'Revenues 9-14'!C84</f>
        <v>88914</v>
      </c>
      <c r="G96" s="913"/>
    </row>
    <row r="97" spans="1:7" x14ac:dyDescent="0.2">
      <c r="A97" s="909" t="s">
        <v>478</v>
      </c>
      <c r="B97" s="909" t="s">
        <v>179</v>
      </c>
      <c r="C97" s="911">
        <f>'Revenues 9-14'!B87</f>
        <v>1819</v>
      </c>
      <c r="D97" s="912" t="str">
        <f>'Revenues 9-14'!A87</f>
        <v>Rentals - Other (Describe &amp; Itemize)</v>
      </c>
      <c r="E97" s="907"/>
      <c r="F97" s="1811">
        <f>'Revenues 9-14'!C87</f>
        <v>6186</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258009</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157344</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328325</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27567</v>
      </c>
      <c r="G107" s="913"/>
    </row>
    <row r="108" spans="1:7" x14ac:dyDescent="0.2">
      <c r="A108" s="909" t="s">
        <v>478</v>
      </c>
      <c r="B108" s="909" t="s">
        <v>843</v>
      </c>
      <c r="C108" s="921">
        <f>'Revenues 9-14'!B145</f>
        <v>3360</v>
      </c>
      <c r="D108" s="912" t="str">
        <f>'Revenues 9-14'!A145</f>
        <v>State Free Lunch &amp; Breakfast</v>
      </c>
      <c r="E108" s="907"/>
      <c r="F108" s="1811">
        <f>'Revenues 9-14'!C145</f>
        <v>3529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386361</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750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257194</v>
      </c>
      <c r="G129" s="931"/>
    </row>
    <row r="130" spans="1:7" x14ac:dyDescent="0.2">
      <c r="A130" s="928" t="s">
        <v>688</v>
      </c>
      <c r="B130" s="928" t="s">
        <v>803</v>
      </c>
      <c r="C130" s="933">
        <v>4300</v>
      </c>
      <c r="D130" s="934" t="str">
        <f>'Revenues 9-14'!A211</f>
        <v>Total Title I</v>
      </c>
      <c r="E130" s="907"/>
      <c r="F130" s="1811">
        <f>SUM('Revenues 9-14'!C211,'Revenues 9-14'!D211,'Revenues 9-14'!F211,'Revenues 9-14'!G211)</f>
        <v>147897</v>
      </c>
      <c r="G130" s="931"/>
    </row>
    <row r="131" spans="1:7" x14ac:dyDescent="0.2">
      <c r="A131" s="928" t="s">
        <v>688</v>
      </c>
      <c r="B131" s="928" t="s">
        <v>804</v>
      </c>
      <c r="C131" s="933">
        <v>4400</v>
      </c>
      <c r="D131" s="934" t="str">
        <f>'Revenues 9-14'!A216</f>
        <v>Total Title IV</v>
      </c>
      <c r="E131" s="907"/>
      <c r="F131" s="1811">
        <f>SUM('Revenues 9-14'!C216,'Revenues 9-14'!D216,'Revenues 9-14'!F216,'Revenues 9-14'!G216)</f>
        <v>750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130765</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9752</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33058</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59045</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17614</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22707</v>
      </c>
      <c r="G174" s="928"/>
    </row>
    <row r="175" spans="1:7" x14ac:dyDescent="0.2">
      <c r="A175" s="1943" t="s">
        <v>5</v>
      </c>
      <c r="B175" s="1944" t="s">
        <v>2055</v>
      </c>
      <c r="C175" s="1945">
        <v>3100</v>
      </c>
      <c r="D175" s="1946" t="s">
        <v>2058</v>
      </c>
      <c r="E175" s="907"/>
      <c r="F175" s="1930"/>
      <c r="G175" s="928"/>
    </row>
    <row r="176" spans="1:7" x14ac:dyDescent="0.2">
      <c r="A176" s="1943" t="s">
        <v>684</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1014</v>
      </c>
      <c r="F178" s="1810">
        <f>SUM(F84:F136,F161:F176)</f>
        <v>2034603</v>
      </c>
    </row>
    <row r="179" spans="1:7" ht="12" customHeight="1" x14ac:dyDescent="0.2">
      <c r="A179" s="1792"/>
      <c r="B179" s="1806"/>
      <c r="C179" s="1807"/>
      <c r="D179" s="1808" t="s">
        <v>2013</v>
      </c>
      <c r="E179" s="1809"/>
      <c r="F179" s="1811">
        <f>'PCTC-OEPP 27-28'!F77-F178</f>
        <v>8670168</v>
      </c>
    </row>
    <row r="180" spans="1:7" ht="12" customHeight="1" x14ac:dyDescent="0.2">
      <c r="A180" s="1792"/>
      <c r="B180" s="1806"/>
      <c r="C180" s="1807"/>
      <c r="D180" s="1808" t="s">
        <v>1923</v>
      </c>
      <c r="E180" s="1809"/>
      <c r="F180" s="1811">
        <f>'Cap Outlay Deprec 26'!I18</f>
        <v>905222.6</v>
      </c>
    </row>
    <row r="181" spans="1:7" ht="12" customHeight="1" x14ac:dyDescent="0.2">
      <c r="A181" s="1792"/>
      <c r="B181" s="1806"/>
      <c r="C181" s="1807"/>
      <c r="D181" s="1808" t="s">
        <v>2014</v>
      </c>
      <c r="E181" s="1809"/>
      <c r="F181" s="1811">
        <f>F179+F180</f>
        <v>9575390.5999999996</v>
      </c>
    </row>
    <row r="182" spans="1:7" ht="12" customHeight="1" x14ac:dyDescent="0.2">
      <c r="A182" s="1792"/>
      <c r="B182" s="1812"/>
      <c r="C182" s="1807"/>
      <c r="D182" s="1808" t="str">
        <f>D78</f>
        <v>9 Month ADA from District Average Daily Attendance/Prior General State Aid Inquiry 2017-2018</v>
      </c>
      <c r="E182" s="1809"/>
      <c r="F182" s="1813">
        <f>'PCTC-OEPP 27-28'!F78</f>
        <v>1086.6600000000001</v>
      </c>
      <c r="G182" s="931"/>
    </row>
    <row r="183" spans="1:7" ht="12" customHeight="1" thickBot="1" x14ac:dyDescent="0.25">
      <c r="A183" s="1792"/>
      <c r="B183" s="1812"/>
      <c r="C183" s="1807"/>
      <c r="D183" s="1808" t="s">
        <v>2015</v>
      </c>
      <c r="E183" s="1809" t="s">
        <v>1625</v>
      </c>
      <c r="F183" s="1814">
        <f>F181/F182</f>
        <v>8811.763201001233</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30" sqref="D3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6" t="s">
        <v>1925</v>
      </c>
      <c r="B6" s="1557"/>
      <c r="C6" s="1557"/>
      <c r="D6" s="1557"/>
      <c r="E6" s="1557"/>
      <c r="F6" s="1557"/>
      <c r="G6" s="1558"/>
    </row>
    <row r="7" spans="1:7" ht="30.75" customHeight="1" x14ac:dyDescent="0.25">
      <c r="A7" s="2293" t="s">
        <v>2072</v>
      </c>
      <c r="B7" s="2294"/>
      <c r="C7" s="2294"/>
      <c r="D7" s="2294"/>
      <c r="E7" s="2294"/>
      <c r="F7" s="2294"/>
      <c r="G7" s="2295"/>
    </row>
    <row r="8" spans="1:7" ht="15.75" customHeight="1" x14ac:dyDescent="0.25">
      <c r="A8" s="2296" t="s">
        <v>2021</v>
      </c>
      <c r="B8" s="2297"/>
      <c r="C8" s="2297"/>
      <c r="D8" s="2297"/>
      <c r="E8" s="2297"/>
      <c r="F8" s="2297"/>
      <c r="G8" s="2298"/>
    </row>
    <row r="9" spans="1:7" ht="35.25" customHeight="1" x14ac:dyDescent="0.25">
      <c r="A9" s="2293" t="s">
        <v>2075</v>
      </c>
      <c r="B9" s="2294"/>
      <c r="C9" s="2294"/>
      <c r="D9" s="2294"/>
      <c r="E9" s="2294"/>
      <c r="F9" s="2294"/>
      <c r="G9" s="2295"/>
    </row>
    <row r="10" spans="1:7" ht="15" customHeight="1" x14ac:dyDescent="0.25">
      <c r="A10" s="1559" t="s">
        <v>1926</v>
      </c>
      <c r="B10" s="1560"/>
      <c r="C10" s="1560"/>
      <c r="D10" s="1560"/>
      <c r="E10" s="1560"/>
      <c r="F10" s="1560"/>
      <c r="G10" s="1561"/>
    </row>
    <row r="11" spans="1:7" ht="17.25" customHeight="1" x14ac:dyDescent="0.25">
      <c r="A11" s="2293" t="s">
        <v>2074</v>
      </c>
      <c r="B11" s="2294"/>
      <c r="C11" s="2294"/>
      <c r="D11" s="2294"/>
      <c r="E11" s="2294"/>
      <c r="F11" s="2294"/>
      <c r="G11" s="2295"/>
    </row>
    <row r="12" spans="1:7" ht="15" customHeight="1" x14ac:dyDescent="0.25">
      <c r="A12" s="1559" t="s">
        <v>1931</v>
      </c>
      <c r="B12" s="1560"/>
      <c r="C12" s="1560"/>
      <c r="D12" s="1560"/>
      <c r="E12" s="1560"/>
      <c r="F12" s="1560"/>
      <c r="G12" s="1561"/>
    </row>
    <row r="13" spans="1:7" ht="32.25" customHeight="1" x14ac:dyDescent="0.25">
      <c r="A13" s="2284" t="s">
        <v>1932</v>
      </c>
      <c r="B13" s="2285"/>
      <c r="C13" s="2285"/>
      <c r="D13" s="2285"/>
      <c r="E13" s="2285"/>
      <c r="F13" s="2285"/>
      <c r="G13" s="2286"/>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2118</v>
      </c>
      <c r="B17" s="1956" t="s">
        <v>2120</v>
      </c>
      <c r="C17" s="1957" t="s">
        <v>2119</v>
      </c>
      <c r="D17" s="1867">
        <v>8000</v>
      </c>
      <c r="E17" s="1562">
        <f t="shared" ref="E17:E141" si="1">IF(D17&lt;=25000,D17,IF(D17&gt;25000,25000,0))</f>
        <v>8000</v>
      </c>
      <c r="F17" s="1815">
        <f t="shared" si="0"/>
        <v>8000</v>
      </c>
      <c r="G17" s="1816">
        <f>IF(F17=0,0,D17-F17)</f>
        <v>0</v>
      </c>
      <c r="H17" s="1669"/>
    </row>
    <row r="18" spans="1:8" x14ac:dyDescent="0.25">
      <c r="A18" s="1955" t="s">
        <v>2118</v>
      </c>
      <c r="B18" s="1956" t="s">
        <v>2120</v>
      </c>
      <c r="C18" s="1957" t="s">
        <v>2121</v>
      </c>
      <c r="D18" s="1867">
        <v>9766</v>
      </c>
      <c r="E18" s="1562">
        <f t="shared" ref="E18:E140" si="2">IF(D18&lt;=25000,D18,IF(D18&gt;25000,25000,0))</f>
        <v>9766</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9766</v>
      </c>
      <c r="G18" s="1816">
        <f t="shared" ref="G18:G140" si="4">IF(F18=0,0,D18-F18)</f>
        <v>0</v>
      </c>
    </row>
    <row r="19" spans="1:8" x14ac:dyDescent="0.25">
      <c r="A19" s="1955" t="s">
        <v>2118</v>
      </c>
      <c r="B19" s="1956" t="s">
        <v>2120</v>
      </c>
      <c r="C19" s="1957" t="s">
        <v>2122</v>
      </c>
      <c r="D19" s="1867">
        <v>63871</v>
      </c>
      <c r="E19" s="1562">
        <f t="shared" si="2"/>
        <v>25000</v>
      </c>
      <c r="F19" s="1815">
        <f t="shared" si="3"/>
        <v>25000</v>
      </c>
      <c r="G19" s="1816">
        <f t="shared" si="4"/>
        <v>38871</v>
      </c>
    </row>
    <row r="20" spans="1:8" x14ac:dyDescent="0.25">
      <c r="A20" s="1955" t="s">
        <v>2118</v>
      </c>
      <c r="B20" s="1956" t="s">
        <v>2120</v>
      </c>
      <c r="C20" s="1957" t="s">
        <v>2123</v>
      </c>
      <c r="D20" s="1867">
        <v>12456</v>
      </c>
      <c r="E20" s="1562">
        <f t="shared" si="2"/>
        <v>12456</v>
      </c>
      <c r="F20" s="1815">
        <f t="shared" si="3"/>
        <v>12456</v>
      </c>
      <c r="G20" s="1816">
        <f t="shared" si="4"/>
        <v>0</v>
      </c>
    </row>
    <row r="21" spans="1:8" x14ac:dyDescent="0.25">
      <c r="A21" s="1955" t="s">
        <v>2118</v>
      </c>
      <c r="B21" s="1956" t="s">
        <v>2120</v>
      </c>
      <c r="C21" s="1957" t="s">
        <v>2124</v>
      </c>
      <c r="D21" s="1867">
        <v>3463</v>
      </c>
      <c r="E21" s="1562">
        <f t="shared" si="2"/>
        <v>3463</v>
      </c>
      <c r="F21" s="1815">
        <f t="shared" si="3"/>
        <v>3463</v>
      </c>
      <c r="G21" s="1816">
        <f t="shared" si="4"/>
        <v>0</v>
      </c>
    </row>
    <row r="22" spans="1:8" x14ac:dyDescent="0.25">
      <c r="A22" s="1955" t="s">
        <v>2118</v>
      </c>
      <c r="B22" s="1956" t="s">
        <v>2120</v>
      </c>
      <c r="C22" s="1957" t="s">
        <v>2125</v>
      </c>
      <c r="D22" s="1867">
        <v>7600</v>
      </c>
      <c r="E22" s="1562">
        <f t="shared" si="2"/>
        <v>7600</v>
      </c>
      <c r="F22" s="1815">
        <f t="shared" si="3"/>
        <v>7600</v>
      </c>
      <c r="G22" s="1816">
        <f t="shared" si="4"/>
        <v>0</v>
      </c>
    </row>
    <row r="23" spans="1:8" x14ac:dyDescent="0.25">
      <c r="A23" s="1955" t="s">
        <v>2118</v>
      </c>
      <c r="B23" s="1956" t="s">
        <v>2120</v>
      </c>
      <c r="C23" s="1957" t="s">
        <v>2126</v>
      </c>
      <c r="D23" s="1867">
        <v>1800</v>
      </c>
      <c r="E23" s="1562">
        <f t="shared" si="2"/>
        <v>1800</v>
      </c>
      <c r="F23" s="1815">
        <f t="shared" si="3"/>
        <v>1800</v>
      </c>
      <c r="G23" s="1816">
        <f t="shared" si="4"/>
        <v>0</v>
      </c>
    </row>
    <row r="24" spans="1:8" x14ac:dyDescent="0.25">
      <c r="A24" s="1955" t="s">
        <v>2118</v>
      </c>
      <c r="B24" s="1956" t="s">
        <v>2120</v>
      </c>
      <c r="C24" s="1957" t="s">
        <v>2127</v>
      </c>
      <c r="D24" s="1867">
        <f>3650+250</f>
        <v>3900</v>
      </c>
      <c r="E24" s="1562">
        <f t="shared" si="2"/>
        <v>3900</v>
      </c>
      <c r="F24" s="1815">
        <f t="shared" si="3"/>
        <v>3900</v>
      </c>
      <c r="G24" s="1816">
        <f t="shared" si="4"/>
        <v>0</v>
      </c>
    </row>
    <row r="25" spans="1:8" x14ac:dyDescent="0.25">
      <c r="A25" s="1955" t="s">
        <v>2118</v>
      </c>
      <c r="B25" s="1956" t="s">
        <v>2120</v>
      </c>
      <c r="C25" s="1957" t="s">
        <v>2128</v>
      </c>
      <c r="D25" s="1867">
        <v>13260</v>
      </c>
      <c r="E25" s="1562">
        <f t="shared" si="2"/>
        <v>13260</v>
      </c>
      <c r="F25" s="1815">
        <f t="shared" si="3"/>
        <v>13260</v>
      </c>
      <c r="G25" s="1816">
        <f t="shared" si="4"/>
        <v>0</v>
      </c>
    </row>
    <row r="26" spans="1:8" x14ac:dyDescent="0.25">
      <c r="A26" s="1955" t="s">
        <v>2118</v>
      </c>
      <c r="B26" s="1956" t="s">
        <v>2120</v>
      </c>
      <c r="C26" s="1957" t="s">
        <v>2129</v>
      </c>
      <c r="D26" s="1867">
        <v>2324</v>
      </c>
      <c r="E26" s="1562">
        <f t="shared" si="2"/>
        <v>2324</v>
      </c>
      <c r="F26" s="1815">
        <f t="shared" si="3"/>
        <v>2324</v>
      </c>
      <c r="G26" s="1816">
        <f t="shared" si="4"/>
        <v>0</v>
      </c>
    </row>
    <row r="27" spans="1:8" x14ac:dyDescent="0.25">
      <c r="A27" s="1955" t="s">
        <v>2118</v>
      </c>
      <c r="B27" s="1956" t="s">
        <v>2120</v>
      </c>
      <c r="C27" s="1957" t="s">
        <v>2130</v>
      </c>
      <c r="D27" s="1867">
        <v>28369</v>
      </c>
      <c r="E27" s="1562">
        <f t="shared" si="2"/>
        <v>25000</v>
      </c>
      <c r="F27" s="1815">
        <f t="shared" si="3"/>
        <v>25000</v>
      </c>
      <c r="G27" s="1816">
        <f t="shared" si="4"/>
        <v>3369</v>
      </c>
    </row>
    <row r="28" spans="1:8" x14ac:dyDescent="0.25">
      <c r="A28" s="1955" t="s">
        <v>2131</v>
      </c>
      <c r="B28" s="1956" t="s">
        <v>2132</v>
      </c>
      <c r="C28" s="1957" t="s">
        <v>2133</v>
      </c>
      <c r="D28" s="1867">
        <v>6596</v>
      </c>
      <c r="E28" s="1562">
        <f t="shared" si="2"/>
        <v>6596</v>
      </c>
      <c r="F28" s="1815">
        <f t="shared" si="3"/>
        <v>6596</v>
      </c>
      <c r="G28" s="1816">
        <f t="shared" si="4"/>
        <v>0</v>
      </c>
    </row>
    <row r="29" spans="1:8" x14ac:dyDescent="0.25">
      <c r="A29" s="1955" t="s">
        <v>2131</v>
      </c>
      <c r="B29" s="1956" t="s">
        <v>2132</v>
      </c>
      <c r="C29" s="1957" t="s">
        <v>2134</v>
      </c>
      <c r="D29" s="1867">
        <v>2753</v>
      </c>
      <c r="E29" s="1562">
        <f t="shared" si="2"/>
        <v>2753</v>
      </c>
      <c r="F29" s="1815">
        <f t="shared" si="3"/>
        <v>2753</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164158</v>
      </c>
      <c r="E141" s="1563">
        <f t="shared" si="1"/>
        <v>25000</v>
      </c>
      <c r="F141" s="1817">
        <f>SUM(F17:F140)</f>
        <v>121918</v>
      </c>
      <c r="G141" s="1818">
        <f>SUM(G17:G140)</f>
        <v>42240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f>+'Revenues 9-14'!C201</f>
        <v>257194</v>
      </c>
      <c r="F10" s="975"/>
      <c r="G10" s="976"/>
      <c r="H10" s="162"/>
      <c r="I10" s="162"/>
    </row>
    <row r="11" spans="1:9" s="669" customFormat="1" ht="22.5" customHeight="1" x14ac:dyDescent="0.2">
      <c r="A11" s="2304" t="s">
        <v>1943</v>
      </c>
      <c r="B11" s="2305"/>
      <c r="C11" s="2305"/>
      <c r="D11" s="2306"/>
      <c r="E11" s="978">
        <v>36643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5279175</v>
      </c>
      <c r="F19" s="1822"/>
      <c r="G19" s="1824">
        <f>'Expenditures 15-22'!K33-SUM('Expenditures 15-22'!G33,'Expenditures 15-22'!I33)+'Expenditures 15-22'!D229</f>
        <v>5279175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777670</v>
      </c>
      <c r="F21" s="1825"/>
      <c r="G21" s="1828">
        <f>'Expenditures 15-22'!K42-SUM('Expenditures 15-22'!G42,'Expenditures 15-22'!I42)+'Expenditures 15-22'!K120-SUM('Expenditures 15-22'!G120,'Expenditures 15-22'!I120)+'Expenditures 15-22'!K180-SUM('Expenditures 15-22'!G180,'Expenditures 15-22'!I180)+'Expenditures 15-22'!D238</f>
        <v>777670</v>
      </c>
      <c r="H21" s="988"/>
      <c r="I21" s="162"/>
    </row>
    <row r="22" spans="1:9" s="669" customFormat="1" ht="12" customHeight="1" x14ac:dyDescent="0.2">
      <c r="A22" s="995" t="s">
        <v>584</v>
      </c>
      <c r="B22" s="996"/>
      <c r="C22" s="994">
        <v>2200</v>
      </c>
      <c r="D22" s="1825"/>
      <c r="E22" s="1827">
        <f>'Expenditures 15-22'!K47-SUM('Expenditures 15-22'!G47,'Expenditures 15-22'!I47)+'Expenditures 15-22'!D243</f>
        <v>336435</v>
      </c>
      <c r="F22" s="1825"/>
      <c r="G22" s="1828">
        <f>'Expenditures 15-22'!K47-SUM('Expenditures 15-22'!G47,'Expenditures 15-22'!I47)+'Expenditures 15-22'!D243</f>
        <v>336435</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625373</v>
      </c>
      <c r="F23" s="1825"/>
      <c r="G23" s="1827">
        <f>'Expenditures 15-22'!K53-SUM('Expenditures 15-22'!G53,'Expenditures 15-22'!I53)+'Expenditures 15-22'!D257+'Expenditures 15-22'!K330-SUM('Expenditures 15-22'!G330,'Expenditures 15-22'!I330)</f>
        <v>625373</v>
      </c>
      <c r="H23" s="988"/>
      <c r="I23" s="162"/>
    </row>
    <row r="24" spans="1:9" s="669" customFormat="1" ht="12" customHeight="1" x14ac:dyDescent="0.2">
      <c r="A24" s="995" t="s">
        <v>586</v>
      </c>
      <c r="B24" s="996"/>
      <c r="C24" s="994">
        <v>2400</v>
      </c>
      <c r="D24" s="1825"/>
      <c r="E24" s="1827">
        <f>'Expenditures 15-22'!K57-SUM('Expenditures 15-22'!G57,'Expenditures 15-22'!I57)+'Expenditures 15-22'!D261</f>
        <v>388005</v>
      </c>
      <c r="F24" s="1825"/>
      <c r="G24" s="1828">
        <f>'Expenditures 15-22'!K57-SUM('Expenditures 15-22'!G57,'Expenditures 15-22'!I57)+'Expenditures 15-22'!D261</f>
        <v>388005</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404</v>
      </c>
      <c r="E26" s="1827">
        <f>'Expenditures 15-22'!K122-SUM('Expenditures 15-22'!G122,'Expenditures 15-22'!I122)+E7</f>
        <v>31397</v>
      </c>
      <c r="F26" s="1827">
        <f>'Expenditures 15-22'!K59-SUM('Expenditures 15-22'!G59,'Expenditures 15-22'!I59)+'Expenditures 15-22'!D263-E7</f>
        <v>404</v>
      </c>
      <c r="G26" s="1828">
        <f>'Expenditures 15-22'!K122-SUM('Expenditures 15-22'!G122,'Expenditures 15-22'!I122)+E7</f>
        <v>31397</v>
      </c>
      <c r="H26" s="988"/>
      <c r="I26" s="162"/>
    </row>
    <row r="27" spans="1:9" s="669" customFormat="1" ht="12" customHeight="1" x14ac:dyDescent="0.2">
      <c r="A27" s="995" t="s">
        <v>482</v>
      </c>
      <c r="B27" s="998"/>
      <c r="C27" s="994">
        <v>2520</v>
      </c>
      <c r="D27" s="1827">
        <f>'Expenditures 15-22'!K60-SUM('Expenditures 15-22'!G60,'Expenditures 15-22'!I60)+'Expenditures 15-22'!D264-E8</f>
        <v>164957</v>
      </c>
      <c r="E27" s="1827">
        <f>E8</f>
        <v>0</v>
      </c>
      <c r="F27" s="1827">
        <f>'Expenditures 15-22'!K60-SUM('Expenditures 15-22'!G60,'Expenditures 15-22'!I60)+'Expenditures 15-22'!D264-E8</f>
        <v>164957</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920857</v>
      </c>
      <c r="F28" s="1829">
        <f>'Expenditures 15-22'!K61-SUM('Expenditures 15-22'!G61,'Expenditures 15-22'!I61)+'Expenditures 15-22'!K124-SUM('Expenditures 15-22'!G124,'Expenditures 15-22'!I124)+'Expenditures 15-22'!D266-E9</f>
        <v>920857</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636211</v>
      </c>
      <c r="F29" s="1825"/>
      <c r="G29" s="1828">
        <f>'Expenditures 15-22'!K62-SUM('Expenditures 15-22'!G62,'Expenditures 15-22'!I62)+'Expenditures 15-22'!K125-SUM('Expenditures 15-22'!G125,'Expenditures 15-22'!I125)+'Expenditures 15-22'!K182-SUM('Expenditures 15-22'!G182,'Expenditures 15-22'!I182)+'Expenditures 15-22'!D267</f>
        <v>636211</v>
      </c>
      <c r="H29" s="986"/>
    </row>
    <row r="30" spans="1:9" ht="12" customHeight="1" x14ac:dyDescent="0.2">
      <c r="A30" s="995" t="s">
        <v>102</v>
      </c>
      <c r="B30" s="998"/>
      <c r="C30" s="994">
        <v>2560</v>
      </c>
      <c r="D30" s="1825"/>
      <c r="E30" s="1827">
        <f>'Expenditures 15-22'!K63-SUM('Expenditures 15-22'!G63,'Expenditures 15-22'!I63)+'Expenditures 15-22'!D268-E10</f>
        <v>197836</v>
      </c>
      <c r="F30" s="1825"/>
      <c r="G30" s="1827">
        <f>'Expenditures 15-22'!K63-SUM('Expenditures 15-22'!G63,'Expenditures 15-22'!I63)+'Expenditures 15-22'!D268-E10</f>
        <v>197836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77663</v>
      </c>
      <c r="F35" s="1825"/>
      <c r="G35" s="1827">
        <f>'Expenditures 15-22'!K69-SUM('Expenditures 15-22'!G69,'Expenditures 15-22'!I69)+'Expenditures 15-22'!D274</f>
        <v>77663</v>
      </c>
    </row>
    <row r="36" spans="1:7" ht="12" customHeight="1" x14ac:dyDescent="0.2">
      <c r="A36" s="995" t="s">
        <v>422</v>
      </c>
      <c r="B36" s="998"/>
      <c r="C36" s="994">
        <v>2640</v>
      </c>
      <c r="D36" s="1827">
        <f>'Expenditures 15-22'!K70-SUM('Expenditures 15-22'!G70,'Expenditures 15-22'!I70)+'Expenditures 15-22'!D275-E13</f>
        <v>1725</v>
      </c>
      <c r="E36" s="1827">
        <f>E13</f>
        <v>0</v>
      </c>
      <c r="F36" s="1827">
        <f>'Expenditures 15-22'!K70-SUM('Expenditures 15-22'!G70,'Expenditures 15-22'!I70)+'Expenditures 15-22'!D275-E13</f>
        <v>1725</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965</v>
      </c>
      <c r="F38" s="1825"/>
      <c r="G38" s="1827">
        <f>'Expenditures 15-22'!K73-SUM('Expenditures 15-22'!G73,'Expenditures 15-22'!I73)+'Expenditures 15-22'!K128-SUM('Expenditures 15-22'!G128,'Expenditures 15-22'!I128)+'Expenditures 15-22'!K183-SUM('Expenditures 15-22'!G183,'Expenditures 15-22'!I183)+'Expenditures 15-22'!D278</f>
        <v>965</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1527</v>
      </c>
      <c r="F39" s="1825"/>
      <c r="G39" s="1827">
        <f>'Expenditures 15-22'!K75-SUM('Expenditures 15-22'!G75,'Expenditures 15-22'!I75)+'Expenditures 15-22'!K130-SUM('Expenditures 15-22'!G130,'Expenditures 15-22'!I130)+'Expenditures 15-22'!K185-SUM('Expenditures 15-22'!G185,'Expenditures 15-22'!I185)+'Expenditures 15-22'!D280</f>
        <v>1527</v>
      </c>
    </row>
    <row r="40" spans="1:7" ht="12" customHeight="1" x14ac:dyDescent="0.2">
      <c r="A40" s="991" t="s">
        <v>1929</v>
      </c>
      <c r="B40" s="992"/>
      <c r="C40" s="994"/>
      <c r="D40" s="1825"/>
      <c r="E40" s="1829">
        <f>-'Contracts Paid in CY 29'!G141</f>
        <v>-42240</v>
      </c>
      <c r="F40" s="1825"/>
      <c r="G40" s="1829">
        <f>-'Contracts Paid in CY 29'!G141</f>
        <v>-42240</v>
      </c>
    </row>
    <row r="41" spans="1:7" ht="12" customHeight="1" x14ac:dyDescent="0.2">
      <c r="A41" s="999" t="s">
        <v>158</v>
      </c>
      <c r="B41" s="1000"/>
      <c r="C41" s="1001"/>
      <c r="D41" s="1829">
        <f>SUM(D19:D39)</f>
        <v>167086</v>
      </c>
      <c r="E41" s="1829">
        <f>SUM(E19:E40)</f>
        <v>9230874</v>
      </c>
      <c r="F41" s="1829">
        <f>SUM(F19:F39)</f>
        <v>1087943</v>
      </c>
      <c r="G41" s="1829">
        <f>SUM(G19:G40)</f>
        <v>8310017</v>
      </c>
    </row>
    <row r="42" spans="1:7" x14ac:dyDescent="0.2">
      <c r="A42" s="988"/>
      <c r="B42" s="162"/>
      <c r="C42" s="1002"/>
      <c r="D42" s="2302" t="s">
        <v>542</v>
      </c>
      <c r="E42" s="2303"/>
      <c r="F42" s="1003" t="s">
        <v>543</v>
      </c>
      <c r="G42" s="1004"/>
    </row>
    <row r="43" spans="1:7" ht="12" customHeight="1" x14ac:dyDescent="0.2">
      <c r="A43" s="988"/>
      <c r="B43" s="162"/>
      <c r="C43" s="1002"/>
      <c r="D43" s="1830" t="s">
        <v>492</v>
      </c>
      <c r="E43" s="1831">
        <f>D41</f>
        <v>167086</v>
      </c>
      <c r="F43" s="1830" t="s">
        <v>494</v>
      </c>
      <c r="G43" s="1831">
        <f>F41</f>
        <v>1087943</v>
      </c>
    </row>
    <row r="44" spans="1:7" ht="12" customHeight="1" x14ac:dyDescent="0.2">
      <c r="A44" s="988"/>
      <c r="B44" s="162"/>
      <c r="C44" s="1002"/>
      <c r="D44" s="1830" t="s">
        <v>493</v>
      </c>
      <c r="E44" s="1831">
        <f>E41</f>
        <v>9230874</v>
      </c>
      <c r="F44" s="1830" t="s">
        <v>493</v>
      </c>
      <c r="G44" s="1831">
        <f>G41</f>
        <v>8310017</v>
      </c>
    </row>
    <row r="45" spans="1:7" ht="12" customHeight="1" x14ac:dyDescent="0.2">
      <c r="A45" s="988"/>
      <c r="B45" s="162"/>
      <c r="C45" s="162"/>
      <c r="D45" s="1832" t="s">
        <v>1062</v>
      </c>
      <c r="E45" s="1833">
        <f>(E43/E44)</f>
        <v>1.8100777889504288E-2</v>
      </c>
      <c r="F45" s="1832" t="s">
        <v>1062</v>
      </c>
      <c r="G45" s="1833">
        <f>(G43/G44)</f>
        <v>0.13091946743309912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D9" sqref="D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1" t="s">
        <v>1445</v>
      </c>
      <c r="B1" s="2321"/>
      <c r="C1" s="2321"/>
      <c r="D1" s="2321"/>
      <c r="E1" s="2321"/>
      <c r="F1" s="2321"/>
    </row>
    <row r="2" spans="1:10" x14ac:dyDescent="0.2">
      <c r="A2" s="1911" t="s">
        <v>2045</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22" t="s">
        <v>1626</v>
      </c>
      <c r="B5" s="2323"/>
      <c r="C5" s="2324"/>
      <c r="D5" s="2324"/>
      <c r="E5" s="2324"/>
      <c r="F5" s="2324"/>
    </row>
    <row r="6" spans="1:10" ht="12" customHeight="1" x14ac:dyDescent="0.25">
      <c r="A6" s="1874"/>
      <c r="B6" s="1875"/>
      <c r="C6" s="2325" t="str">
        <f>COVER!A17</f>
        <v>Morris Elementary School District #54</v>
      </c>
      <c r="D6" s="2325"/>
      <c r="E6" s="2325"/>
      <c r="F6" s="1876"/>
    </row>
    <row r="7" spans="1:10" ht="11.25" customHeight="1" thickBot="1" x14ac:dyDescent="0.3">
      <c r="A7" s="1874"/>
      <c r="B7" s="1875"/>
      <c r="C7" s="2326">
        <f>COVER!A13</f>
        <v>24032054002</v>
      </c>
      <c r="D7" s="2326"/>
      <c r="E7" s="2326"/>
      <c r="F7" s="1876"/>
    </row>
    <row r="8" spans="1:10" ht="25.5" customHeight="1" thickBot="1" x14ac:dyDescent="0.25">
      <c r="A8" s="1917" t="s">
        <v>2022</v>
      </c>
      <c r="B8" s="1877"/>
      <c r="C8" s="1913" t="s">
        <v>1779</v>
      </c>
      <c r="D8" s="1912" t="s">
        <v>1780</v>
      </c>
      <c r="E8" s="1914" t="s">
        <v>1446</v>
      </c>
      <c r="F8" s="1912" t="s">
        <v>1781</v>
      </c>
      <c r="H8" s="1878" t="b">
        <v>0</v>
      </c>
    </row>
    <row r="9" spans="1:10" ht="15.75" customHeight="1" x14ac:dyDescent="0.2">
      <c r="A9" s="1879" t="s">
        <v>1622</v>
      </c>
      <c r="B9" s="1880"/>
      <c r="C9" s="1881" t="s">
        <v>2076</v>
      </c>
      <c r="D9" s="1881" t="s">
        <v>2076</v>
      </c>
      <c r="E9" s="1882" t="s">
        <v>2076</v>
      </c>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t="s">
        <v>2076</v>
      </c>
      <c r="D11" s="1889" t="s">
        <v>2076</v>
      </c>
      <c r="E11" s="1890"/>
      <c r="F11" s="1891" t="s">
        <v>2112</v>
      </c>
      <c r="H11" s="1902">
        <f>IF(C11="X",5,0)</f>
        <v>5</v>
      </c>
      <c r="I11" s="1902">
        <f>IF(D11="X",5,0)</f>
        <v>5</v>
      </c>
      <c r="J11" s="1902">
        <f>IF(E11="X",5,0)</f>
        <v>0</v>
      </c>
    </row>
    <row r="12" spans="1:10" ht="12" customHeight="1" x14ac:dyDescent="0.2">
      <c r="A12" s="1887" t="s">
        <v>1450</v>
      </c>
      <c r="B12" s="1888"/>
      <c r="C12" s="1889"/>
      <c r="D12" s="1889" t="s">
        <v>2076</v>
      </c>
      <c r="E12" s="1892"/>
      <c r="F12" s="1891" t="s">
        <v>2113</v>
      </c>
      <c r="H12" s="1902">
        <f t="shared" ref="H12:H33" si="0">IF(C12="X",5,0)</f>
        <v>0</v>
      </c>
      <c r="I12" s="1902">
        <f t="shared" ref="I12:I33" si="1">IF(D12="X",5,0)</f>
        <v>5</v>
      </c>
      <c r="J12" s="1902">
        <f t="shared" ref="J12:J33" si="2">IF(E12="X",5,0)</f>
        <v>0</v>
      </c>
    </row>
    <row r="13" spans="1:10" ht="12" customHeight="1" x14ac:dyDescent="0.2">
      <c r="A13" s="1887" t="s">
        <v>1451</v>
      </c>
      <c r="B13" s="1888"/>
      <c r="C13" s="1889" t="s">
        <v>2076</v>
      </c>
      <c r="D13" s="1889" t="s">
        <v>2076</v>
      </c>
      <c r="E13" s="1892"/>
      <c r="F13" s="1891" t="s">
        <v>2114</v>
      </c>
      <c r="H13" s="1902">
        <f t="shared" si="0"/>
        <v>5</v>
      </c>
      <c r="I13" s="1902">
        <f t="shared" si="1"/>
        <v>5</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t="s">
        <v>2076</v>
      </c>
      <c r="E15" s="1892"/>
      <c r="F15" s="1891" t="s">
        <v>2115</v>
      </c>
      <c r="H15" s="1902">
        <f t="shared" si="0"/>
        <v>0</v>
      </c>
      <c r="I15" s="1902">
        <f t="shared" si="1"/>
        <v>5</v>
      </c>
      <c r="J15" s="1902">
        <f t="shared" si="2"/>
        <v>0</v>
      </c>
    </row>
    <row r="16" spans="1:10" ht="12" customHeight="1" x14ac:dyDescent="0.2">
      <c r="A16" s="1887" t="s">
        <v>1454</v>
      </c>
      <c r="B16" s="1888"/>
      <c r="C16" s="1889" t="s">
        <v>2076</v>
      </c>
      <c r="D16" s="1889" t="s">
        <v>2076</v>
      </c>
      <c r="E16" s="1892"/>
      <c r="F16" s="1891" t="s">
        <v>2102</v>
      </c>
      <c r="H16" s="1902">
        <f t="shared" si="0"/>
        <v>5</v>
      </c>
      <c r="I16" s="1902">
        <f t="shared" si="1"/>
        <v>5</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t="s">
        <v>2076</v>
      </c>
      <c r="D18" s="1889" t="s">
        <v>2076</v>
      </c>
      <c r="E18" s="1892"/>
      <c r="F18" s="1891" t="s">
        <v>2103</v>
      </c>
      <c r="H18" s="1902">
        <f t="shared" si="0"/>
        <v>5</v>
      </c>
      <c r="I18" s="1902">
        <f t="shared" si="1"/>
        <v>5</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c r="D20" s="1889"/>
      <c r="E20" s="1892"/>
      <c r="F20" s="1891"/>
      <c r="H20" s="1902">
        <f t="shared" si="0"/>
        <v>0</v>
      </c>
      <c r="I20" s="1902">
        <f t="shared" si="1"/>
        <v>0</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t="s">
        <v>2076</v>
      </c>
      <c r="D22" s="1889" t="s">
        <v>2076</v>
      </c>
      <c r="E22" s="1892"/>
      <c r="F22" s="1891" t="s">
        <v>2114</v>
      </c>
      <c r="H22" s="1902">
        <f t="shared" si="0"/>
        <v>5</v>
      </c>
      <c r="I22" s="1902">
        <f t="shared" si="1"/>
        <v>5</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t="s">
        <v>2112</v>
      </c>
      <c r="H24" s="1902">
        <f t="shared" si="0"/>
        <v>0</v>
      </c>
      <c r="I24" s="1902">
        <f t="shared" si="1"/>
        <v>0</v>
      </c>
      <c r="J24" s="1902">
        <f t="shared" si="2"/>
        <v>0</v>
      </c>
    </row>
    <row r="25" spans="1:12" ht="12" customHeight="1" x14ac:dyDescent="0.2">
      <c r="A25" s="1887" t="s">
        <v>1613</v>
      </c>
      <c r="B25" s="1888"/>
      <c r="C25" s="1889"/>
      <c r="D25" s="1889"/>
      <c r="E25" s="1892"/>
      <c r="F25" s="1891" t="s">
        <v>2112</v>
      </c>
      <c r="H25" s="1902">
        <f t="shared" si="0"/>
        <v>0</v>
      </c>
      <c r="I25" s="1902">
        <f t="shared" si="1"/>
        <v>0</v>
      </c>
      <c r="J25" s="1902">
        <f t="shared" si="2"/>
        <v>0</v>
      </c>
    </row>
    <row r="26" spans="1:12" ht="12" customHeight="1" x14ac:dyDescent="0.2">
      <c r="A26" s="1887" t="s">
        <v>1614</v>
      </c>
      <c r="B26" s="1888"/>
      <c r="C26" s="1889" t="s">
        <v>2076</v>
      </c>
      <c r="D26" s="1889" t="s">
        <v>2076</v>
      </c>
      <c r="E26" s="1892"/>
      <c r="F26" s="1891" t="s">
        <v>2104</v>
      </c>
      <c r="H26" s="1902">
        <f t="shared" si="0"/>
        <v>5</v>
      </c>
      <c r="I26" s="1902">
        <f t="shared" si="1"/>
        <v>5</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t="s">
        <v>2076</v>
      </c>
      <c r="D28" s="1889" t="s">
        <v>2076</v>
      </c>
      <c r="E28" s="1892"/>
      <c r="F28" s="1891" t="s">
        <v>2105</v>
      </c>
      <c r="H28" s="1902">
        <f t="shared" si="0"/>
        <v>5</v>
      </c>
      <c r="I28" s="1902">
        <f t="shared" si="1"/>
        <v>5</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t="s">
        <v>2076</v>
      </c>
      <c r="D30" s="1889" t="s">
        <v>2076</v>
      </c>
      <c r="E30" s="1892"/>
      <c r="F30" s="1891" t="s">
        <v>2106</v>
      </c>
      <c r="H30" s="1902">
        <f t="shared" si="0"/>
        <v>5</v>
      </c>
      <c r="I30" s="1902">
        <f t="shared" si="1"/>
        <v>5</v>
      </c>
      <c r="J30" s="1902">
        <f t="shared" si="2"/>
        <v>0</v>
      </c>
    </row>
    <row r="31" spans="1:12" ht="12" customHeight="1" x14ac:dyDescent="0.2">
      <c r="A31" s="1887" t="s">
        <v>1619</v>
      </c>
      <c r="B31" s="1888"/>
      <c r="C31" s="1889"/>
      <c r="D31" s="1889"/>
      <c r="E31" s="1892"/>
      <c r="F31" s="1891"/>
      <c r="H31" s="1902">
        <f t="shared" si="0"/>
        <v>0</v>
      </c>
      <c r="I31" s="1902">
        <f t="shared" si="1"/>
        <v>0</v>
      </c>
      <c r="J31" s="1902">
        <f t="shared" si="2"/>
        <v>0</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t="s">
        <v>2076</v>
      </c>
      <c r="E33" s="1892"/>
      <c r="F33" s="1891" t="s">
        <v>2135</v>
      </c>
      <c r="H33" s="1902">
        <f t="shared" si="0"/>
        <v>0</v>
      </c>
      <c r="I33" s="1902">
        <f t="shared" si="1"/>
        <v>5</v>
      </c>
      <c r="J33" s="1902">
        <f t="shared" si="2"/>
        <v>0</v>
      </c>
    </row>
    <row r="34" spans="1:11" ht="12" customHeight="1" x14ac:dyDescent="0.25">
      <c r="A34" s="1894"/>
      <c r="B34" s="1894"/>
      <c r="C34" s="1894"/>
      <c r="D34" s="1894"/>
      <c r="E34" s="1894"/>
      <c r="F34" s="1894"/>
      <c r="H34" s="1902">
        <f>SUM(H11:H32)</f>
        <v>40</v>
      </c>
      <c r="I34" s="1902">
        <f>SUM(I11:I32)</f>
        <v>50</v>
      </c>
      <c r="J34" s="1902">
        <f>SUM(J11:J32)</f>
        <v>0</v>
      </c>
      <c r="K34" s="1902">
        <f>SUM(H34:J34)</f>
        <v>90</v>
      </c>
    </row>
    <row r="35" spans="1:11" ht="12" customHeight="1" x14ac:dyDescent="0.2">
      <c r="A35" s="1895" t="s">
        <v>1458</v>
      </c>
      <c r="B35" s="1896"/>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7"/>
      <c r="B39" s="1897"/>
      <c r="C39" s="1897"/>
      <c r="D39" s="1897"/>
      <c r="E39" s="1897"/>
      <c r="F39" s="1897"/>
    </row>
    <row r="40" spans="1:11" s="1894" customFormat="1" ht="12" customHeight="1" x14ac:dyDescent="0.25">
      <c r="A40" s="1898" t="s">
        <v>1457</v>
      </c>
      <c r="B40" s="1899"/>
      <c r="C40" s="2316"/>
      <c r="D40" s="2316"/>
      <c r="E40" s="2316"/>
      <c r="F40" s="2317"/>
      <c r="H40" s="1903"/>
      <c r="I40" s="1903"/>
      <c r="J40" s="1903"/>
      <c r="K40" s="1903"/>
    </row>
    <row r="41" spans="1:11" s="1894" customFormat="1" ht="12" customHeight="1" x14ac:dyDescent="0.25">
      <c r="A41" s="2318"/>
      <c r="B41" s="2319"/>
      <c r="C41" s="2319"/>
      <c r="D41" s="2319"/>
      <c r="E41" s="2319"/>
      <c r="F41" s="2320"/>
      <c r="H41" s="1903"/>
      <c r="I41" s="1903"/>
      <c r="J41" s="1903"/>
      <c r="K41" s="1903"/>
    </row>
    <row r="42" spans="1:11" s="1894" customFormat="1" ht="12" customHeight="1" x14ac:dyDescent="0.25">
      <c r="A42" s="2318"/>
      <c r="B42" s="2319"/>
      <c r="C42" s="2319"/>
      <c r="D42" s="2319"/>
      <c r="E42" s="2319"/>
      <c r="F42" s="2320"/>
      <c r="H42" s="1903"/>
      <c r="I42" s="1903"/>
      <c r="J42" s="1903"/>
      <c r="K42" s="1903"/>
    </row>
    <row r="43" spans="1:11" s="1894" customFormat="1" ht="15" x14ac:dyDescent="0.25">
      <c r="A43" s="2307"/>
      <c r="B43" s="2308"/>
      <c r="C43" s="2308"/>
      <c r="D43" s="2308"/>
      <c r="E43" s="2308"/>
      <c r="F43" s="2309"/>
      <c r="H43" s="1903"/>
      <c r="I43" s="1903"/>
      <c r="J43" s="1903"/>
      <c r="K43" s="1903"/>
    </row>
    <row r="44" spans="1:11" s="1894" customFormat="1" ht="12" hidden="1" customHeight="1" x14ac:dyDescent="0.25">
      <c r="A44" s="2307"/>
      <c r="B44" s="2308"/>
      <c r="C44" s="2308"/>
      <c r="D44" s="2308"/>
      <c r="E44" s="2308"/>
      <c r="F44" s="230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34" t="str">
        <f>COVER!A17</f>
        <v>Morris Elementary School District #54</v>
      </c>
      <c r="J6" s="2335"/>
      <c r="Q6" s="1686"/>
    </row>
    <row r="7" spans="1:17" x14ac:dyDescent="0.2">
      <c r="A7" s="2336" t="s">
        <v>923</v>
      </c>
      <c r="B7" s="2337"/>
      <c r="C7" s="2337"/>
      <c r="D7" s="2337"/>
      <c r="E7" s="2338"/>
      <c r="F7" s="1018"/>
      <c r="G7" s="1010"/>
      <c r="H7" s="1017" t="s">
        <v>389</v>
      </c>
      <c r="I7" s="2339">
        <f>COVER!A13</f>
        <v>24032054002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0" t="s">
        <v>501</v>
      </c>
      <c r="B11" s="2341"/>
      <c r="C11" s="234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222904</v>
      </c>
      <c r="F12" s="1040"/>
      <c r="G12" s="1834">
        <f t="shared" ref="G12:G18" si="0">SUM(E12:F12)</f>
        <v>222904</v>
      </c>
      <c r="H12" s="1041">
        <v>240141</v>
      </c>
      <c r="I12" s="1040"/>
      <c r="J12" s="1834">
        <f t="shared" ref="J12:J18" si="1">SUM(H12:I12)</f>
        <v>240141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62314</v>
      </c>
      <c r="F14" s="1040"/>
      <c r="G14" s="1834">
        <f t="shared" si="0"/>
        <v>62314</v>
      </c>
      <c r="H14" s="1041">
        <v>63992</v>
      </c>
      <c r="I14" s="1040"/>
      <c r="J14" s="1834">
        <f t="shared" si="1"/>
        <v>63992</v>
      </c>
    </row>
    <row r="15" spans="1:17" ht="15" customHeight="1" x14ac:dyDescent="0.2">
      <c r="A15" s="1036">
        <v>4</v>
      </c>
      <c r="B15" s="1037" t="s">
        <v>1127</v>
      </c>
      <c r="C15" s="1038"/>
      <c r="D15" s="1039">
        <v>2510</v>
      </c>
      <c r="E15" s="1834">
        <f>'Expenditures 15-22'!K59</f>
        <v>0</v>
      </c>
      <c r="F15" s="1834">
        <f>'Expenditures 15-22'!K122</f>
        <v>31397</v>
      </c>
      <c r="G15" s="1834">
        <f t="shared" si="0"/>
        <v>31397</v>
      </c>
      <c r="H15" s="1041"/>
      <c r="I15" s="1041">
        <v>33410</v>
      </c>
      <c r="J15" s="1834">
        <f t="shared" si="1"/>
        <v>33410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285218</v>
      </c>
      <c r="F19" s="1836">
        <f t="shared" si="2"/>
        <v>31397</v>
      </c>
      <c r="G19" s="1836">
        <f t="shared" si="2"/>
        <v>316615</v>
      </c>
      <c r="H19" s="1836">
        <f t="shared" si="2"/>
        <v>304133</v>
      </c>
      <c r="I19" s="1836">
        <f t="shared" si="2"/>
        <v>33410</v>
      </c>
      <c r="J19" s="1836">
        <f t="shared" si="2"/>
        <v>337543</v>
      </c>
    </row>
    <row r="20" spans="1:10" ht="13.5" thickTop="1" x14ac:dyDescent="0.2">
      <c r="A20" s="1036">
        <v>9</v>
      </c>
      <c r="B20" s="2346" t="s">
        <v>1702</v>
      </c>
      <c r="C20" s="2346"/>
      <c r="D20" s="2347"/>
      <c r="E20" s="1047"/>
      <c r="F20" s="1047"/>
      <c r="G20" s="1047"/>
      <c r="H20" s="1047"/>
      <c r="I20" s="1047"/>
      <c r="J20" s="1837">
        <f>IF(AND(G19&gt;0,J19&gt;0),(((J19-G19)/G19)),"Enter Budget Data")</f>
        <v>6.6099205659870819E-2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1092</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1942</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t="s">
        <v>2076</v>
      </c>
      <c r="C39" s="2329" t="s">
        <v>936</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5" sqref="A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2107</v>
      </c>
    </row>
    <row r="6" spans="1:2" x14ac:dyDescent="0.2">
      <c r="A6" s="1069">
        <v>2</v>
      </c>
      <c r="B6" s="329" t="s">
        <v>2108</v>
      </c>
    </row>
    <row r="7" spans="1:2" x14ac:dyDescent="0.2">
      <c r="A7" s="1069">
        <v>3</v>
      </c>
      <c r="B7" s="329" t="s">
        <v>2109</v>
      </c>
    </row>
    <row r="8" spans="1:2" x14ac:dyDescent="0.2">
      <c r="A8" s="1069">
        <v>4</v>
      </c>
      <c r="B8" s="329" t="s">
        <v>2110</v>
      </c>
    </row>
    <row r="9" spans="1:2" x14ac:dyDescent="0.2">
      <c r="A9" s="1069">
        <v>5</v>
      </c>
      <c r="B9" s="329" t="s">
        <v>2136</v>
      </c>
    </row>
    <row r="10" spans="1:2" x14ac:dyDescent="0.2">
      <c r="A10" s="1069">
        <v>6</v>
      </c>
      <c r="B10" s="329" t="s">
        <v>2137</v>
      </c>
    </row>
    <row r="11" spans="1:2" x14ac:dyDescent="0.2">
      <c r="A11" s="1069">
        <v>7</v>
      </c>
      <c r="B11" s="329" t="s">
        <v>2111</v>
      </c>
    </row>
    <row r="12" spans="1:2" x14ac:dyDescent="0.2">
      <c r="A12" s="1069">
        <v>8</v>
      </c>
      <c r="B12" s="329" t="s">
        <v>2138</v>
      </c>
    </row>
    <row r="13" spans="1:2" x14ac:dyDescent="0.2">
      <c r="A13" s="1069">
        <v>9</v>
      </c>
      <c r="B13" s="329" t="s">
        <v>2139</v>
      </c>
    </row>
    <row r="14" spans="1:2" x14ac:dyDescent="0.2">
      <c r="A14" s="1069">
        <v>10</v>
      </c>
      <c r="B14" s="329" t="s">
        <v>2140</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Morris Elementary School District #54</v>
      </c>
    </row>
    <row r="65" spans="2:2" x14ac:dyDescent="0.2">
      <c r="B65" s="1071">
        <f>COVER!A13</f>
        <v>24032054002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1969</v>
      </c>
      <c r="C4" s="162" t="s">
        <v>1230</v>
      </c>
      <c r="D4" s="169" t="s">
        <v>10</v>
      </c>
      <c r="E4" s="170" t="s">
        <v>22</v>
      </c>
    </row>
    <row r="5" spans="1:5" x14ac:dyDescent="0.2">
      <c r="A5" s="168" t="s">
        <v>1971</v>
      </c>
      <c r="C5" s="162" t="s">
        <v>1230</v>
      </c>
      <c r="D5" s="169" t="s">
        <v>10</v>
      </c>
      <c r="E5" s="170" t="s">
        <v>22</v>
      </c>
    </row>
    <row r="6" spans="1:5" x14ac:dyDescent="0.2">
      <c r="A6" s="168" t="s">
        <v>1970</v>
      </c>
      <c r="C6" s="162" t="s">
        <v>1230</v>
      </c>
      <c r="D6" s="167" t="s">
        <v>11</v>
      </c>
      <c r="E6" s="170" t="s">
        <v>997</v>
      </c>
    </row>
    <row r="7" spans="1:5" x14ac:dyDescent="0.2">
      <c r="A7" s="168" t="s">
        <v>1972</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1973</v>
      </c>
      <c r="C11" s="162" t="s">
        <v>1230</v>
      </c>
      <c r="D11" s="169" t="s">
        <v>14</v>
      </c>
      <c r="E11" s="170" t="s">
        <v>1217</v>
      </c>
    </row>
    <row r="12" spans="1:5" x14ac:dyDescent="0.2">
      <c r="B12" s="169" t="s">
        <v>1974</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1975</v>
      </c>
      <c r="C15" s="162" t="s">
        <v>1230</v>
      </c>
      <c r="D15" s="169" t="s">
        <v>17</v>
      </c>
      <c r="E15" s="170" t="s">
        <v>656</v>
      </c>
    </row>
    <row r="16" spans="1:5" x14ac:dyDescent="0.2">
      <c r="A16" s="172"/>
      <c r="B16" s="162" t="s">
        <v>1976</v>
      </c>
      <c r="C16" s="162" t="s">
        <v>1230</v>
      </c>
      <c r="D16" s="169" t="s">
        <v>701</v>
      </c>
      <c r="E16" s="170" t="s">
        <v>1099</v>
      </c>
    </row>
    <row r="17" spans="1:5" x14ac:dyDescent="0.2">
      <c r="B17" s="167" t="s">
        <v>1044</v>
      </c>
      <c r="C17" s="162" t="s">
        <v>1230</v>
      </c>
    </row>
    <row r="18" spans="1:5" x14ac:dyDescent="0.2">
      <c r="B18" s="167" t="s">
        <v>1982</v>
      </c>
      <c r="D18" s="169" t="s">
        <v>18</v>
      </c>
      <c r="E18" s="170" t="s">
        <v>1100</v>
      </c>
    </row>
    <row r="19" spans="1:5" x14ac:dyDescent="0.2">
      <c r="A19" s="168" t="s">
        <v>1160</v>
      </c>
      <c r="C19" s="162" t="s">
        <v>1230</v>
      </c>
      <c r="D19" s="169"/>
      <c r="E19" s="171"/>
    </row>
    <row r="20" spans="1:5" x14ac:dyDescent="0.2">
      <c r="B20" s="167" t="s">
        <v>1977</v>
      </c>
      <c r="C20" s="162" t="s">
        <v>1230</v>
      </c>
      <c r="D20" s="169" t="s">
        <v>19</v>
      </c>
      <c r="E20" s="170" t="s">
        <v>53</v>
      </c>
    </row>
    <row r="21" spans="1:5" x14ac:dyDescent="0.2">
      <c r="B21" s="167" t="s">
        <v>1978</v>
      </c>
      <c r="C21" s="162" t="s">
        <v>1230</v>
      </c>
      <c r="D21" s="169" t="s">
        <v>20</v>
      </c>
      <c r="E21" s="170" t="s">
        <v>1707</v>
      </c>
    </row>
    <row r="22" spans="1:5" x14ac:dyDescent="0.2">
      <c r="A22" s="168"/>
      <c r="B22" s="162" t="s">
        <v>1966</v>
      </c>
      <c r="C22" s="162" t="s">
        <v>1230</v>
      </c>
      <c r="D22" s="167" t="s">
        <v>1968</v>
      </c>
      <c r="E22" s="1859" t="s">
        <v>1708</v>
      </c>
    </row>
    <row r="23" spans="1:5" x14ac:dyDescent="0.2">
      <c r="A23" s="168"/>
      <c r="B23" s="162" t="s">
        <v>1967</v>
      </c>
      <c r="D23" s="167" t="s">
        <v>657</v>
      </c>
      <c r="E23" s="1859" t="s">
        <v>1015</v>
      </c>
    </row>
    <row r="24" spans="1:5" x14ac:dyDescent="0.2">
      <c r="A24" s="168" t="s">
        <v>1706</v>
      </c>
      <c r="C24" s="162" t="s">
        <v>1230</v>
      </c>
      <c r="D24" s="167" t="s">
        <v>1459</v>
      </c>
      <c r="E24" s="170" t="s">
        <v>1016</v>
      </c>
    </row>
    <row r="25" spans="1:5" x14ac:dyDescent="0.2">
      <c r="A25" s="168" t="s">
        <v>1979</v>
      </c>
      <c r="C25" s="162" t="s">
        <v>1230</v>
      </c>
      <c r="D25" s="169" t="s">
        <v>21</v>
      </c>
      <c r="E25" s="170" t="s">
        <v>1101</v>
      </c>
    </row>
    <row r="26" spans="1:5" x14ac:dyDescent="0.2">
      <c r="A26" s="168" t="s">
        <v>1980</v>
      </c>
      <c r="C26" s="162" t="s">
        <v>1230</v>
      </c>
      <c r="D26" s="169" t="s">
        <v>583</v>
      </c>
      <c r="E26" s="170" t="s">
        <v>1102</v>
      </c>
    </row>
    <row r="27" spans="1:5" x14ac:dyDescent="0.2">
      <c r="A27" s="168" t="s">
        <v>1981</v>
      </c>
      <c r="C27" s="162" t="s">
        <v>1230</v>
      </c>
      <c r="D27" s="169" t="s">
        <v>577</v>
      </c>
      <c r="E27" s="170" t="s">
        <v>703</v>
      </c>
    </row>
    <row r="28" spans="1:5" x14ac:dyDescent="0.2">
      <c r="A28" s="168" t="s">
        <v>1983</v>
      </c>
      <c r="D28" s="169" t="s">
        <v>704</v>
      </c>
      <c r="E28" s="170" t="s">
        <v>1432</v>
      </c>
    </row>
    <row r="29" spans="1:5" x14ac:dyDescent="0.2">
      <c r="A29" s="168" t="s">
        <v>1984</v>
      </c>
      <c r="D29" s="169" t="s">
        <v>1460</v>
      </c>
      <c r="E29" s="170" t="s">
        <v>1441</v>
      </c>
    </row>
    <row r="30" spans="1:5" x14ac:dyDescent="0.2">
      <c r="A30" s="173" t="s">
        <v>1985</v>
      </c>
      <c r="C30" s="162" t="s">
        <v>1230</v>
      </c>
      <c r="D30" s="169" t="s">
        <v>42</v>
      </c>
      <c r="E30" s="170" t="s">
        <v>1038</v>
      </c>
    </row>
    <row r="31" spans="1:5" x14ac:dyDescent="0.2">
      <c r="A31" s="168" t="s">
        <v>1601</v>
      </c>
      <c r="C31" s="162" t="s">
        <v>1230</v>
      </c>
      <c r="D31" s="167"/>
      <c r="E31" s="171"/>
    </row>
    <row r="32" spans="1:5" x14ac:dyDescent="0.2">
      <c r="B32" s="167" t="s">
        <v>1986</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2016</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35841" r:id="rId4">
          <objectPr defaultSize="0" r:id="rId5">
            <anchor moveWithCells="1">
              <from>
                <xdr:col>0</xdr:col>
                <xdr:colOff>0</xdr:colOff>
                <xdr:row>0</xdr:row>
                <xdr:rowOff>0</xdr:rowOff>
              </from>
              <to>
                <xdr:col>1</xdr:col>
                <xdr:colOff>742950</xdr:colOff>
                <xdr:row>4</xdr:row>
                <xdr:rowOff>57150</xdr:rowOff>
              </to>
            </anchor>
          </objectPr>
        </oleObject>
      </mc:Choice>
      <mc:Fallback>
        <oleObject progId="AcroExch.Document.11" dvAspect="DVASPECT_ICON" shapeId="35841" r:id="rId4"/>
      </mc:Fallback>
    </mc:AlternateContent>
    <mc:AlternateContent xmlns:mc="http://schemas.openxmlformats.org/markup-compatibility/2006">
      <mc:Choice Requires="x14">
        <oleObject progId="AcroExch.Document.11" dvAspect="DVASPECT_ICON" shapeId="35842" r:id="rId6">
          <objectPr defaultSize="0" r:id="rId5">
            <anchor moveWithCells="1">
              <from>
                <xdr:col>0</xdr:col>
                <xdr:colOff>0</xdr:colOff>
                <xdr:row>4</xdr:row>
                <xdr:rowOff>0</xdr:rowOff>
              </from>
              <to>
                <xdr:col>1</xdr:col>
                <xdr:colOff>742950</xdr:colOff>
                <xdr:row>8</xdr:row>
                <xdr:rowOff>57150</xdr:rowOff>
              </to>
            </anchor>
          </objectPr>
        </oleObject>
      </mc:Choice>
      <mc:Fallback>
        <oleObject progId="AcroExch.Document.11" dvAspect="DVASPECT_ICON" shapeId="35842" r:id="rId6"/>
      </mc:Fallback>
    </mc:AlternateContent>
    <mc:AlternateContent xmlns:mc="http://schemas.openxmlformats.org/markup-compatibility/2006">
      <mc:Choice Requires="x14">
        <oleObject progId="AcroExch.Document.11" dvAspect="DVASPECT_ICON" shapeId="35843" r:id="rId7">
          <objectPr defaultSize="0" r:id="rId5">
            <anchor moveWithCells="1">
              <from>
                <xdr:col>0</xdr:col>
                <xdr:colOff>0</xdr:colOff>
                <xdr:row>8</xdr:row>
                <xdr:rowOff>0</xdr:rowOff>
              </from>
              <to>
                <xdr:col>1</xdr:col>
                <xdr:colOff>742950</xdr:colOff>
                <xdr:row>12</xdr:row>
                <xdr:rowOff>57150</xdr:rowOff>
              </to>
            </anchor>
          </objectPr>
        </oleObject>
      </mc:Choice>
      <mc:Fallback>
        <oleObject progId="AcroExch.Document.11" dvAspect="DVASPECT_ICON" shapeId="35843" r:id="rId7"/>
      </mc:Fallback>
    </mc:AlternateContent>
    <mc:AlternateContent xmlns:mc="http://schemas.openxmlformats.org/markup-compatibility/2006">
      <mc:Choice Requires="x14">
        <oleObject progId="AcroExch.Document.11" dvAspect="DVASPECT_ICON" shapeId="35844"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2053</v>
      </c>
      <c r="B4" s="2374"/>
      <c r="C4" s="2374"/>
      <c r="D4" s="2374"/>
      <c r="E4" s="2374"/>
      <c r="F4" s="2375"/>
      <c r="G4" s="1075"/>
      <c r="H4" s="1075"/>
    </row>
    <row r="5" spans="1:8" ht="14.25" customHeight="1" x14ac:dyDescent="0.2">
      <c r="A5" s="2376" t="s">
        <v>2054</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7199269</v>
      </c>
      <c r="C8" s="1838">
        <f>'Acct Summary 7-8'!D8</f>
        <v>869904</v>
      </c>
      <c r="D8" s="1838">
        <f>'Acct Summary 7-8'!F8</f>
        <v>649937</v>
      </c>
      <c r="E8" s="1838">
        <f>'Acct Summary 7-8'!I8</f>
        <v>107855</v>
      </c>
      <c r="F8" s="1838">
        <f>SUM(B8:E8)</f>
        <v>8826965</v>
      </c>
    </row>
    <row r="9" spans="1:8" s="1080" customFormat="1" ht="14.25" customHeight="1" thickBot="1" x14ac:dyDescent="0.25">
      <c r="A9" s="1079" t="s">
        <v>1435</v>
      </c>
      <c r="B9" s="1839">
        <f>'Acct Summary 7-8'!C17</f>
        <v>8682380</v>
      </c>
      <c r="C9" s="1839">
        <f>'Acct Summary 7-8'!D17</f>
        <v>902759</v>
      </c>
      <c r="D9" s="1839">
        <f>'Acct Summary 7-8'!F17</f>
        <v>632675</v>
      </c>
      <c r="E9" s="1838"/>
      <c r="F9" s="1838">
        <f>SUM(B9:E9)</f>
        <v>10217814</v>
      </c>
    </row>
    <row r="10" spans="1:8" s="1080" customFormat="1" ht="14.25" thickTop="1" thickBot="1" x14ac:dyDescent="0.25">
      <c r="A10" s="1081" t="s">
        <v>1436</v>
      </c>
      <c r="B10" s="1840">
        <f>(B8-B9)</f>
        <v>-1483111</v>
      </c>
      <c r="C10" s="1840">
        <f>(C8-C9)</f>
        <v>-32855</v>
      </c>
      <c r="D10" s="1840">
        <f>(D8-D9)</f>
        <v>17262</v>
      </c>
      <c r="E10" s="1839">
        <f>(E8-E9)</f>
        <v>107855</v>
      </c>
      <c r="F10" s="1841">
        <f>SUM(F8-F9)</f>
        <v>-1390849</v>
      </c>
    </row>
    <row r="11" spans="1:8" s="1080" customFormat="1" ht="14.25" thickTop="1" thickBot="1" x14ac:dyDescent="0.25">
      <c r="A11" s="1082" t="s">
        <v>1784</v>
      </c>
      <c r="B11" s="1842">
        <f>'Acct Summary 7-8'!C81</f>
        <v>1962454</v>
      </c>
      <c r="C11" s="1842">
        <f>'Acct Summary 7-8'!D81</f>
        <v>-17862</v>
      </c>
      <c r="D11" s="1842">
        <f>'Acct Summary 7-8'!F81</f>
        <v>391838</v>
      </c>
      <c r="E11" s="1842">
        <f>'Acct Summary 7-8'!I81</f>
        <v>107066</v>
      </c>
      <c r="F11" s="1843">
        <f>SUM(B11:E11)</f>
        <v>2443496</v>
      </c>
    </row>
    <row r="12" spans="1:8" ht="16.5" customHeight="1" thickTop="1" x14ac:dyDescent="0.2">
      <c r="A12" s="1083"/>
      <c r="B12" s="1084"/>
      <c r="C12" s="235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A15" sqref="A15:D1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685</v>
      </c>
      <c r="B3" s="2380"/>
      <c r="C3" s="2380"/>
      <c r="D3" s="2381"/>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2" t="s">
        <v>1064</v>
      </c>
      <c r="B15" s="2383"/>
      <c r="C15" s="2383"/>
      <c r="D15" s="2384"/>
    </row>
    <row r="16" spans="1:4" s="669" customFormat="1" ht="24" customHeight="1" x14ac:dyDescent="0.2">
      <c r="A16" s="2385" t="s">
        <v>683</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4" t="s">
        <v>331</v>
      </c>
      <c r="D21" s="2395"/>
    </row>
    <row r="22" spans="1:10" ht="12.75" x14ac:dyDescent="0.2">
      <c r="A22" s="1140"/>
      <c r="B22" s="1141">
        <v>2</v>
      </c>
      <c r="C22" s="2392" t="s">
        <v>1604</v>
      </c>
      <c r="D22" s="2393"/>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6" t="s">
        <v>556</v>
      </c>
      <c r="D43" s="2397"/>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8" t="s">
        <v>816</v>
      </c>
      <c r="D56" s="2389"/>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24032054002</v>
      </c>
    </row>
    <row r="3" spans="1:2" x14ac:dyDescent="0.2">
      <c r="A3" t="s">
        <v>1012</v>
      </c>
      <c r="B3" s="138" t="str">
        <f>COVER!A15</f>
        <v>Grundy</v>
      </c>
    </row>
    <row r="4" spans="1:2" x14ac:dyDescent="0.2">
      <c r="A4" t="s">
        <v>1063</v>
      </c>
      <c r="B4" s="138" t="str">
        <f>COVER!A17</f>
        <v>Morris Elementary School District #54</v>
      </c>
    </row>
    <row r="5" spans="1:2" x14ac:dyDescent="0.2">
      <c r="A5" t="s">
        <v>727</v>
      </c>
      <c r="B5" s="138" t="str">
        <f>COVER!A38</f>
        <v>Dr. Shannon Dukek</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066-005100</v>
      </c>
    </row>
    <row r="16" spans="1:2" x14ac:dyDescent="0.2">
      <c r="A16" t="s">
        <v>441</v>
      </c>
      <c r="B16" s="138" t="str">
        <f>COVER!T13</f>
        <v>Mack &amp; Associates, P.C.</v>
      </c>
    </row>
    <row r="17" spans="1:2" x14ac:dyDescent="0.2">
      <c r="A17" t="s">
        <v>938</v>
      </c>
      <c r="B17" s="138" t="str">
        <f>COVER!T15</f>
        <v>Tawnya Mack, CPA</v>
      </c>
    </row>
    <row r="18" spans="1:2" x14ac:dyDescent="0.2">
      <c r="A18" t="s">
        <v>1211</v>
      </c>
      <c r="B18" s="138" t="str">
        <f>COVER!T17</f>
        <v>116 E. Washington St., Suite One</v>
      </c>
    </row>
    <row r="19" spans="1:2" x14ac:dyDescent="0.2">
      <c r="A19" t="s">
        <v>940</v>
      </c>
      <c r="B19" s="138" t="str">
        <f>COVER!T25</f>
        <v>tmack@mackcpas.com</v>
      </c>
    </row>
    <row r="20" spans="1:2" x14ac:dyDescent="0.2">
      <c r="A20" t="s">
        <v>941</v>
      </c>
      <c r="B20" s="138" t="str">
        <f>COVER!T19</f>
        <v>Morris</v>
      </c>
    </row>
    <row r="21" spans="1:2" x14ac:dyDescent="0.2">
      <c r="A21" t="s">
        <v>499</v>
      </c>
      <c r="B21" s="138" t="str">
        <f>COVER!X19</f>
        <v>IL</v>
      </c>
    </row>
    <row r="22" spans="1:2" x14ac:dyDescent="0.2">
      <c r="A22" t="s">
        <v>942</v>
      </c>
      <c r="B22" s="138">
        <f>COVER!Z19</f>
        <v>60450</v>
      </c>
    </row>
    <row r="23" spans="1:2" x14ac:dyDescent="0.2">
      <c r="A23" t="s">
        <v>1213</v>
      </c>
      <c r="B23" s="138" t="str">
        <f>COVER!T21</f>
        <v>815-942-3306</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634108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1962454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1349527</v>
      </c>
      <c r="D92" s="2" t="str">
        <f t="shared" si="0"/>
        <v>Error?</v>
      </c>
    </row>
    <row r="93" spans="1:4" x14ac:dyDescent="0.2">
      <c r="A93" s="5">
        <v>32</v>
      </c>
      <c r="B93" s="138">
        <f>'Assets-Liab 5-6'!C41</f>
        <v>1962454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1332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2388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20250</v>
      </c>
      <c r="C122" s="2" t="s">
        <v>593</v>
      </c>
      <c r="D122" s="2" t="str">
        <f t="shared" si="0"/>
        <v>Error?</v>
      </c>
    </row>
    <row r="123" spans="1:4" x14ac:dyDescent="0.2">
      <c r="A123" s="5">
        <v>62</v>
      </c>
      <c r="B123" s="138">
        <f>'Assets-Liab 5-6'!D39</f>
        <v>-17862</v>
      </c>
      <c r="D123" s="2" t="str">
        <f t="shared" si="0"/>
        <v>Error?</v>
      </c>
    </row>
    <row r="124" spans="1:4" x14ac:dyDescent="0.2">
      <c r="A124" s="5">
        <v>63</v>
      </c>
      <c r="B124" s="138">
        <f>'Assets-Liab 5-6'!D41</f>
        <v>2388</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1236478</v>
      </c>
      <c r="D129" s="2" t="str">
        <f t="shared" si="1"/>
        <v>Error?</v>
      </c>
    </row>
    <row r="130" spans="1:4" x14ac:dyDescent="0.2">
      <c r="A130" s="5">
        <v>69</v>
      </c>
      <c r="B130" s="138">
        <f>'Assets-Liab 5-6'!E12</f>
        <v>0</v>
      </c>
      <c r="D130" s="2" t="str">
        <f t="shared" si="1"/>
        <v>Error?</v>
      </c>
    </row>
    <row r="131" spans="1:4" x14ac:dyDescent="0.2">
      <c r="A131" s="5">
        <v>70</v>
      </c>
      <c r="B131" s="138">
        <f>'Assets-Liab 5-6'!E13</f>
        <v>1238169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1238169</v>
      </c>
      <c r="D140" s="2" t="str">
        <f t="shared" si="1"/>
        <v>Error?</v>
      </c>
    </row>
    <row r="141" spans="1:4" x14ac:dyDescent="0.2">
      <c r="A141" s="5">
        <v>80</v>
      </c>
      <c r="B141" s="138">
        <f>'Assets-Liab 5-6'!E41</f>
        <v>1238169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358758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391838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391838</v>
      </c>
      <c r="D170" s="2" t="str">
        <f t="shared" si="1"/>
        <v>Error?</v>
      </c>
    </row>
    <row r="171" spans="1:4" x14ac:dyDescent="0.2">
      <c r="A171" s="5">
        <v>110</v>
      </c>
      <c r="B171" s="138">
        <f>'Assets-Liab 5-6'!F41</f>
        <v>391838</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559103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761018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502995</v>
      </c>
      <c r="D189" s="2" t="str">
        <f t="shared" si="1"/>
        <v>Error?</v>
      </c>
    </row>
    <row r="190" spans="1:4" x14ac:dyDescent="0.2">
      <c r="A190" s="5">
        <v>129</v>
      </c>
      <c r="B190" s="138">
        <f>'Assets-Liab 5-6'!G41</f>
        <v>761018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6711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709365</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709365</v>
      </c>
      <c r="D212" s="2" t="str">
        <f t="shared" si="2"/>
        <v>Error?</v>
      </c>
    </row>
    <row r="213" spans="1:4" x14ac:dyDescent="0.2">
      <c r="A213" s="12">
        <v>152</v>
      </c>
      <c r="B213" s="138">
        <f>'Assets-Liab 5-6'!H41</f>
        <v>709365</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465255</v>
      </c>
      <c r="D273" s="2" t="str">
        <f t="shared" si="3"/>
        <v>Error?</v>
      </c>
    </row>
    <row r="274" spans="1:4" x14ac:dyDescent="0.2">
      <c r="A274" s="5">
        <v>213</v>
      </c>
      <c r="B274" s="138">
        <f>'Assets-Liab 5-6'!M17</f>
        <v>24288532</v>
      </c>
      <c r="D274" s="2" t="str">
        <f t="shared" si="3"/>
        <v>Error?</v>
      </c>
    </row>
    <row r="275" spans="1:4" x14ac:dyDescent="0.2">
      <c r="A275" s="5">
        <v>214</v>
      </c>
      <c r="B275" s="138">
        <f>'Assets-Liab 5-6'!M18</f>
        <v>29271</v>
      </c>
      <c r="D275" s="2" t="str">
        <f t="shared" si="3"/>
        <v>Error?</v>
      </c>
    </row>
    <row r="276" spans="1:4" x14ac:dyDescent="0.2">
      <c r="A276" s="5">
        <v>215</v>
      </c>
      <c r="B276" s="138">
        <f>'Assets-Liab 5-6'!M19</f>
        <v>119796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24902854</v>
      </c>
      <c r="C279" s="2" t="s">
        <v>593</v>
      </c>
      <c r="D279" s="2" t="str">
        <f t="shared" si="3"/>
        <v>Error?</v>
      </c>
    </row>
    <row r="280" spans="1:4" x14ac:dyDescent="0.2">
      <c r="A280" s="5">
        <v>219</v>
      </c>
      <c r="B280" s="138">
        <f>'Assets-Liab 5-6'!M40</f>
        <v>24902854</v>
      </c>
      <c r="D280" s="2" t="str">
        <f t="shared" si="3"/>
        <v>Error?</v>
      </c>
    </row>
    <row r="281" spans="1:4" x14ac:dyDescent="0.2">
      <c r="A281" s="5">
        <v>220</v>
      </c>
      <c r="B281" s="138">
        <f>'Assets-Liab 5-6'!M41</f>
        <v>24902854</v>
      </c>
      <c r="C281" s="2" t="s">
        <v>593</v>
      </c>
      <c r="D281" s="2" t="str">
        <f t="shared" si="3"/>
        <v>Error?</v>
      </c>
    </row>
    <row r="282" spans="1:4" x14ac:dyDescent="0.2">
      <c r="A282" s="5">
        <v>221</v>
      </c>
      <c r="B282" s="138">
        <f>'Assets-Liab 5-6'!N21</f>
        <v>1238169</v>
      </c>
      <c r="D282" s="2" t="str">
        <f t="shared" si="3"/>
        <v>Error?</v>
      </c>
    </row>
    <row r="283" spans="1:4" x14ac:dyDescent="0.2">
      <c r="A283" s="5">
        <v>222</v>
      </c>
      <c r="B283" s="138">
        <f>'Assets-Liab 5-6'!N22</f>
        <v>19868637</v>
      </c>
      <c r="D283" s="2" t="str">
        <f t="shared" si="3"/>
        <v>Error?</v>
      </c>
    </row>
    <row r="284" spans="1:4" x14ac:dyDescent="0.2">
      <c r="A284" s="5">
        <v>223</v>
      </c>
      <c r="B284" s="138">
        <f>'Assets-Liab 5-6'!N23</f>
        <v>21106806</v>
      </c>
      <c r="C284" s="2" t="s">
        <v>593</v>
      </c>
      <c r="D284" s="2" t="str">
        <f t="shared" si="3"/>
        <v>Error?</v>
      </c>
    </row>
    <row r="285" spans="1:4" x14ac:dyDescent="0.2">
      <c r="A285" s="5">
        <v>224</v>
      </c>
      <c r="B285" s="138">
        <f>'Assets-Liab 5-6'!N36</f>
        <v>21106806</v>
      </c>
      <c r="D285" s="2" t="str">
        <f t="shared" si="3"/>
        <v>Error?</v>
      </c>
    </row>
    <row r="286" spans="1:4" x14ac:dyDescent="0.2">
      <c r="A286" s="10">
        <v>225</v>
      </c>
      <c r="D286" s="2" t="str">
        <f t="shared" si="3"/>
        <v>OK</v>
      </c>
    </row>
    <row r="287" spans="1:4" x14ac:dyDescent="0.2">
      <c r="A287" s="5">
        <v>226</v>
      </c>
      <c r="B287" s="138">
        <f>'Assets-Liab 5-6'!N37</f>
        <v>21106806</v>
      </c>
      <c r="C287" s="2" t="s">
        <v>593</v>
      </c>
      <c r="D287" s="2" t="str">
        <f t="shared" si="3"/>
        <v>Error?</v>
      </c>
    </row>
    <row r="288" spans="1:4" x14ac:dyDescent="0.2">
      <c r="A288" s="5">
        <v>227</v>
      </c>
      <c r="B288" s="138">
        <f>'Assets-Liab 5-6'!N41</f>
        <v>21106806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2005000</v>
      </c>
      <c r="D651" s="2" t="str">
        <f t="shared" si="9"/>
        <v>Error?</v>
      </c>
    </row>
    <row r="652" spans="1:4" x14ac:dyDescent="0.2">
      <c r="A652" s="5">
        <v>591</v>
      </c>
      <c r="B652" s="138">
        <f>'Acct Summary 7-8'!I34</f>
        <v>20792</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3132872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57656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125874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3990359</v>
      </c>
      <c r="C720" s="2" t="s">
        <v>593</v>
      </c>
      <c r="D720" s="2" t="str">
        <f t="shared" si="10"/>
        <v>Error?</v>
      </c>
    </row>
    <row r="721" spans="1:4" x14ac:dyDescent="0.2">
      <c r="A721" s="5">
        <v>660</v>
      </c>
      <c r="B721" s="138">
        <f>'Expenditures 15-22'!C36</f>
        <v>155567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63515</v>
      </c>
      <c r="D723" s="2" t="str">
        <f t="shared" si="10"/>
        <v>Error?</v>
      </c>
    </row>
    <row r="724" spans="1:4" x14ac:dyDescent="0.2">
      <c r="A724" s="5">
        <v>663</v>
      </c>
      <c r="B724" s="138">
        <f>'Expenditures 15-22'!C39</f>
        <v>63483</v>
      </c>
      <c r="D724" s="2" t="str">
        <f t="shared" si="10"/>
        <v>Error?</v>
      </c>
    </row>
    <row r="725" spans="1:4" x14ac:dyDescent="0.2">
      <c r="A725" s="5">
        <v>664</v>
      </c>
      <c r="B725" s="138">
        <f>'Expenditures 15-22'!C40</f>
        <v>145531</v>
      </c>
      <c r="D725" s="2" t="str">
        <f t="shared" si="10"/>
        <v>Error?</v>
      </c>
    </row>
    <row r="726" spans="1:4" x14ac:dyDescent="0.2">
      <c r="A726" s="5">
        <v>665</v>
      </c>
      <c r="B726" s="138">
        <f>'Expenditures 15-22'!C41</f>
        <v>141702</v>
      </c>
      <c r="D726" s="2" t="str">
        <f t="shared" si="10"/>
        <v>Error?</v>
      </c>
    </row>
    <row r="727" spans="1:4" x14ac:dyDescent="0.2">
      <c r="A727" s="5">
        <v>666</v>
      </c>
      <c r="B727" s="138">
        <f>'Expenditures 15-22'!C42</f>
        <v>569798</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147265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147265</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146612</v>
      </c>
      <c r="D733" s="2" t="str">
        <f t="shared" si="10"/>
        <v>Error?</v>
      </c>
    </row>
    <row r="734" spans="1:4" x14ac:dyDescent="0.2">
      <c r="A734" s="5">
        <v>673</v>
      </c>
      <c r="B734" s="138">
        <f>'Expenditures 15-22'!C53</f>
        <v>146612</v>
      </c>
      <c r="C734" s="2" t="s">
        <v>593</v>
      </c>
      <c r="D734" s="2" t="str">
        <f t="shared" si="10"/>
        <v>Error?</v>
      </c>
    </row>
    <row r="735" spans="1:4" x14ac:dyDescent="0.2">
      <c r="A735" s="5">
        <v>674</v>
      </c>
      <c r="B735" s="138">
        <f>'Expenditures 15-22'!C55</f>
        <v>228978</v>
      </c>
      <c r="D735" s="2" t="str">
        <f t="shared" si="10"/>
        <v>Error?</v>
      </c>
    </row>
    <row r="736" spans="1:4" x14ac:dyDescent="0.2">
      <c r="A736" s="5">
        <v>675</v>
      </c>
      <c r="B736" s="138">
        <f>'Expenditures 15-22'!C56</f>
        <v>54000</v>
      </c>
      <c r="D736" s="2" t="str">
        <f t="shared" si="10"/>
        <v>Error?</v>
      </c>
    </row>
    <row r="737" spans="1:4" x14ac:dyDescent="0.2">
      <c r="A737" s="5">
        <v>676</v>
      </c>
      <c r="B737" s="138">
        <f>'Expenditures 15-22'!C57</f>
        <v>282978</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93799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177808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271607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12245</v>
      </c>
      <c r="D748" s="2" t="str">
        <f t="shared" si="10"/>
        <v>Error?</v>
      </c>
    </row>
    <row r="749" spans="1:4" x14ac:dyDescent="0.2">
      <c r="A749" s="5">
        <v>688</v>
      </c>
      <c r="B749" s="138">
        <f>'Expenditures 15-22'!C70</f>
        <v>1700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13945</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1432205</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5422564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881306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21383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32287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1073982</v>
      </c>
      <c r="C778" s="2" t="s">
        <v>593</v>
      </c>
      <c r="D778" s="2" t="str">
        <f t="shared" si="11"/>
        <v>Error?</v>
      </c>
    </row>
    <row r="779" spans="1:4" x14ac:dyDescent="0.2">
      <c r="A779" s="5">
        <v>718</v>
      </c>
      <c r="B779" s="138">
        <f>'Expenditures 15-22'!D36</f>
        <v>49816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19550</v>
      </c>
      <c r="D781" s="2" t="str">
        <f t="shared" si="11"/>
        <v>Error?</v>
      </c>
    </row>
    <row r="782" spans="1:4" x14ac:dyDescent="0.2">
      <c r="A782" s="5">
        <v>721</v>
      </c>
      <c r="B782" s="138">
        <f>'Expenditures 15-22'!D39</f>
        <v>28845</v>
      </c>
      <c r="D782" s="2" t="str">
        <f t="shared" si="11"/>
        <v>Error?</v>
      </c>
    </row>
    <row r="783" spans="1:4" x14ac:dyDescent="0.2">
      <c r="A783" s="5">
        <v>722</v>
      </c>
      <c r="B783" s="138">
        <f>'Expenditures 15-22'!D40</f>
        <v>9903</v>
      </c>
      <c r="D783" s="2" t="str">
        <f t="shared" si="11"/>
        <v>Error?</v>
      </c>
    </row>
    <row r="784" spans="1:4" x14ac:dyDescent="0.2">
      <c r="A784" s="5">
        <v>723</v>
      </c>
      <c r="B784" s="138">
        <f>'Expenditures 15-22'!D41</f>
        <v>34871</v>
      </c>
      <c r="D784" s="2" t="str">
        <f t="shared" si="11"/>
        <v>Error?</v>
      </c>
    </row>
    <row r="785" spans="1:4" x14ac:dyDescent="0.2">
      <c r="A785" s="5">
        <v>724</v>
      </c>
      <c r="B785" s="138">
        <f>'Expenditures 15-22'!D42</f>
        <v>142985</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34984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34984</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53711</v>
      </c>
      <c r="D791" s="2" t="str">
        <f t="shared" si="11"/>
        <v>Error?</v>
      </c>
    </row>
    <row r="792" spans="1:4" x14ac:dyDescent="0.2">
      <c r="A792" s="5">
        <v>731</v>
      </c>
      <c r="B792" s="138">
        <f>'Expenditures 15-22'!D53</f>
        <v>53711</v>
      </c>
      <c r="C792" s="2" t="s">
        <v>593</v>
      </c>
      <c r="D792" s="2" t="str">
        <f t="shared" si="11"/>
        <v>Error?</v>
      </c>
    </row>
    <row r="793" spans="1:4" x14ac:dyDescent="0.2">
      <c r="A793" s="5">
        <v>732</v>
      </c>
      <c r="B793" s="138">
        <f>'Expenditures 15-22'!D55</f>
        <v>73866</v>
      </c>
      <c r="D793" s="2" t="str">
        <f t="shared" si="11"/>
        <v>Error?</v>
      </c>
    </row>
    <row r="794" spans="1:4" x14ac:dyDescent="0.2">
      <c r="A794" s="5">
        <v>733</v>
      </c>
      <c r="B794" s="138">
        <f>'Expenditures 15-22'!D56</f>
        <v>7881</v>
      </c>
      <c r="D794" s="2" t="str">
        <f t="shared" si="11"/>
        <v>Error?</v>
      </c>
    </row>
    <row r="795" spans="1:4" x14ac:dyDescent="0.2">
      <c r="A795" s="5">
        <v>734</v>
      </c>
      <c r="B795" s="138">
        <f>'Expenditures 15-22'!D57</f>
        <v>81747</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1173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53272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54445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367872</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1441854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1167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1201</v>
      </c>
      <c r="C836" s="2" t="s">
        <v>593</v>
      </c>
      <c r="D836" s="2" t="str">
        <f t="shared" si="12"/>
        <v>Error?</v>
      </c>
    </row>
    <row r="837" spans="1:4" x14ac:dyDescent="0.2">
      <c r="A837" s="5">
        <v>776</v>
      </c>
      <c r="B837" s="138">
        <f>'Expenditures 15-22'!E36</f>
        <v>85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1846</v>
      </c>
      <c r="D842" s="2" t="str">
        <f t="shared" si="12"/>
        <v>Error?</v>
      </c>
    </row>
    <row r="843" spans="1:4" x14ac:dyDescent="0.2">
      <c r="A843" s="5">
        <v>782</v>
      </c>
      <c r="B843" s="138">
        <f>'Expenditures 15-22'!E42</f>
        <v>1981</v>
      </c>
      <c r="C843" s="2" t="s">
        <v>593</v>
      </c>
      <c r="D843" s="2" t="str">
        <f t="shared" si="12"/>
        <v>Error?</v>
      </c>
    </row>
    <row r="844" spans="1:4" x14ac:dyDescent="0.2">
      <c r="A844" s="5">
        <v>783</v>
      </c>
      <c r="B844" s="138">
        <f>'Expenditures 15-22'!E44</f>
        <v>26143</v>
      </c>
      <c r="D844" s="2" t="str">
        <f t="shared" si="12"/>
        <v>Error?</v>
      </c>
    </row>
    <row r="845" spans="1:4" x14ac:dyDescent="0.2">
      <c r="A845" s="5">
        <v>784</v>
      </c>
      <c r="B845" s="138">
        <f>'Expenditures 15-22'!E45</f>
        <v>9627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35770</v>
      </c>
      <c r="C847" s="2" t="s">
        <v>593</v>
      </c>
      <c r="D847" s="2" t="str">
        <f t="shared" si="12"/>
        <v>Error?</v>
      </c>
    </row>
    <row r="848" spans="1:4" x14ac:dyDescent="0.2">
      <c r="A848" s="5">
        <v>787</v>
      </c>
      <c r="B848" s="138">
        <f>'Expenditures 15-22'!E49</f>
        <v>74286</v>
      </c>
      <c r="D848" s="2" t="str">
        <f t="shared" si="12"/>
        <v>Error?</v>
      </c>
    </row>
    <row r="849" spans="1:4" x14ac:dyDescent="0.2">
      <c r="A849" s="5">
        <v>788</v>
      </c>
      <c r="B849" s="138">
        <f>'Expenditures 15-22'!E50</f>
        <v>2529</v>
      </c>
      <c r="D849" s="2" t="str">
        <f t="shared" si="12"/>
        <v>Error?</v>
      </c>
    </row>
    <row r="850" spans="1:4" x14ac:dyDescent="0.2">
      <c r="A850" s="5">
        <v>789</v>
      </c>
      <c r="B850" s="138">
        <f>'Expenditures 15-22'!E53</f>
        <v>76815</v>
      </c>
      <c r="C850" s="2" t="s">
        <v>593</v>
      </c>
      <c r="D850" s="2" t="str">
        <f t="shared" si="12"/>
        <v>Error?</v>
      </c>
    </row>
    <row r="851" spans="1:4" x14ac:dyDescent="0.2">
      <c r="A851" s="5">
        <v>790</v>
      </c>
      <c r="B851" s="138">
        <f>'Expenditures 15-22'!E55</f>
        <v>4054</v>
      </c>
      <c r="D851" s="2" t="str">
        <f t="shared" si="12"/>
        <v>Error?</v>
      </c>
    </row>
    <row r="852" spans="1:4" x14ac:dyDescent="0.2">
      <c r="A852" s="5">
        <v>791</v>
      </c>
      <c r="B852" s="138">
        <f>'Expenditures 15-22'!E56</f>
        <v>433</v>
      </c>
      <c r="D852" s="2" t="str">
        <f t="shared" si="12"/>
        <v>Error?</v>
      </c>
    </row>
    <row r="853" spans="1:4" x14ac:dyDescent="0.2">
      <c r="A853" s="5">
        <v>792</v>
      </c>
      <c r="B853" s="138">
        <f>'Expenditures 15-22'!E57</f>
        <v>4487</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52431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9101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61532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48266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48266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228851</v>
      </c>
      <c r="C871" s="2" t="s">
        <v>593</v>
      </c>
      <c r="D871" s="2" t="str">
        <f t="shared" si="12"/>
        <v>Error?</v>
      </c>
    </row>
    <row r="872" spans="1:4" x14ac:dyDescent="0.2">
      <c r="A872" s="5">
        <v>811</v>
      </c>
      <c r="B872" s="138">
        <f>'Expenditures 15-22'!E75</f>
        <v>1269</v>
      </c>
      <c r="D872" s="2" t="str">
        <f t="shared" si="12"/>
        <v>Error?</v>
      </c>
    </row>
    <row r="873" spans="1:4" x14ac:dyDescent="0.2">
      <c r="A873" s="5">
        <v>812</v>
      </c>
      <c r="B873" s="138">
        <f>'Expenditures 15-22'!E114</f>
        <v>363328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64835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665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88252</v>
      </c>
      <c r="C894" s="2" t="s">
        <v>593</v>
      </c>
      <c r="D894" s="2" t="str">
        <f t="shared" si="12"/>
        <v>Error?</v>
      </c>
    </row>
    <row r="895" spans="1:4" x14ac:dyDescent="0.2">
      <c r="A895" s="5">
        <v>834</v>
      </c>
      <c r="B895" s="138">
        <f>'Expenditures 15-22'!F36</f>
        <v>18157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19300</v>
      </c>
      <c r="D900" s="2" t="str">
        <f t="shared" si="13"/>
        <v>Error?</v>
      </c>
    </row>
    <row r="901" spans="1:4" x14ac:dyDescent="0.2">
      <c r="A901" s="5">
        <v>840</v>
      </c>
      <c r="B901" s="138">
        <f>'Expenditures 15-22'!F42</f>
        <v>38230</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103170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103170</v>
      </c>
      <c r="C905" s="2" t="s">
        <v>593</v>
      </c>
      <c r="D905" s="2" t="str">
        <f t="shared" si="13"/>
        <v>Error?</v>
      </c>
    </row>
    <row r="906" spans="1:4" x14ac:dyDescent="0.2">
      <c r="A906" s="5">
        <v>845</v>
      </c>
      <c r="B906" s="138">
        <f>'Expenditures 15-22'!F49</f>
        <v>658</v>
      </c>
      <c r="D906" s="2" t="str">
        <f t="shared" si="13"/>
        <v>Error?</v>
      </c>
    </row>
    <row r="907" spans="1:4" x14ac:dyDescent="0.2">
      <c r="A907" s="5">
        <v>846</v>
      </c>
      <c r="B907" s="138">
        <f>'Expenditures 15-22'!F50</f>
        <v>16591</v>
      </c>
      <c r="D907" s="2" t="str">
        <f t="shared" si="13"/>
        <v>Error?</v>
      </c>
    </row>
    <row r="908" spans="1:4" x14ac:dyDescent="0.2">
      <c r="A908" s="5">
        <v>847</v>
      </c>
      <c r="B908" s="138">
        <f>'Expenditures 15-22'!F53</f>
        <v>17249</v>
      </c>
      <c r="C908" s="2" t="s">
        <v>593</v>
      </c>
      <c r="D908" s="2" t="str">
        <f t="shared" si="13"/>
        <v>Error?</v>
      </c>
    </row>
    <row r="909" spans="1:4" x14ac:dyDescent="0.2">
      <c r="A909" s="5">
        <v>848</v>
      </c>
      <c r="B909" s="138">
        <f>'Expenditures 15-22'!F55</f>
        <v>2125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2125</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186128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186927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14917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14917</v>
      </c>
      <c r="C927" s="2" t="s">
        <v>593</v>
      </c>
      <c r="D927" s="2" t="str">
        <f t="shared" si="13"/>
        <v>Error?</v>
      </c>
    </row>
    <row r="928" spans="1:4" x14ac:dyDescent="0.2">
      <c r="A928" s="5">
        <v>867</v>
      </c>
      <c r="B928" s="138">
        <f>'Expenditures 15-22'!F73</f>
        <v>965</v>
      </c>
      <c r="D928" s="2" t="str">
        <f t="shared" si="13"/>
        <v>Error?</v>
      </c>
    </row>
    <row r="929" spans="1:4" x14ac:dyDescent="0.2">
      <c r="A929" s="5">
        <v>868</v>
      </c>
      <c r="B929" s="138">
        <f>'Expenditures 15-22'!F74</f>
        <v>363583</v>
      </c>
      <c r="C929" s="2" t="s">
        <v>593</v>
      </c>
      <c r="D929" s="2" t="str">
        <f t="shared" si="13"/>
        <v>Error?</v>
      </c>
    </row>
    <row r="930" spans="1:4" x14ac:dyDescent="0.2">
      <c r="A930" s="5">
        <v>869</v>
      </c>
      <c r="B930" s="138">
        <f>'Expenditures 15-22'!F75</f>
        <v>258</v>
      </c>
      <c r="D930" s="2" t="str">
        <f t="shared" si="13"/>
        <v>Error?</v>
      </c>
    </row>
    <row r="931" spans="1:4" x14ac:dyDescent="0.2">
      <c r="A931" s="5">
        <v>870</v>
      </c>
      <c r="B931" s="138">
        <f>'Expenditures 15-22'!F114</f>
        <v>452093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92099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92099</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92099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92099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15532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15532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385</v>
      </c>
      <c r="D1016" s="2" t="str">
        <f t="shared" si="14"/>
        <v>Error?</v>
      </c>
    </row>
    <row r="1017" spans="1:4" x14ac:dyDescent="0.2">
      <c r="A1017" s="5">
        <v>956</v>
      </c>
      <c r="B1017" s="138">
        <f>'Expenditures 15-22'!H42</f>
        <v>385</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1307</v>
      </c>
      <c r="D1022" s="2" t="str">
        <f t="shared" si="14"/>
        <v>Error?</v>
      </c>
    </row>
    <row r="1023" spans="1:4" x14ac:dyDescent="0.2">
      <c r="A1023" s="5">
        <v>962</v>
      </c>
      <c r="B1023" s="138">
        <f>'Expenditures 15-22'!H50</f>
        <v>3461</v>
      </c>
      <c r="D1023" s="2" t="str">
        <f t="shared" ref="D1023:D1086" si="15">IF(ISBLANK(B1023),"OK",IF(A1023-B1023=0,"OK","Error?"))</f>
        <v>Error?</v>
      </c>
    </row>
    <row r="1024" spans="1:4" x14ac:dyDescent="0.2">
      <c r="A1024" s="5">
        <v>963</v>
      </c>
      <c r="B1024" s="138">
        <f>'Expenditures 15-22'!H53</f>
        <v>4768</v>
      </c>
      <c r="C1024" s="2" t="s">
        <v>593</v>
      </c>
      <c r="D1024" s="2" t="str">
        <f t="shared" si="15"/>
        <v>Error?</v>
      </c>
    </row>
    <row r="1025" spans="1:4" x14ac:dyDescent="0.2">
      <c r="A1025" s="5">
        <v>964</v>
      </c>
      <c r="B1025" s="138">
        <f>'Expenditures 15-22'!H55</f>
        <v>1754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1754</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6907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884209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906648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4095712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79704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158161</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5169326</v>
      </c>
      <c r="C1108" s="2" t="s">
        <v>593</v>
      </c>
      <c r="D1108" s="2" t="str">
        <f t="shared" si="16"/>
        <v>Error?</v>
      </c>
    </row>
    <row r="1109" spans="1:4" x14ac:dyDescent="0.2">
      <c r="A1109" s="5">
        <v>1048</v>
      </c>
      <c r="B1109" s="138">
        <f>'Expenditures 15-22'!K36</f>
        <v>223625</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83888</v>
      </c>
      <c r="C1111" s="2" t="s">
        <v>593</v>
      </c>
      <c r="D1111" s="2" t="str">
        <f t="shared" si="16"/>
        <v>Error?</v>
      </c>
    </row>
    <row r="1112" spans="1:4" x14ac:dyDescent="0.2">
      <c r="A1112" s="5">
        <v>1051</v>
      </c>
      <c r="B1112" s="138">
        <f>'Expenditures 15-22'!K39</f>
        <v>92328</v>
      </c>
      <c r="C1112" s="2" t="s">
        <v>593</v>
      </c>
      <c r="D1112" s="2" t="str">
        <f t="shared" si="16"/>
        <v>Error?</v>
      </c>
    </row>
    <row r="1113" spans="1:4" x14ac:dyDescent="0.2">
      <c r="A1113" s="5">
        <v>1052</v>
      </c>
      <c r="B1113" s="138">
        <f>'Expenditures 15-22'!K40</f>
        <v>155434</v>
      </c>
      <c r="C1113" s="2" t="s">
        <v>593</v>
      </c>
      <c r="D1113" s="2" t="str">
        <f t="shared" si="16"/>
        <v>Error?</v>
      </c>
    </row>
    <row r="1114" spans="1:4" x14ac:dyDescent="0.2">
      <c r="A1114" s="5">
        <v>1053</v>
      </c>
      <c r="B1114" s="138">
        <f>'Expenditures 15-22'!K41</f>
        <v>198104</v>
      </c>
      <c r="C1114" s="2" t="s">
        <v>593</v>
      </c>
      <c r="D1114" s="2" t="str">
        <f t="shared" si="16"/>
        <v>Error?</v>
      </c>
    </row>
    <row r="1115" spans="1:4" x14ac:dyDescent="0.2">
      <c r="A1115" s="5">
        <v>1054</v>
      </c>
      <c r="B1115" s="138">
        <f>'Expenditures 15-22'!K42</f>
        <v>753379</v>
      </c>
      <c r="C1115" s="2" t="s">
        <v>593</v>
      </c>
      <c r="D1115" s="2" t="str">
        <f t="shared" si="16"/>
        <v>Error?</v>
      </c>
    </row>
    <row r="1116" spans="1:4" x14ac:dyDescent="0.2">
      <c r="A1116" s="5">
        <v>1055</v>
      </c>
      <c r="B1116" s="138">
        <f>'Expenditures 15-22'!K44</f>
        <v>26143</v>
      </c>
      <c r="C1116" s="2" t="s">
        <v>593</v>
      </c>
      <c r="D1116" s="2" t="str">
        <f t="shared" si="16"/>
        <v>Error?</v>
      </c>
    </row>
    <row r="1117" spans="1:4" x14ac:dyDescent="0.2">
      <c r="A1117" s="5">
        <v>1056</v>
      </c>
      <c r="B1117" s="138">
        <f>'Expenditures 15-22'!K45</f>
        <v>390939</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417082</v>
      </c>
      <c r="C1119" s="2" t="s">
        <v>593</v>
      </c>
      <c r="D1119" s="2" t="str">
        <f t="shared" si="16"/>
        <v>Error?</v>
      </c>
    </row>
    <row r="1120" spans="1:4" x14ac:dyDescent="0.2">
      <c r="A1120" s="5">
        <v>1059</v>
      </c>
      <c r="B1120" s="138">
        <f>'Expenditures 15-22'!K49</f>
        <v>76251</v>
      </c>
      <c r="C1120" s="2" t="s">
        <v>593</v>
      </c>
      <c r="D1120" s="2" t="str">
        <f t="shared" si="16"/>
        <v>Error?</v>
      </c>
    </row>
    <row r="1121" spans="1:4" x14ac:dyDescent="0.2">
      <c r="A1121" s="5">
        <v>1060</v>
      </c>
      <c r="B1121" s="138">
        <f>'Expenditures 15-22'!K50</f>
        <v>222904</v>
      </c>
      <c r="C1121" s="2" t="s">
        <v>593</v>
      </c>
      <c r="D1121" s="2" t="str">
        <f t="shared" si="16"/>
        <v>Error?</v>
      </c>
    </row>
    <row r="1122" spans="1:4" x14ac:dyDescent="0.2">
      <c r="A1122" s="5">
        <v>1061</v>
      </c>
      <c r="B1122" s="138">
        <f>'Expenditures 15-22'!K53</f>
        <v>299155</v>
      </c>
      <c r="C1122" s="2" t="s">
        <v>593</v>
      </c>
      <c r="D1122" s="2" t="str">
        <f t="shared" si="16"/>
        <v>Error?</v>
      </c>
    </row>
    <row r="1123" spans="1:4" x14ac:dyDescent="0.2">
      <c r="A1123" s="5">
        <v>1062</v>
      </c>
      <c r="B1123" s="138">
        <f>'Expenditures 15-22'!K55</f>
        <v>310777</v>
      </c>
      <c r="C1123" s="2" t="s">
        <v>593</v>
      </c>
      <c r="D1123" s="2" t="str">
        <f t="shared" si="16"/>
        <v>Error?</v>
      </c>
    </row>
    <row r="1124" spans="1:4" x14ac:dyDescent="0.2">
      <c r="A1124" s="5">
        <v>1063</v>
      </c>
      <c r="B1124" s="138">
        <f>'Expenditures 15-22'!K56</f>
        <v>62314</v>
      </c>
      <c r="C1124" s="2" t="s">
        <v>593</v>
      </c>
      <c r="D1124" s="2" t="str">
        <f t="shared" si="16"/>
        <v>Error?</v>
      </c>
    </row>
    <row r="1125" spans="1:4" x14ac:dyDescent="0.2">
      <c r="A1125" s="5">
        <v>1064</v>
      </c>
      <c r="B1125" s="138">
        <f>'Expenditures 15-22'!K57</f>
        <v>373091</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148202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426309</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574511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75428</v>
      </c>
      <c r="C1136" s="2" t="s">
        <v>593</v>
      </c>
      <c r="D1136" s="2" t="str">
        <f t="shared" si="16"/>
        <v>Error?</v>
      </c>
    </row>
    <row r="1137" spans="1:4" x14ac:dyDescent="0.2">
      <c r="A1137" s="5">
        <v>1076</v>
      </c>
      <c r="B1137" s="138">
        <f>'Expenditures 15-22'!K70</f>
        <v>1700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77128</v>
      </c>
      <c r="C1141" s="2" t="s">
        <v>593</v>
      </c>
      <c r="D1141" s="2" t="str">
        <f t="shared" si="16"/>
        <v>Error?</v>
      </c>
    </row>
    <row r="1142" spans="1:4" x14ac:dyDescent="0.2">
      <c r="A1142" s="5">
        <v>1081</v>
      </c>
      <c r="B1142" s="138">
        <f>'Expenditures 15-22'!K73</f>
        <v>965</v>
      </c>
      <c r="C1142" s="2" t="s">
        <v>593</v>
      </c>
      <c r="D1142" s="2" t="str">
        <f t="shared" si="16"/>
        <v>Error?</v>
      </c>
    </row>
    <row r="1143" spans="1:4" x14ac:dyDescent="0.2">
      <c r="A1143" s="5">
        <v>1082</v>
      </c>
      <c r="B1143" s="138">
        <f>'Expenditures 15-22'!K74</f>
        <v>2495311</v>
      </c>
      <c r="C1143" s="2" t="s">
        <v>593</v>
      </c>
      <c r="D1143" s="2" t="str">
        <f t="shared" si="16"/>
        <v>Error?</v>
      </c>
    </row>
    <row r="1144" spans="1:4" x14ac:dyDescent="0.2">
      <c r="A1144" s="5">
        <v>1083</v>
      </c>
      <c r="B1144" s="138">
        <f>'Expenditures 15-22'!K75</f>
        <v>1527</v>
      </c>
      <c r="C1144" s="2" t="s">
        <v>593</v>
      </c>
      <c r="D1144" s="2" t="str">
        <f t="shared" si="16"/>
        <v>Error?</v>
      </c>
    </row>
    <row r="1145" spans="1:4" x14ac:dyDescent="0.2">
      <c r="A1145" s="5">
        <v>1084</v>
      </c>
      <c r="B1145" s="138">
        <f>'Expenditures 15-22'!K102</f>
        <v>1016216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8682380</v>
      </c>
      <c r="C1152" s="2" t="s">
        <v>593</v>
      </c>
      <c r="D1152" s="2" t="str">
        <f t="shared" si="17"/>
        <v>Error?</v>
      </c>
    </row>
    <row r="1153" spans="1:4" x14ac:dyDescent="0.2">
      <c r="A1153" s="5">
        <v>1092</v>
      </c>
      <c r="B1153" s="138">
        <f>'Expenditures 15-22'!K115</f>
        <v>-1483111</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27837</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317461</v>
      </c>
      <c r="D1221" s="2" t="str">
        <f t="shared" si="18"/>
        <v>Error?</v>
      </c>
    </row>
    <row r="1222" spans="1:4" x14ac:dyDescent="0.2">
      <c r="A1222" s="10">
        <v>1161</v>
      </c>
      <c r="D1222" s="2" t="str">
        <f t="shared" si="18"/>
        <v>OK</v>
      </c>
    </row>
    <row r="1223" spans="1:4" x14ac:dyDescent="0.2">
      <c r="A1223" s="5">
        <v>1162</v>
      </c>
      <c r="B1223" s="138">
        <f>'Expenditures 15-22'!C127</f>
        <v>345298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345298</v>
      </c>
      <c r="C1225" s="2" t="s">
        <v>593</v>
      </c>
      <c r="D1225" s="2" t="str">
        <f t="shared" si="18"/>
        <v>Error?</v>
      </c>
    </row>
    <row r="1226" spans="1:4" x14ac:dyDescent="0.2">
      <c r="A1226" s="5">
        <v>1165</v>
      </c>
      <c r="B1226" s="138">
        <f>'Expenditures 15-22'!C151</f>
        <v>345298</v>
      </c>
      <c r="C1226" s="2" t="s">
        <v>593</v>
      </c>
      <c r="D1226" s="2" t="str">
        <f t="shared" si="18"/>
        <v>Error?</v>
      </c>
    </row>
    <row r="1227" spans="1:4" x14ac:dyDescent="0.2">
      <c r="A1227" s="5">
        <v>1166</v>
      </c>
      <c r="B1227" s="138">
        <f>'Expenditures 15-22'!D122</f>
        <v>3560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83118</v>
      </c>
      <c r="D1229" s="2" t="str">
        <f t="shared" si="18"/>
        <v>Error?</v>
      </c>
    </row>
    <row r="1230" spans="1:4" x14ac:dyDescent="0.2">
      <c r="A1230" s="10">
        <v>1169</v>
      </c>
      <c r="D1230" s="2" t="str">
        <f t="shared" si="18"/>
        <v>OK</v>
      </c>
    </row>
    <row r="1231" spans="1:4" x14ac:dyDescent="0.2">
      <c r="A1231" s="5">
        <v>1170</v>
      </c>
      <c r="B1231" s="138">
        <f>'Expenditures 15-22'!D127</f>
        <v>86678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86678</v>
      </c>
      <c r="C1233" s="2" t="s">
        <v>593</v>
      </c>
      <c r="D1233" s="2" t="str">
        <f t="shared" si="18"/>
        <v>Error?</v>
      </c>
    </row>
    <row r="1234" spans="1:4" x14ac:dyDescent="0.2">
      <c r="A1234" s="5">
        <v>1173</v>
      </c>
      <c r="B1234" s="138">
        <f>'Expenditures 15-22'!D151</f>
        <v>86678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211994</v>
      </c>
      <c r="D1237" s="2" t="str">
        <f t="shared" si="18"/>
        <v>Error?</v>
      </c>
    </row>
    <row r="1238" spans="1:4" x14ac:dyDescent="0.2">
      <c r="A1238" s="10">
        <v>1177</v>
      </c>
      <c r="D1238" s="2" t="str">
        <f t="shared" si="18"/>
        <v>OK</v>
      </c>
    </row>
    <row r="1239" spans="1:4" x14ac:dyDescent="0.2">
      <c r="A1239" s="5">
        <v>1178</v>
      </c>
      <c r="B1239" s="138">
        <f>'Expenditures 15-22'!E127</f>
        <v>211994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211994</v>
      </c>
      <c r="C1241" s="2" t="s">
        <v>593</v>
      </c>
      <c r="D1241" s="2" t="str">
        <f t="shared" si="18"/>
        <v>Error?</v>
      </c>
    </row>
    <row r="1242" spans="1:4" x14ac:dyDescent="0.2">
      <c r="A1242" s="5">
        <v>1181</v>
      </c>
      <c r="B1242" s="138">
        <f>'Expenditures 15-22'!E151</f>
        <v>211994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258718</v>
      </c>
      <c r="D1245" s="2" t="str">
        <f t="shared" si="18"/>
        <v>Error?</v>
      </c>
    </row>
    <row r="1246" spans="1:4" x14ac:dyDescent="0.2">
      <c r="A1246" s="10">
        <v>1185</v>
      </c>
      <c r="D1246" s="2" t="str">
        <f t="shared" si="18"/>
        <v>OK</v>
      </c>
    </row>
    <row r="1247" spans="1:4" x14ac:dyDescent="0.2">
      <c r="A1247" s="5">
        <v>1186</v>
      </c>
      <c r="B1247" s="138">
        <f>'Expenditures 15-22'!F127</f>
        <v>258718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258718</v>
      </c>
      <c r="C1249" s="2" t="s">
        <v>593</v>
      </c>
      <c r="D1249" s="2" t="str">
        <f t="shared" si="18"/>
        <v>Error?</v>
      </c>
    </row>
    <row r="1250" spans="1:4" x14ac:dyDescent="0.2">
      <c r="A1250" s="5">
        <v>1189</v>
      </c>
      <c r="B1250" s="138">
        <f>'Expenditures 15-22'!F151</f>
        <v>258718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71</v>
      </c>
      <c r="C1258" s="2" t="s">
        <v>593</v>
      </c>
      <c r="D1258" s="2" t="str">
        <f t="shared" si="18"/>
        <v>Error?</v>
      </c>
    </row>
    <row r="1259" spans="1:4" x14ac:dyDescent="0.2">
      <c r="A1259" s="5">
        <v>1198</v>
      </c>
      <c r="B1259" s="138">
        <f>'Expenditures 15-22'!G151</f>
        <v>71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31397</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871362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902759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902759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902759</v>
      </c>
      <c r="C1288" s="2" t="s">
        <v>593</v>
      </c>
      <c r="D1288" s="2" t="str">
        <f t="shared" si="19"/>
        <v>Error?</v>
      </c>
    </row>
    <row r="1289" spans="1:4" x14ac:dyDescent="0.2">
      <c r="A1289" s="5">
        <v>1228</v>
      </c>
      <c r="B1289" s="138">
        <f>'Expenditures 15-22'!K152</f>
        <v>-32855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1176652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2535000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3711652</v>
      </c>
      <c r="C1317" s="2" t="s">
        <v>593</v>
      </c>
      <c r="D1317" s="2" t="str">
        <f t="shared" si="19"/>
        <v>Error?</v>
      </c>
    </row>
    <row r="1318" spans="1:4" x14ac:dyDescent="0.2">
      <c r="A1318" s="5">
        <v>1257</v>
      </c>
      <c r="B1318" s="138">
        <f>'Expenditures 15-22'!H174</f>
        <v>3711652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1176652</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2535000</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3711652</v>
      </c>
      <c r="C1331" s="2" t="s">
        <v>593</v>
      </c>
      <c r="D1331" s="2" t="str">
        <f t="shared" si="19"/>
        <v>Error?</v>
      </c>
    </row>
    <row r="1332" spans="1:4" x14ac:dyDescent="0.2">
      <c r="A1332" s="5">
        <v>1271</v>
      </c>
      <c r="B1332" s="138">
        <f>'Expenditures 15-22'!K174</f>
        <v>3711652</v>
      </c>
      <c r="C1332" s="2" t="s">
        <v>593</v>
      </c>
      <c r="D1332" s="2" t="str">
        <f t="shared" si="19"/>
        <v>Error?</v>
      </c>
    </row>
    <row r="1333" spans="1:4" x14ac:dyDescent="0.2">
      <c r="A1333" s="5">
        <v>1272</v>
      </c>
      <c r="B1333" s="138">
        <f>'Expenditures 15-22'!K175</f>
        <v>166647</v>
      </c>
      <c r="C1333" s="2" t="s">
        <v>593</v>
      </c>
      <c r="D1333" s="2" t="str">
        <f t="shared" si="19"/>
        <v>Error?</v>
      </c>
    </row>
    <row r="1334" spans="1:4" x14ac:dyDescent="0.2">
      <c r="A1334" s="10">
        <v>1273</v>
      </c>
      <c r="D1334" s="2" t="str">
        <f t="shared" si="19"/>
        <v>OK</v>
      </c>
    </row>
    <row r="1335" spans="1:4" x14ac:dyDescent="0.2">
      <c r="A1335" s="5">
        <v>1274</v>
      </c>
      <c r="B1335" s="138">
        <f>'Expenditures 15-22'!C182</f>
        <v>31522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31522</v>
      </c>
      <c r="C1339" s="2" t="s">
        <v>593</v>
      </c>
      <c r="D1339" s="2" t="str">
        <f t="shared" si="19"/>
        <v>Error?</v>
      </c>
    </row>
    <row r="1340" spans="1:4" x14ac:dyDescent="0.2">
      <c r="A1340" s="5">
        <v>1279</v>
      </c>
      <c r="B1340" s="138">
        <f>'Expenditures 15-22'!C210</f>
        <v>31522</v>
      </c>
      <c r="C1340" s="2" t="s">
        <v>593</v>
      </c>
      <c r="D1340" s="2" t="str">
        <f t="shared" si="19"/>
        <v>Error?</v>
      </c>
    </row>
    <row r="1341" spans="1:4" x14ac:dyDescent="0.2">
      <c r="A1341" s="5">
        <v>1280</v>
      </c>
      <c r="B1341" s="138">
        <f>'Expenditures 15-22'!D182</f>
        <v>2446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2446</v>
      </c>
      <c r="C1345" s="2" t="s">
        <v>593</v>
      </c>
      <c r="D1345" s="2" t="str">
        <f t="shared" si="20"/>
        <v>Error?</v>
      </c>
    </row>
    <row r="1346" spans="1:4" x14ac:dyDescent="0.2">
      <c r="A1346" s="5">
        <v>1285</v>
      </c>
      <c r="B1346" s="138">
        <f>'Expenditures 15-22'!D210</f>
        <v>2446</v>
      </c>
      <c r="C1346" s="2" t="s">
        <v>593</v>
      </c>
      <c r="D1346" s="2" t="str">
        <f t="shared" si="20"/>
        <v>Error?</v>
      </c>
    </row>
    <row r="1347" spans="1:4" x14ac:dyDescent="0.2">
      <c r="A1347" s="5">
        <v>1286</v>
      </c>
      <c r="B1347" s="138">
        <f>'Expenditures 15-22'!E182</f>
        <v>598707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598707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598707</v>
      </c>
      <c r="C1353" s="2" t="s">
        <v>593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593</v>
      </c>
      <c r="D1358" s="2" t="str">
        <f t="shared" si="20"/>
        <v>Error?</v>
      </c>
    </row>
    <row r="1359" spans="1:4" x14ac:dyDescent="0.2">
      <c r="A1359" s="5">
        <v>1298</v>
      </c>
      <c r="B1359" s="138">
        <f>'Expenditures 15-22'!F210</f>
        <v>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632675</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632675</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632675</v>
      </c>
      <c r="C1388" s="2" t="s">
        <v>593</v>
      </c>
      <c r="D1388" s="2" t="str">
        <f t="shared" si="20"/>
        <v>Error?</v>
      </c>
    </row>
    <row r="1389" spans="1:4" x14ac:dyDescent="0.2">
      <c r="A1389" s="5">
        <v>1328</v>
      </c>
      <c r="B1389" s="138">
        <f>'Expenditures 15-22'!K211</f>
        <v>17262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1422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109849</v>
      </c>
      <c r="C1410" s="2" t="s">
        <v>593</v>
      </c>
      <c r="D1410" s="2" t="str">
        <f t="shared" si="21"/>
        <v>Error?</v>
      </c>
    </row>
    <row r="1411" spans="1:4" x14ac:dyDescent="0.2">
      <c r="A1411" s="5">
        <v>1350</v>
      </c>
      <c r="B1411" s="138">
        <f>'Expenditures 15-22'!D232</f>
        <v>2544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11649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2110</v>
      </c>
      <c r="D1415" s="2" t="str">
        <f t="shared" si="21"/>
        <v>Error?</v>
      </c>
    </row>
    <row r="1416" spans="1:4" x14ac:dyDescent="0.2">
      <c r="A1416" s="5">
        <v>1355</v>
      </c>
      <c r="B1416" s="138">
        <f>'Expenditures 15-22'!D237</f>
        <v>7988</v>
      </c>
      <c r="D1416" s="2" t="str">
        <f t="shared" si="21"/>
        <v>Error?</v>
      </c>
    </row>
    <row r="1417" spans="1:4" x14ac:dyDescent="0.2">
      <c r="A1417" s="5">
        <v>1356</v>
      </c>
      <c r="B1417" s="138">
        <f>'Expenditures 15-22'!D238</f>
        <v>24291</v>
      </c>
      <c r="C1417" s="2" t="s">
        <v>593</v>
      </c>
      <c r="D1417" s="2" t="str">
        <f t="shared" si="21"/>
        <v>Error?</v>
      </c>
    </row>
    <row r="1418" spans="1:4" x14ac:dyDescent="0.2">
      <c r="A1418" s="5">
        <v>1357</v>
      </c>
      <c r="B1418" s="138">
        <f>'Expenditures 15-22'!D240</f>
        <v>15246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15246</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13181</v>
      </c>
      <c r="D1423" s="2" t="str">
        <f t="shared" si="21"/>
        <v>Error?</v>
      </c>
    </row>
    <row r="1424" spans="1:4" x14ac:dyDescent="0.2">
      <c r="A1424" s="5">
        <v>1363</v>
      </c>
      <c r="B1424" s="138">
        <f>'Expenditures 15-22'!D257</f>
        <v>25166</v>
      </c>
      <c r="C1424" s="2" t="s">
        <v>593</v>
      </c>
      <c r="D1424" s="2" t="str">
        <f t="shared" si="21"/>
        <v>Error?</v>
      </c>
    </row>
    <row r="1425" spans="1:4" x14ac:dyDescent="0.2">
      <c r="A1425" s="5">
        <v>1364</v>
      </c>
      <c r="B1425" s="138">
        <f>'Expenditures 15-22'!D259</f>
        <v>13420</v>
      </c>
      <c r="D1425" s="2" t="str">
        <f t="shared" si="21"/>
        <v>Error?</v>
      </c>
    </row>
    <row r="1426" spans="1:4" x14ac:dyDescent="0.2">
      <c r="A1426" s="5">
        <v>1365</v>
      </c>
      <c r="B1426" s="138">
        <f>'Expenditures 15-22'!D260</f>
        <v>1494</v>
      </c>
      <c r="D1426" s="2" t="str">
        <f t="shared" si="21"/>
        <v>Error?</v>
      </c>
    </row>
    <row r="1427" spans="1:4" x14ac:dyDescent="0.2">
      <c r="A1427" s="5">
        <v>1366</v>
      </c>
      <c r="B1427" s="138">
        <f>'Expenditures 15-22'!D261</f>
        <v>14914</v>
      </c>
      <c r="C1427" s="2" t="s">
        <v>593</v>
      </c>
      <c r="D1427" s="2" t="str">
        <f t="shared" si="21"/>
        <v>Error?</v>
      </c>
    </row>
    <row r="1428" spans="1:4" x14ac:dyDescent="0.2">
      <c r="A1428" s="5">
        <v>1367</v>
      </c>
      <c r="B1428" s="138">
        <f>'Expenditures 15-22'!D263</f>
        <v>404</v>
      </c>
      <c r="D1428" s="2" t="str">
        <f t="shared" si="21"/>
        <v>Error?</v>
      </c>
    </row>
    <row r="1429" spans="1:4" x14ac:dyDescent="0.2">
      <c r="A1429" s="5">
        <v>1368</v>
      </c>
      <c r="B1429" s="138">
        <f>'Expenditures 15-22'!D264</f>
        <v>16755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49566</v>
      </c>
      <c r="D1431" s="2" t="str">
        <f t="shared" si="21"/>
        <v>Error?</v>
      </c>
    </row>
    <row r="1432" spans="1:4" x14ac:dyDescent="0.2">
      <c r="A1432" s="5">
        <v>1371</v>
      </c>
      <c r="B1432" s="138">
        <f>'Expenditures 15-22'!D267</f>
        <v>3536</v>
      </c>
      <c r="D1432" s="2" t="str">
        <f t="shared" si="21"/>
        <v>Error?</v>
      </c>
    </row>
    <row r="1433" spans="1:4" x14ac:dyDescent="0.2">
      <c r="A1433" s="5">
        <v>1372</v>
      </c>
      <c r="B1433" s="138">
        <f>'Expenditures 15-22'!D268</f>
        <v>28721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98982</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2235</v>
      </c>
      <c r="D1439" s="2" t="str">
        <f t="shared" si="21"/>
        <v>Error?</v>
      </c>
    </row>
    <row r="1440" spans="1:4" x14ac:dyDescent="0.2">
      <c r="A1440" s="5">
        <v>1379</v>
      </c>
      <c r="B1440" s="138">
        <f>'Expenditures 15-22'!D275</f>
        <v>25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2260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180859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290708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667</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1422</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109849</v>
      </c>
      <c r="C1474" s="2" t="s">
        <v>593</v>
      </c>
      <c r="D1474" s="2" t="str">
        <f t="shared" si="22"/>
        <v>Error?</v>
      </c>
    </row>
    <row r="1475" spans="1:4" x14ac:dyDescent="0.2">
      <c r="A1475" s="5">
        <v>1414</v>
      </c>
      <c r="B1475" s="138">
        <f>'Expenditures 15-22'!K232</f>
        <v>2544</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11649</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2110</v>
      </c>
      <c r="C1479" s="2" t="s">
        <v>593</v>
      </c>
      <c r="D1479" s="2" t="str">
        <f t="shared" si="22"/>
        <v>Error?</v>
      </c>
    </row>
    <row r="1480" spans="1:4" x14ac:dyDescent="0.2">
      <c r="A1480" s="5">
        <v>1419</v>
      </c>
      <c r="B1480" s="138">
        <f>'Expenditures 15-22'!K237</f>
        <v>7988</v>
      </c>
      <c r="C1480" s="2" t="s">
        <v>593</v>
      </c>
      <c r="D1480" s="2" t="str">
        <f t="shared" si="22"/>
        <v>Error?</v>
      </c>
    </row>
    <row r="1481" spans="1:4" x14ac:dyDescent="0.2">
      <c r="A1481" s="5">
        <v>1420</v>
      </c>
      <c r="B1481" s="138">
        <f>'Expenditures 15-22'!K238</f>
        <v>24291</v>
      </c>
      <c r="C1481" s="2" t="s">
        <v>593</v>
      </c>
      <c r="D1481" s="2" t="str">
        <f t="shared" si="22"/>
        <v>Error?</v>
      </c>
    </row>
    <row r="1482" spans="1:4" x14ac:dyDescent="0.2">
      <c r="A1482" s="5">
        <v>1421</v>
      </c>
      <c r="B1482" s="138">
        <f>'Expenditures 15-22'!K240</f>
        <v>15246</v>
      </c>
      <c r="C1482" s="2" t="s">
        <v>593</v>
      </c>
      <c r="D1482" s="2" t="str">
        <f t="shared" si="22"/>
        <v>Error?</v>
      </c>
    </row>
    <row r="1483" spans="1:4" x14ac:dyDescent="0.2">
      <c r="A1483" s="5">
        <v>1422</v>
      </c>
      <c r="B1483" s="138">
        <f>'Expenditures 15-22'!K241</f>
        <v>0</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15246</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13181</v>
      </c>
      <c r="C1487" s="2" t="s">
        <v>593</v>
      </c>
      <c r="D1487" s="2" t="str">
        <f t="shared" si="22"/>
        <v>Error?</v>
      </c>
    </row>
    <row r="1488" spans="1:4" x14ac:dyDescent="0.2">
      <c r="A1488" s="5">
        <v>1427</v>
      </c>
      <c r="B1488" s="138">
        <f>'Expenditures 15-22'!K257</f>
        <v>25166</v>
      </c>
      <c r="C1488" s="2" t="s">
        <v>593</v>
      </c>
      <c r="D1488" s="2" t="str">
        <f t="shared" si="22"/>
        <v>Error?</v>
      </c>
    </row>
    <row r="1489" spans="1:4" x14ac:dyDescent="0.2">
      <c r="A1489" s="5">
        <v>1428</v>
      </c>
      <c r="B1489" s="138">
        <f>'Expenditures 15-22'!K259</f>
        <v>13420</v>
      </c>
      <c r="C1489" s="2" t="s">
        <v>593</v>
      </c>
      <c r="D1489" s="2" t="str">
        <f t="shared" si="22"/>
        <v>Error?</v>
      </c>
    </row>
    <row r="1490" spans="1:4" x14ac:dyDescent="0.2">
      <c r="A1490" s="5">
        <v>1429</v>
      </c>
      <c r="B1490" s="138">
        <f>'Expenditures 15-22'!K260</f>
        <v>1494</v>
      </c>
      <c r="C1490" s="2" t="s">
        <v>593</v>
      </c>
      <c r="D1490" s="2" t="str">
        <f t="shared" si="22"/>
        <v>Error?</v>
      </c>
    </row>
    <row r="1491" spans="1:4" x14ac:dyDescent="0.2">
      <c r="A1491" s="5">
        <v>1430</v>
      </c>
      <c r="B1491" s="138">
        <f>'Expenditures 15-22'!K261</f>
        <v>14914</v>
      </c>
      <c r="C1491" s="2" t="s">
        <v>593</v>
      </c>
      <c r="D1491" s="2" t="str">
        <f t="shared" si="22"/>
        <v>Error?</v>
      </c>
    </row>
    <row r="1492" spans="1:4" x14ac:dyDescent="0.2">
      <c r="A1492" s="5">
        <v>1431</v>
      </c>
      <c r="B1492" s="138">
        <f>'Expenditures 15-22'!K263</f>
        <v>404</v>
      </c>
      <c r="C1492" s="2" t="s">
        <v>593</v>
      </c>
      <c r="D1492" s="2" t="str">
        <f t="shared" si="22"/>
        <v>Error?</v>
      </c>
    </row>
    <row r="1493" spans="1:4" x14ac:dyDescent="0.2">
      <c r="A1493" s="5">
        <v>1432</v>
      </c>
      <c r="B1493" s="138">
        <f>'Expenditures 15-22'!K264</f>
        <v>16755</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49566</v>
      </c>
      <c r="C1495" s="2" t="s">
        <v>593</v>
      </c>
      <c r="D1495" s="2" t="str">
        <f t="shared" si="22"/>
        <v>Error?</v>
      </c>
    </row>
    <row r="1496" spans="1:4" x14ac:dyDescent="0.2">
      <c r="A1496" s="5">
        <v>1435</v>
      </c>
      <c r="B1496" s="138">
        <f>'Expenditures 15-22'!K267</f>
        <v>3536</v>
      </c>
      <c r="C1496" s="2" t="s">
        <v>593</v>
      </c>
      <c r="D1496" s="2" t="str">
        <f t="shared" si="22"/>
        <v>Error?</v>
      </c>
    </row>
    <row r="1497" spans="1:4" x14ac:dyDescent="0.2">
      <c r="A1497" s="5">
        <v>1436</v>
      </c>
      <c r="B1497" s="138">
        <f>'Expenditures 15-22'!K268</f>
        <v>28721</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98982</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2235</v>
      </c>
      <c r="C1503" s="2" t="s">
        <v>593</v>
      </c>
      <c r="D1503" s="2" t="str">
        <f t="shared" si="22"/>
        <v>Error?</v>
      </c>
    </row>
    <row r="1504" spans="1:4" x14ac:dyDescent="0.2">
      <c r="A1504" s="5">
        <v>1443</v>
      </c>
      <c r="B1504" s="138">
        <f>'Expenditures 15-22'!K275</f>
        <v>25</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2260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180859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290708</v>
      </c>
      <c r="C1517" s="2" t="s">
        <v>593</v>
      </c>
      <c r="D1517" s="2" t="str">
        <f t="shared" si="22"/>
        <v>Error?</v>
      </c>
    </row>
    <row r="1518" spans="1:4" x14ac:dyDescent="0.2">
      <c r="A1518" s="5">
        <v>1457</v>
      </c>
      <c r="B1518" s="138">
        <f>'Expenditures 15-22'!K296</f>
        <v>175034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11509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11509</v>
      </c>
      <c r="C1535" s="2" t="s">
        <v>593</v>
      </c>
      <c r="D1535" s="2" t="str">
        <f t="shared" ref="D1535:D1598" si="23">IF(ISBLANK(B1535),"OK",IF(A1535-B1535=0,"OK","Error?"))</f>
        <v>Error?</v>
      </c>
    </row>
    <row r="1536" spans="1:4" x14ac:dyDescent="0.2">
      <c r="A1536" s="5">
        <v>1475</v>
      </c>
      <c r="B1536" s="138">
        <f>'Expenditures 15-22'!E312</f>
        <v>11509</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152829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152829</v>
      </c>
      <c r="C1547" s="2" t="s">
        <v>593</v>
      </c>
      <c r="D1547" s="2" t="str">
        <f t="shared" si="23"/>
        <v>Error?</v>
      </c>
    </row>
    <row r="1548" spans="1:4" x14ac:dyDescent="0.2">
      <c r="A1548" s="5">
        <v>1487</v>
      </c>
      <c r="B1548" s="138">
        <f>'Expenditures 15-22'!G312</f>
        <v>152829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166880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166880</v>
      </c>
      <c r="C1559" s="2" t="s">
        <v>593</v>
      </c>
      <c r="D1559" s="2" t="str">
        <f t="shared" si="23"/>
        <v>Error?</v>
      </c>
    </row>
    <row r="1560" spans="1:4" x14ac:dyDescent="0.2">
      <c r="A1560" s="5">
        <v>1499</v>
      </c>
      <c r="B1560" s="138">
        <f>'Expenditures 15-22'!K312</f>
        <v>166880</v>
      </c>
      <c r="C1560" s="2" t="s">
        <v>593</v>
      </c>
      <c r="D1560" s="2" t="str">
        <f t="shared" si="23"/>
        <v>Error?</v>
      </c>
    </row>
    <row r="1561" spans="1:4" x14ac:dyDescent="0.2">
      <c r="A1561" s="5">
        <v>1500</v>
      </c>
      <c r="B1561" s="138">
        <f>'Expenditures 15-22'!K313</f>
        <v>158882</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1358363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1962454</v>
      </c>
      <c r="C1630" s="2" t="s">
        <v>593</v>
      </c>
      <c r="D1630" s="2" t="str">
        <f t="shared" si="24"/>
        <v>Error?</v>
      </c>
    </row>
    <row r="1631" spans="1:4" x14ac:dyDescent="0.2">
      <c r="A1631" s="5">
        <v>1570</v>
      </c>
      <c r="B1631" s="138">
        <f>'Acct Summary 7-8'!D79</f>
        <v>14993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-17862</v>
      </c>
      <c r="C1644" s="2" t="s">
        <v>593</v>
      </c>
      <c r="D1644" s="2" t="str">
        <f t="shared" si="24"/>
        <v>Error?</v>
      </c>
    </row>
    <row r="1645" spans="1:4" x14ac:dyDescent="0.2">
      <c r="A1645" s="5">
        <v>1584</v>
      </c>
      <c r="B1645" s="138">
        <f>'Acct Summary 7-8'!E79</f>
        <v>1071522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1238169</v>
      </c>
      <c r="C1658" s="2" t="s">
        <v>593</v>
      </c>
      <c r="D1658" s="2" t="str">
        <f t="shared" si="24"/>
        <v>Error?</v>
      </c>
    </row>
    <row r="1659" spans="1:4" x14ac:dyDescent="0.2">
      <c r="A1659" s="5">
        <v>1598</v>
      </c>
      <c r="B1659" s="138">
        <f>'Acct Summary 7-8'!F79</f>
        <v>374576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391838</v>
      </c>
      <c r="C1672" s="2" t="s">
        <v>593</v>
      </c>
      <c r="D1672" s="2" t="str">
        <f t="shared" si="25"/>
        <v>Error?</v>
      </c>
    </row>
    <row r="1673" spans="1:4" x14ac:dyDescent="0.2">
      <c r="A1673" s="5">
        <v>1612</v>
      </c>
      <c r="B1673" s="138">
        <f>'Acct Summary 7-8'!G79</f>
        <v>585984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761018</v>
      </c>
      <c r="C1686" s="2" t="s">
        <v>593</v>
      </c>
      <c r="D1686" s="2" t="str">
        <f t="shared" si="25"/>
        <v>Error?</v>
      </c>
    </row>
    <row r="1687" spans="1:4" x14ac:dyDescent="0.2">
      <c r="A1687" s="5">
        <v>1626</v>
      </c>
      <c r="B1687" s="138">
        <f>'Acct Summary 7-8'!H79</f>
        <v>550483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709365</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1961333</v>
      </c>
      <c r="C1744" s="2" t="s">
        <v>593</v>
      </c>
      <c r="D1744" s="2" t="str">
        <f t="shared" si="26"/>
        <v>Error?</v>
      </c>
    </row>
    <row r="1745" spans="1:5" x14ac:dyDescent="0.2">
      <c r="A1745" s="5">
        <v>1684</v>
      </c>
      <c r="B1745" s="138">
        <f>'Tax Sched 23'!B5</f>
        <v>532971</v>
      </c>
      <c r="C1745" s="2" t="s">
        <v>593</v>
      </c>
      <c r="D1745" s="2" t="str">
        <f t="shared" si="26"/>
        <v>Error?</v>
      </c>
    </row>
    <row r="1746" spans="1:5" x14ac:dyDescent="0.2">
      <c r="A1746" s="5">
        <v>1685</v>
      </c>
      <c r="B1746" s="138">
        <f>'Tax Sched 23'!B6</f>
        <v>3582117</v>
      </c>
      <c r="C1746" s="2" t="s">
        <v>593</v>
      </c>
      <c r="D1746" s="2" t="str">
        <f t="shared" si="26"/>
        <v>Error?</v>
      </c>
    </row>
    <row r="1747" spans="1:5" x14ac:dyDescent="0.2">
      <c r="A1747" s="5">
        <v>1686</v>
      </c>
      <c r="B1747" s="138">
        <f>'Tax Sched 23'!B7</f>
        <v>255826</v>
      </c>
      <c r="C1747" s="2" t="s">
        <v>593</v>
      </c>
      <c r="D1747" s="2" t="str">
        <f t="shared" si="26"/>
        <v>Error?</v>
      </c>
    </row>
    <row r="1748" spans="1:5" x14ac:dyDescent="0.2">
      <c r="A1748" s="5">
        <v>1687</v>
      </c>
      <c r="B1748" s="138">
        <f>'Tax Sched 23'!B8</f>
        <v>224913</v>
      </c>
      <c r="C1748" s="2" t="s">
        <v>593</v>
      </c>
      <c r="D1748" s="2" t="str">
        <f t="shared" si="26"/>
        <v>Error?</v>
      </c>
    </row>
    <row r="1749" spans="1:5" x14ac:dyDescent="0.2">
      <c r="A1749" s="5">
        <v>1688</v>
      </c>
      <c r="B1749" s="138">
        <f>'Tax Sched 23'!B10</f>
        <v>106594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549792</v>
      </c>
      <c r="C1752" s="2" t="s">
        <v>593</v>
      </c>
      <c r="D1752" s="2" t="str">
        <f t="shared" si="26"/>
        <v>Error?</v>
      </c>
    </row>
    <row r="1753" spans="1:5" x14ac:dyDescent="0.2">
      <c r="A1753" s="5">
        <v>1692</v>
      </c>
      <c r="B1753" s="138">
        <f>'Tax Sched 23'!B12</f>
        <v>106594</v>
      </c>
      <c r="C1753" s="2" t="s">
        <v>593</v>
      </c>
      <c r="D1753" s="2" t="str">
        <f t="shared" si="26"/>
        <v>Error?</v>
      </c>
    </row>
    <row r="1754" spans="1:5" x14ac:dyDescent="0.2">
      <c r="A1754" s="5">
        <v>1693</v>
      </c>
      <c r="B1754" s="138">
        <f>'Tax Sched 23'!B14</f>
        <v>42637</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7694284</v>
      </c>
      <c r="C1759" s="2" t="s">
        <v>593</v>
      </c>
      <c r="D1759" s="2" t="str">
        <f t="shared" si="26"/>
        <v>Error?</v>
      </c>
    </row>
    <row r="1760" spans="1:5" x14ac:dyDescent="0.2">
      <c r="A1760" s="5">
        <v>1699</v>
      </c>
      <c r="B1760" s="138">
        <f>'Tax Sched 23'!D4</f>
        <v>1961333</v>
      </c>
      <c r="C1760" s="2" t="s">
        <v>593</v>
      </c>
      <c r="D1760" s="2" t="str">
        <f t="shared" si="26"/>
        <v>Error?</v>
      </c>
    </row>
    <row r="1761" spans="1:5" x14ac:dyDescent="0.2">
      <c r="A1761" s="5">
        <v>1700</v>
      </c>
      <c r="B1761" s="138">
        <f>'Tax Sched 23'!D5</f>
        <v>532971</v>
      </c>
      <c r="C1761" s="2" t="s">
        <v>593</v>
      </c>
      <c r="D1761" s="2" t="str">
        <f t="shared" si="26"/>
        <v>Error?</v>
      </c>
    </row>
    <row r="1762" spans="1:5" s="8" customFormat="1" x14ac:dyDescent="0.2">
      <c r="A1762" s="5">
        <v>1701</v>
      </c>
      <c r="B1762" s="138">
        <f>'Tax Sched 23'!D6</f>
        <v>3582117</v>
      </c>
      <c r="C1762" s="2" t="s">
        <v>593</v>
      </c>
      <c r="D1762" s="2" t="str">
        <f t="shared" si="26"/>
        <v>Error?</v>
      </c>
      <c r="E1762" s="9"/>
    </row>
    <row r="1763" spans="1:5" x14ac:dyDescent="0.2">
      <c r="A1763" s="5">
        <v>1702</v>
      </c>
      <c r="B1763" s="138">
        <f>'Tax Sched 23'!D7</f>
        <v>255826</v>
      </c>
      <c r="C1763" s="2" t="s">
        <v>593</v>
      </c>
      <c r="D1763" s="2" t="str">
        <f t="shared" si="26"/>
        <v>Error?</v>
      </c>
    </row>
    <row r="1764" spans="1:5" x14ac:dyDescent="0.2">
      <c r="A1764" s="5">
        <v>1703</v>
      </c>
      <c r="B1764" s="138">
        <f>'Tax Sched 23'!D8</f>
        <v>224913</v>
      </c>
      <c r="C1764" s="2" t="s">
        <v>593</v>
      </c>
      <c r="D1764" s="2" t="str">
        <f t="shared" si="26"/>
        <v>Error?</v>
      </c>
    </row>
    <row r="1765" spans="1:5" x14ac:dyDescent="0.2">
      <c r="A1765" s="5">
        <v>1704</v>
      </c>
      <c r="B1765" s="138">
        <f>'Tax Sched 23'!D10</f>
        <v>106594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549792</v>
      </c>
      <c r="C1768" s="2" t="s">
        <v>593</v>
      </c>
      <c r="D1768" s="2" t="str">
        <f t="shared" si="26"/>
        <v>Error?</v>
      </c>
    </row>
    <row r="1769" spans="1:5" x14ac:dyDescent="0.2">
      <c r="A1769" s="5">
        <v>1708</v>
      </c>
      <c r="B1769" s="138">
        <f>'Tax Sched 23'!D12</f>
        <v>106594</v>
      </c>
      <c r="C1769" s="2" t="s">
        <v>593</v>
      </c>
      <c r="D1769" s="2" t="str">
        <f t="shared" si="26"/>
        <v>Error?</v>
      </c>
    </row>
    <row r="1770" spans="1:5" x14ac:dyDescent="0.2">
      <c r="A1770" s="5">
        <v>1709</v>
      </c>
      <c r="B1770" s="138">
        <f>'Tax Sched 23'!D14</f>
        <v>42637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7694284</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1996707</v>
      </c>
      <c r="C1792" s="2" t="s">
        <v>593</v>
      </c>
      <c r="D1792" s="2" t="str">
        <f t="shared" si="27"/>
        <v>Error?</v>
      </c>
    </row>
    <row r="1793" spans="1:4" x14ac:dyDescent="0.2">
      <c r="A1793" s="5">
        <v>1732</v>
      </c>
      <c r="B1793" s="138">
        <f>'Tax Sched 23'!F5</f>
        <v>542583</v>
      </c>
      <c r="C1793" s="2" t="s">
        <v>593</v>
      </c>
      <c r="D1793" s="2" t="str">
        <f t="shared" si="27"/>
        <v>Error?</v>
      </c>
    </row>
    <row r="1794" spans="1:4" x14ac:dyDescent="0.2">
      <c r="A1794" s="5">
        <v>1733</v>
      </c>
      <c r="B1794" s="138">
        <f>'Tax Sched 23'!F6</f>
        <v>3694016</v>
      </c>
      <c r="C1794" s="2" t="s">
        <v>593</v>
      </c>
      <c r="D1794" s="2" t="str">
        <f t="shared" si="27"/>
        <v>Error?</v>
      </c>
    </row>
    <row r="1795" spans="1:4" x14ac:dyDescent="0.2">
      <c r="A1795" s="5">
        <v>1734</v>
      </c>
      <c r="B1795" s="138">
        <f>'Tax Sched 23'!F7</f>
        <v>260440</v>
      </c>
      <c r="C1795" s="2" t="s">
        <v>593</v>
      </c>
      <c r="D1795" s="2" t="str">
        <f t="shared" si="27"/>
        <v>Error?</v>
      </c>
    </row>
    <row r="1796" spans="1:4" x14ac:dyDescent="0.2">
      <c r="A1796" s="5">
        <v>1735</v>
      </c>
      <c r="B1796" s="138">
        <f>'Tax Sched 23'!F8</f>
        <v>275003</v>
      </c>
      <c r="C1796" s="2" t="s">
        <v>593</v>
      </c>
      <c r="D1796" s="2" t="str">
        <f t="shared" si="27"/>
        <v>Error?</v>
      </c>
    </row>
    <row r="1797" spans="1:4" x14ac:dyDescent="0.2">
      <c r="A1797" s="5">
        <v>1736</v>
      </c>
      <c r="B1797" s="138">
        <f>'Tax Sched 23'!F10</f>
        <v>108517</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519968</v>
      </c>
      <c r="C1800" s="2" t="s">
        <v>593</v>
      </c>
      <c r="D1800" s="2" t="str">
        <f t="shared" si="27"/>
        <v>Error?</v>
      </c>
    </row>
    <row r="1801" spans="1:4" x14ac:dyDescent="0.2">
      <c r="A1801" s="5">
        <v>1740</v>
      </c>
      <c r="B1801" s="138">
        <f>'Tax Sched 23'!F12</f>
        <v>108517</v>
      </c>
      <c r="C1801" s="2" t="s">
        <v>593</v>
      </c>
      <c r="D1801" s="2" t="str">
        <f t="shared" si="27"/>
        <v>Error?</v>
      </c>
    </row>
    <row r="1802" spans="1:4" x14ac:dyDescent="0.2">
      <c r="A1802" s="5">
        <v>1741</v>
      </c>
      <c r="B1802" s="138">
        <f>'Tax Sched 23'!F14</f>
        <v>43407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7832691</v>
      </c>
      <c r="C1807" s="2" t="s">
        <v>593</v>
      </c>
      <c r="D1807" s="2" t="str">
        <f t="shared" si="27"/>
        <v>Error?</v>
      </c>
    </row>
    <row r="1808" spans="1:4" x14ac:dyDescent="0.2">
      <c r="A1808" s="5">
        <v>1747</v>
      </c>
      <c r="B1808" s="138">
        <f>'Tax Sched 23'!E4</f>
        <v>1996707</v>
      </c>
      <c r="D1808" s="2" t="str">
        <f t="shared" si="27"/>
        <v>Error?</v>
      </c>
    </row>
    <row r="1809" spans="1:4" x14ac:dyDescent="0.2">
      <c r="A1809" s="5">
        <v>1748</v>
      </c>
      <c r="B1809" s="138">
        <f>'Tax Sched 23'!E5</f>
        <v>542583</v>
      </c>
      <c r="D1809" s="2" t="str">
        <f t="shared" si="27"/>
        <v>Error?</v>
      </c>
    </row>
    <row r="1810" spans="1:4" x14ac:dyDescent="0.2">
      <c r="A1810" s="5">
        <v>1749</v>
      </c>
      <c r="B1810" s="138">
        <f>'Tax Sched 23'!E6</f>
        <v>3694016</v>
      </c>
      <c r="D1810" s="2" t="str">
        <f t="shared" si="27"/>
        <v>Error?</v>
      </c>
    </row>
    <row r="1811" spans="1:4" x14ac:dyDescent="0.2">
      <c r="A1811" s="5">
        <v>1750</v>
      </c>
      <c r="B1811" s="138">
        <f>'Tax Sched 23'!E7</f>
        <v>260440</v>
      </c>
      <c r="D1811" s="2" t="str">
        <f t="shared" si="27"/>
        <v>Error?</v>
      </c>
    </row>
    <row r="1812" spans="1:4" x14ac:dyDescent="0.2">
      <c r="A1812" s="5">
        <v>1751</v>
      </c>
      <c r="B1812" s="138">
        <f>'Tax Sched 23'!E8</f>
        <v>275003</v>
      </c>
      <c r="D1812" s="2" t="str">
        <f t="shared" si="27"/>
        <v>Error?</v>
      </c>
    </row>
    <row r="1813" spans="1:4" x14ac:dyDescent="0.2">
      <c r="A1813" s="5">
        <v>1752</v>
      </c>
      <c r="B1813" s="138">
        <f>'Tax Sched 23'!E10</f>
        <v>108517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519968</v>
      </c>
      <c r="D1816" s="2" t="str">
        <f t="shared" si="27"/>
        <v>Error?</v>
      </c>
    </row>
    <row r="1817" spans="1:4" x14ac:dyDescent="0.2">
      <c r="A1817" s="5">
        <v>1756</v>
      </c>
      <c r="B1817" s="138">
        <f>'Tax Sched 23'!E12</f>
        <v>108517</v>
      </c>
      <c r="D1817" s="2" t="str">
        <f t="shared" si="27"/>
        <v>Error?</v>
      </c>
    </row>
    <row r="1818" spans="1:4" x14ac:dyDescent="0.2">
      <c r="A1818" s="5">
        <v>1757</v>
      </c>
      <c r="B1818" s="138">
        <f>'Tax Sched 23'!E14</f>
        <v>43407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7832691</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21651269</v>
      </c>
      <c r="C1939" s="2" t="s">
        <v>593</v>
      </c>
      <c r="D1939" s="2" t="str">
        <f t="shared" si="29"/>
        <v>Error?</v>
      </c>
    </row>
    <row r="1940" spans="1:5" x14ac:dyDescent="0.2">
      <c r="A1940" s="5">
        <v>1879</v>
      </c>
      <c r="B1940" s="138">
        <f>'Short-Term Long-Term Debt 24'!F49</f>
        <v>2005000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42637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42637</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42637</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465255</v>
      </c>
      <c r="D2008" s="2" t="str">
        <f t="shared" si="30"/>
        <v>Error?</v>
      </c>
    </row>
    <row r="2009" spans="1:4" x14ac:dyDescent="0.2">
      <c r="A2009" s="5">
        <v>1948</v>
      </c>
      <c r="B2009" s="138">
        <f>'Cap Outlay Deprec 26'!C8</f>
        <v>37167554</v>
      </c>
      <c r="D2009" s="2" t="str">
        <f t="shared" si="30"/>
        <v>Error?</v>
      </c>
    </row>
    <row r="2010" spans="1:4" x14ac:dyDescent="0.2">
      <c r="A2010" s="5">
        <v>1949</v>
      </c>
      <c r="B2010" s="138">
        <f>'Cap Outlay Deprec 26'!C10</f>
        <v>318931</v>
      </c>
      <c r="D2010" s="2" t="str">
        <f t="shared" si="30"/>
        <v>Error?</v>
      </c>
    </row>
    <row r="2011" spans="1:4" x14ac:dyDescent="0.2">
      <c r="A2011" s="5">
        <v>1950</v>
      </c>
      <c r="B2011" s="138">
        <f>'Cap Outlay Deprec 26'!C12</f>
        <v>5158674</v>
      </c>
      <c r="D2011" s="2" t="str">
        <f t="shared" si="30"/>
        <v>Error?</v>
      </c>
    </row>
    <row r="2012" spans="1:4" x14ac:dyDescent="0.2">
      <c r="A2012" s="5">
        <v>1951</v>
      </c>
      <c r="B2012" s="138">
        <f>'Cap Outlay Deprec 26'!C13</f>
        <v>586076</v>
      </c>
      <c r="D2012" s="2" t="str">
        <f t="shared" si="30"/>
        <v>Error?</v>
      </c>
    </row>
    <row r="2013" spans="1:4" x14ac:dyDescent="0.2">
      <c r="A2013" s="5">
        <v>1952</v>
      </c>
      <c r="B2013" s="138">
        <f>'Cap Outlay Deprec 26'!C16</f>
        <v>43716500</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110380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110380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20010</v>
      </c>
      <c r="C2025" s="2" t="s">
        <v>593</v>
      </c>
      <c r="D2025" s="2" t="str">
        <f t="shared" si="30"/>
        <v>Error?</v>
      </c>
    </row>
    <row r="2026" spans="1:4" x14ac:dyDescent="0.2">
      <c r="A2026" s="5">
        <v>1965</v>
      </c>
      <c r="B2026" s="138">
        <f>'Cap Outlay Deprec 26'!F5</f>
        <v>465255</v>
      </c>
      <c r="C2026" s="2" t="s">
        <v>593</v>
      </c>
      <c r="D2026" s="2" t="str">
        <f t="shared" si="30"/>
        <v>Error?</v>
      </c>
    </row>
    <row r="2027" spans="1:4" x14ac:dyDescent="0.2">
      <c r="A2027" s="5">
        <v>1966</v>
      </c>
      <c r="B2027" s="138">
        <f>'Cap Outlay Deprec 26'!F8</f>
        <v>37277934</v>
      </c>
      <c r="C2027" s="2" t="s">
        <v>593</v>
      </c>
      <c r="D2027" s="2" t="str">
        <f t="shared" si="30"/>
        <v>Error?</v>
      </c>
    </row>
    <row r="2028" spans="1:4" x14ac:dyDescent="0.2">
      <c r="A2028" s="5">
        <v>1967</v>
      </c>
      <c r="B2028" s="138">
        <f>'Cap Outlay Deprec 26'!F10</f>
        <v>318931</v>
      </c>
      <c r="C2028" s="2" t="s">
        <v>593</v>
      </c>
      <c r="D2028" s="2" t="str">
        <f t="shared" si="30"/>
        <v>Error?</v>
      </c>
    </row>
    <row r="2029" spans="1:4" x14ac:dyDescent="0.2">
      <c r="A2029" s="5">
        <v>1968</v>
      </c>
      <c r="B2029" s="138">
        <f>'Cap Outlay Deprec 26'!F12</f>
        <v>5158674</v>
      </c>
      <c r="C2029" s="2" t="s">
        <v>593</v>
      </c>
      <c r="D2029" s="2" t="str">
        <f t="shared" si="30"/>
        <v>Error?</v>
      </c>
    </row>
    <row r="2030" spans="1:4" x14ac:dyDescent="0.2">
      <c r="A2030" s="5">
        <v>1969</v>
      </c>
      <c r="B2030" s="138">
        <f>'Cap Outlay Deprec 26'!F13</f>
        <v>586076</v>
      </c>
      <c r="C2030" s="2" t="s">
        <v>593</v>
      </c>
      <c r="D2030" s="2" t="str">
        <f t="shared" si="30"/>
        <v>Error?</v>
      </c>
    </row>
    <row r="2031" spans="1:4" x14ac:dyDescent="0.2">
      <c r="A2031" s="5">
        <v>1970</v>
      </c>
      <c r="B2031" s="138">
        <f>'Cap Outlay Deprec 26'!F16</f>
        <v>43806870</v>
      </c>
      <c r="C2031" s="2" t="s">
        <v>593</v>
      </c>
      <c r="D2031" s="2" t="str">
        <f t="shared" si="30"/>
        <v>Error?</v>
      </c>
    </row>
    <row r="2032" spans="1:4" x14ac:dyDescent="0.2">
      <c r="A2032" s="10">
        <v>1971</v>
      </c>
      <c r="D2032" s="2" t="str">
        <f t="shared" si="30"/>
        <v>OK</v>
      </c>
    </row>
    <row r="2033" spans="1:4" x14ac:dyDescent="0.2">
      <c r="A2033" s="5">
        <v>1972</v>
      </c>
      <c r="B2033" s="138">
        <f>'Cap Outlay Deprec 26'!H8</f>
        <v>12222953</v>
      </c>
      <c r="D2033" s="2" t="str">
        <f t="shared" si="30"/>
        <v>Error?</v>
      </c>
    </row>
    <row r="2034" spans="1:4" x14ac:dyDescent="0.2">
      <c r="A2034" s="5">
        <v>1973</v>
      </c>
      <c r="B2034" s="138">
        <f>'Cap Outlay Deprec 26'!H10</f>
        <v>287409</v>
      </c>
      <c r="D2034" s="2" t="str">
        <f t="shared" si="30"/>
        <v>Error?</v>
      </c>
    </row>
    <row r="2035" spans="1:4" x14ac:dyDescent="0.2">
      <c r="A2035" s="5">
        <v>1974</v>
      </c>
      <c r="B2035" s="138">
        <f>'Cap Outlay Deprec 26'!H12</f>
        <v>4918639</v>
      </c>
      <c r="D2035" s="2" t="str">
        <f t="shared" si="30"/>
        <v>Error?</v>
      </c>
    </row>
    <row r="2036" spans="1:4" x14ac:dyDescent="0.2">
      <c r="A2036" s="5">
        <v>1975</v>
      </c>
      <c r="B2036" s="138">
        <f>'Cap Outlay Deprec 26'!H13</f>
        <v>570519</v>
      </c>
      <c r="D2036" s="2" t="str">
        <f t="shared" si="30"/>
        <v>Error?</v>
      </c>
    </row>
    <row r="2037" spans="1:4" x14ac:dyDescent="0.2">
      <c r="A2037" s="5">
        <v>1976</v>
      </c>
      <c r="B2037" s="138">
        <f>'Cap Outlay Deprec 26'!H16</f>
        <v>17999520</v>
      </c>
      <c r="C2037" s="2" t="s">
        <v>593</v>
      </c>
      <c r="D2037" s="2" t="str">
        <f t="shared" si="30"/>
        <v>Error?</v>
      </c>
    </row>
    <row r="2038" spans="1:4" x14ac:dyDescent="0.2">
      <c r="A2038" s="10">
        <v>1977</v>
      </c>
      <c r="D2038" s="2" t="str">
        <f t="shared" si="30"/>
        <v>OK</v>
      </c>
    </row>
    <row r="2039" spans="1:4" x14ac:dyDescent="0.2">
      <c r="A2039" s="5">
        <v>1978</v>
      </c>
      <c r="B2039" s="138">
        <f>'Cap Outlay Deprec 26'!I8</f>
        <v>766449</v>
      </c>
      <c r="D2039" s="2" t="str">
        <f t="shared" si="30"/>
        <v>Error?</v>
      </c>
    </row>
    <row r="2040" spans="1:4" x14ac:dyDescent="0.2">
      <c r="A2040" s="5">
        <v>1979</v>
      </c>
      <c r="B2040" s="138">
        <f>'Cap Outlay Deprec 26'!I10</f>
        <v>2251</v>
      </c>
      <c r="D2040" s="2" t="str">
        <f t="shared" si="30"/>
        <v>Error?</v>
      </c>
    </row>
    <row r="2041" spans="1:4" x14ac:dyDescent="0.2">
      <c r="A2041" s="5">
        <v>1980</v>
      </c>
      <c r="B2041" s="138">
        <f>'Cap Outlay Deprec 26'!I12</f>
        <v>127206</v>
      </c>
      <c r="D2041" s="2" t="str">
        <f t="shared" si="30"/>
        <v>Error?</v>
      </c>
    </row>
    <row r="2042" spans="1:4" x14ac:dyDescent="0.2">
      <c r="A2042" s="5">
        <v>1981</v>
      </c>
      <c r="B2042" s="138">
        <f>'Cap Outlay Deprec 26'!I13</f>
        <v>8590</v>
      </c>
      <c r="D2042" s="2" t="str">
        <f t="shared" si="30"/>
        <v>Error?</v>
      </c>
    </row>
    <row r="2043" spans="1:4" x14ac:dyDescent="0.2">
      <c r="A2043" s="5">
        <v>1982</v>
      </c>
      <c r="B2043" s="138">
        <f>'Cap Outlay Deprec 26'!I16</f>
        <v>904496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12989402</v>
      </c>
      <c r="C2051" s="2" t="s">
        <v>593</v>
      </c>
      <c r="D2051" s="2" t="str">
        <f t="shared" si="31"/>
        <v>Error?</v>
      </c>
    </row>
    <row r="2052" spans="1:4" x14ac:dyDescent="0.2">
      <c r="A2052" s="5">
        <v>1991</v>
      </c>
      <c r="B2052" s="138">
        <f>'Cap Outlay Deprec 26'!K10</f>
        <v>289660</v>
      </c>
      <c r="C2052" s="2" t="s">
        <v>593</v>
      </c>
      <c r="D2052" s="2" t="str">
        <f t="shared" si="31"/>
        <v>Error?</v>
      </c>
    </row>
    <row r="2053" spans="1:4" x14ac:dyDescent="0.2">
      <c r="A2053" s="5">
        <v>1992</v>
      </c>
      <c r="B2053" s="138">
        <f>'Cap Outlay Deprec 26'!K12</f>
        <v>5045845</v>
      </c>
      <c r="C2053" s="2" t="s">
        <v>593</v>
      </c>
      <c r="D2053" s="2" t="str">
        <f t="shared" si="31"/>
        <v>Error?</v>
      </c>
    </row>
    <row r="2054" spans="1:4" x14ac:dyDescent="0.2">
      <c r="A2054" s="5">
        <v>1993</v>
      </c>
      <c r="B2054" s="138">
        <f>'Cap Outlay Deprec 26'!K13</f>
        <v>579109</v>
      </c>
      <c r="C2054" s="2" t="s">
        <v>593</v>
      </c>
      <c r="D2054" s="2" t="str">
        <f t="shared" si="31"/>
        <v>Error?</v>
      </c>
    </row>
    <row r="2055" spans="1:4" x14ac:dyDescent="0.2">
      <c r="A2055" s="5">
        <v>1994</v>
      </c>
      <c r="B2055" s="138">
        <f>'Cap Outlay Deprec 26'!K16</f>
        <v>18904016</v>
      </c>
      <c r="C2055" s="2" t="s">
        <v>593</v>
      </c>
      <c r="D2055" s="2" t="str">
        <f t="shared" si="31"/>
        <v>Error?</v>
      </c>
    </row>
    <row r="2056" spans="1:4" x14ac:dyDescent="0.2">
      <c r="A2056" s="5">
        <v>1995</v>
      </c>
      <c r="B2056" s="138">
        <f>'Cap Outlay Deprec 26'!L5</f>
        <v>465255</v>
      </c>
      <c r="C2056" s="2" t="s">
        <v>593</v>
      </c>
      <c r="D2056" s="2" t="str">
        <f t="shared" si="31"/>
        <v>Error?</v>
      </c>
    </row>
    <row r="2057" spans="1:4" x14ac:dyDescent="0.2">
      <c r="A2057" s="5">
        <v>1996</v>
      </c>
      <c r="B2057" s="138">
        <f>'Cap Outlay Deprec 26'!L8</f>
        <v>24288532</v>
      </c>
      <c r="C2057" s="2" t="s">
        <v>593</v>
      </c>
      <c r="D2057" s="2" t="str">
        <f t="shared" si="31"/>
        <v>Error?</v>
      </c>
    </row>
    <row r="2058" spans="1:4" x14ac:dyDescent="0.2">
      <c r="A2058" s="5">
        <v>1997</v>
      </c>
      <c r="B2058" s="138">
        <f>'Cap Outlay Deprec 26'!L10</f>
        <v>29271</v>
      </c>
      <c r="C2058" s="2" t="s">
        <v>593</v>
      </c>
      <c r="D2058" s="2" t="str">
        <f t="shared" si="31"/>
        <v>Error?</v>
      </c>
    </row>
    <row r="2059" spans="1:4" x14ac:dyDescent="0.2">
      <c r="A2059" s="5">
        <v>1998</v>
      </c>
      <c r="B2059" s="138">
        <f>'Cap Outlay Deprec 26'!L12</f>
        <v>112829</v>
      </c>
      <c r="C2059" s="2" t="s">
        <v>593</v>
      </c>
      <c r="D2059" s="2" t="str">
        <f t="shared" si="31"/>
        <v>Error?</v>
      </c>
    </row>
    <row r="2060" spans="1:4" x14ac:dyDescent="0.2">
      <c r="A2060" s="5">
        <v>1999</v>
      </c>
      <c r="B2060" s="138">
        <f>'Cap Outlay Deprec 26'!L13</f>
        <v>6967</v>
      </c>
      <c r="C2060" s="2" t="s">
        <v>593</v>
      </c>
      <c r="D2060" s="2" t="str">
        <f t="shared" si="31"/>
        <v>Error?</v>
      </c>
    </row>
    <row r="2061" spans="1:4" x14ac:dyDescent="0.2">
      <c r="A2061" s="5">
        <v>2000</v>
      </c>
      <c r="B2061" s="138">
        <f>'Cap Outlay Deprec 26'!L16</f>
        <v>24902854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132007</v>
      </c>
      <c r="C2088" s="2" t="s">
        <v>593</v>
      </c>
      <c r="D2088" s="2" t="str">
        <f t="shared" si="31"/>
        <v>Error?</v>
      </c>
    </row>
    <row r="2089" spans="1:4" x14ac:dyDescent="0.2">
      <c r="A2089" s="5">
        <v>2028</v>
      </c>
      <c r="B2089" s="138">
        <f>'Expenditures 15-22'!K92</f>
        <v>884209</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2087202</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612927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258023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3019959</v>
      </c>
      <c r="C2551" s="2" t="s">
        <v>593</v>
      </c>
      <c r="D2551" s="2" t="str">
        <f t="shared" si="38"/>
        <v>Error?</v>
      </c>
    </row>
    <row r="2552" spans="1:4" x14ac:dyDescent="0.2">
      <c r="A2552" s="10">
        <v>2491</v>
      </c>
      <c r="D2552" s="2" t="str">
        <f t="shared" si="38"/>
        <v>OK</v>
      </c>
    </row>
    <row r="2553" spans="1:4" x14ac:dyDescent="0.2">
      <c r="A2553" s="5">
        <v>2492</v>
      </c>
      <c r="B2553" s="138">
        <f>'Acct Summary 7-8'!C6</f>
        <v>3523235</v>
      </c>
      <c r="C2553" s="2" t="s">
        <v>593</v>
      </c>
      <c r="D2553" s="2" t="str">
        <f t="shared" si="38"/>
        <v>Error?</v>
      </c>
    </row>
    <row r="2554" spans="1:4" x14ac:dyDescent="0.2">
      <c r="A2554" s="5">
        <v>2493</v>
      </c>
      <c r="B2554" s="138">
        <f>'Acct Summary 7-8'!C7</f>
        <v>656075</v>
      </c>
      <c r="C2554" s="2" t="s">
        <v>593</v>
      </c>
      <c r="D2554" s="2" t="str">
        <f t="shared" si="38"/>
        <v>Error?</v>
      </c>
    </row>
    <row r="2555" spans="1:4" x14ac:dyDescent="0.2">
      <c r="A2555" s="5">
        <v>2494</v>
      </c>
      <c r="B2555" s="138">
        <f>'Acct Summary 7-8'!C8</f>
        <v>7199269</v>
      </c>
      <c r="C2555" s="2" t="s">
        <v>593</v>
      </c>
      <c r="D2555" s="2" t="str">
        <f t="shared" si="38"/>
        <v>Error?</v>
      </c>
    </row>
    <row r="2556" spans="1:4" x14ac:dyDescent="0.2">
      <c r="A2556" s="5">
        <v>2495</v>
      </c>
      <c r="B2556" s="138">
        <f>'Acct Summary 7-8'!C12</f>
        <v>5169326</v>
      </c>
      <c r="C2556" s="2" t="s">
        <v>593</v>
      </c>
      <c r="D2556" s="2" t="str">
        <f t="shared" si="38"/>
        <v>Error?</v>
      </c>
    </row>
    <row r="2557" spans="1:4" x14ac:dyDescent="0.2">
      <c r="A2557" s="5">
        <v>2496</v>
      </c>
      <c r="B2557" s="138">
        <f>'Acct Summary 7-8'!C13</f>
        <v>2495311</v>
      </c>
      <c r="C2557" s="2" t="s">
        <v>593</v>
      </c>
      <c r="D2557" s="2" t="str">
        <f t="shared" si="38"/>
        <v>Error?</v>
      </c>
    </row>
    <row r="2558" spans="1:4" x14ac:dyDescent="0.2">
      <c r="A2558" s="5">
        <v>2497</v>
      </c>
      <c r="B2558" s="138">
        <f>'Acct Summary 7-8'!C14</f>
        <v>1527</v>
      </c>
      <c r="C2558" s="2" t="s">
        <v>593</v>
      </c>
      <c r="D2558" s="2" t="str">
        <f t="shared" si="38"/>
        <v>Error?</v>
      </c>
    </row>
    <row r="2559" spans="1:4" x14ac:dyDescent="0.2">
      <c r="A2559" s="5">
        <v>2498</v>
      </c>
      <c r="B2559" s="138">
        <f>'Acct Summary 7-8'!C15</f>
        <v>1016216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8682380</v>
      </c>
      <c r="C2561" s="2" t="s">
        <v>593</v>
      </c>
      <c r="D2561" s="2" t="str">
        <f t="shared" si="39"/>
        <v>Error?</v>
      </c>
    </row>
    <row r="2562" spans="1:4" x14ac:dyDescent="0.2">
      <c r="A2562" s="5">
        <v>2501</v>
      </c>
      <c r="B2562" s="138">
        <f>'Acct Summary 7-8'!C20</f>
        <v>-1483111</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847197</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22707</v>
      </c>
      <c r="C2567" s="2" t="s">
        <v>593</v>
      </c>
      <c r="D2567" s="2" t="str">
        <f t="shared" si="39"/>
        <v>Error?</v>
      </c>
    </row>
    <row r="2568" spans="1:4" x14ac:dyDescent="0.2">
      <c r="A2568" s="5">
        <v>2507</v>
      </c>
      <c r="B2568" s="138">
        <f>'Acct Summary 7-8'!D8</f>
        <v>869904</v>
      </c>
      <c r="C2568" s="2" t="s">
        <v>593</v>
      </c>
      <c r="D2568" s="2" t="str">
        <f t="shared" si="39"/>
        <v>Error?</v>
      </c>
    </row>
    <row r="2569" spans="1:4" x14ac:dyDescent="0.2">
      <c r="A2569" s="5">
        <v>2508</v>
      </c>
      <c r="B2569" s="138">
        <f>'Acct Summary 7-8'!D13</f>
        <v>902759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902759</v>
      </c>
      <c r="C2573" s="2" t="s">
        <v>593</v>
      </c>
      <c r="D2573" s="2" t="str">
        <f t="shared" si="39"/>
        <v>Error?</v>
      </c>
    </row>
    <row r="2574" spans="1:4" x14ac:dyDescent="0.2">
      <c r="A2574" s="5">
        <v>2513</v>
      </c>
      <c r="B2574" s="138">
        <f>'Acct Summary 7-8'!D20</f>
        <v>-32855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263576</v>
      </c>
      <c r="C2591" s="2" t="s">
        <v>593</v>
      </c>
      <c r="D2591" s="2" t="str">
        <f t="shared" si="39"/>
        <v>Error?</v>
      </c>
    </row>
    <row r="2592" spans="1:4" x14ac:dyDescent="0.2">
      <c r="A2592" s="10">
        <v>2531</v>
      </c>
      <c r="D2592" s="2" t="str">
        <f t="shared" si="39"/>
        <v>OK</v>
      </c>
    </row>
    <row r="2593" spans="1:4" x14ac:dyDescent="0.2">
      <c r="A2593" s="5">
        <v>2532</v>
      </c>
      <c r="B2593" s="138">
        <f>'Acct Summary 7-8'!F6</f>
        <v>386361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649937</v>
      </c>
      <c r="C2595" s="2" t="s">
        <v>593</v>
      </c>
      <c r="D2595" s="2" t="str">
        <f t="shared" si="39"/>
        <v>Error?</v>
      </c>
    </row>
    <row r="2596" spans="1:4" x14ac:dyDescent="0.2">
      <c r="A2596" s="5">
        <v>2535</v>
      </c>
      <c r="B2596" s="138">
        <f>'Acct Summary 7-8'!F13</f>
        <v>632675</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632675</v>
      </c>
      <c r="C2600" s="2" t="s">
        <v>593</v>
      </c>
      <c r="D2600" s="2" t="str">
        <f t="shared" si="39"/>
        <v>Error?</v>
      </c>
    </row>
    <row r="2601" spans="1:4" x14ac:dyDescent="0.2">
      <c r="A2601" s="5">
        <v>2540</v>
      </c>
      <c r="B2601" s="138">
        <f>'Acct Summary 7-8'!F20</f>
        <v>17262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465742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465742</v>
      </c>
      <c r="C2606" s="2" t="s">
        <v>593</v>
      </c>
      <c r="D2606" s="2" t="str">
        <f t="shared" si="39"/>
        <v>Error?</v>
      </c>
    </row>
    <row r="2607" spans="1:4" x14ac:dyDescent="0.2">
      <c r="A2607" s="5">
        <v>2546</v>
      </c>
      <c r="B2607" s="138">
        <f>'Acct Summary 7-8'!G12</f>
        <v>109849</v>
      </c>
      <c r="C2607" s="2" t="s">
        <v>593</v>
      </c>
      <c r="D2607" s="2" t="str">
        <f t="shared" si="39"/>
        <v>Error?</v>
      </c>
    </row>
    <row r="2608" spans="1:4" x14ac:dyDescent="0.2">
      <c r="A2608" s="5">
        <v>2547</v>
      </c>
      <c r="B2608" s="138">
        <f>'Acct Summary 7-8'!G13</f>
        <v>180859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290708</v>
      </c>
      <c r="C2612" s="2" t="s">
        <v>593</v>
      </c>
      <c r="D2612" s="2" t="str">
        <f t="shared" si="39"/>
        <v>Error?</v>
      </c>
    </row>
    <row r="2613" spans="1:4" x14ac:dyDescent="0.2">
      <c r="A2613" s="5">
        <v>2552</v>
      </c>
      <c r="B2613" s="138">
        <f>'Acct Summary 7-8'!G20</f>
        <v>175034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3878299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3878299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3711652</v>
      </c>
      <c r="C2634" s="2" t="s">
        <v>593</v>
      </c>
      <c r="D2634" s="2" t="str">
        <f t="shared" si="40"/>
        <v>Error?</v>
      </c>
    </row>
    <row r="2635" spans="1:4" x14ac:dyDescent="0.2">
      <c r="A2635" s="5">
        <v>2574</v>
      </c>
      <c r="B2635" s="138">
        <f>'Acct Summary 7-8'!E17</f>
        <v>3711652</v>
      </c>
      <c r="C2635" s="2" t="s">
        <v>593</v>
      </c>
      <c r="D2635" s="2" t="str">
        <f t="shared" si="40"/>
        <v>Error?</v>
      </c>
    </row>
    <row r="2636" spans="1:4" x14ac:dyDescent="0.2">
      <c r="A2636" s="5">
        <v>2575</v>
      </c>
      <c r="B2636" s="138">
        <f>'Acct Summary 7-8'!E20</f>
        <v>166647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325762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325762</v>
      </c>
      <c r="C2658" s="2" t="s">
        <v>593</v>
      </c>
      <c r="D2658" s="2" t="str">
        <f t="shared" si="40"/>
        <v>Error?</v>
      </c>
    </row>
    <row r="2659" spans="1:4" x14ac:dyDescent="0.2">
      <c r="A2659" s="5">
        <v>2598</v>
      </c>
      <c r="B2659" s="138">
        <f>'Acct Summary 7-8'!H13</f>
        <v>166880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166880</v>
      </c>
      <c r="C2661" s="2" t="s">
        <v>593</v>
      </c>
      <c r="D2661" s="2" t="str">
        <f t="shared" si="40"/>
        <v>Error?</v>
      </c>
    </row>
    <row r="2662" spans="1:4" x14ac:dyDescent="0.2">
      <c r="A2662" s="5">
        <v>2601</v>
      </c>
      <c r="B2662" s="138">
        <f>'Acct Summary 7-8'!H20</f>
        <v>158882</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132007</v>
      </c>
      <c r="C2789" s="2" t="s">
        <v>593</v>
      </c>
      <c r="D2789" s="2" t="str">
        <f t="shared" si="42"/>
        <v>Error?</v>
      </c>
    </row>
    <row r="2790" spans="1:4" x14ac:dyDescent="0.2">
      <c r="A2790" s="5">
        <v>2729</v>
      </c>
      <c r="B2790" s="138">
        <f>'Expenditures 15-22'!E102</f>
        <v>132007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99855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107066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761743</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107066</v>
      </c>
      <c r="D2912" s="2" t="str">
        <f t="shared" si="44"/>
        <v>Error?</v>
      </c>
    </row>
    <row r="2913" spans="1:4" x14ac:dyDescent="0.2">
      <c r="A2913" s="5">
        <v>2852</v>
      </c>
      <c r="B2913" s="138">
        <f>'Assets-Liab 5-6'!I41</f>
        <v>107066</v>
      </c>
      <c r="C2913" s="2" t="s">
        <v>593</v>
      </c>
      <c r="D2913" s="2" t="str">
        <f t="shared" si="44"/>
        <v>Error?</v>
      </c>
    </row>
    <row r="2914" spans="1:4" x14ac:dyDescent="0.2">
      <c r="A2914" s="5">
        <v>2853</v>
      </c>
      <c r="B2914" s="138">
        <f>'Assets-Liab 5-6'!L33</f>
        <v>178054</v>
      </c>
      <c r="D2914" s="2" t="str">
        <f t="shared" si="44"/>
        <v>Error?</v>
      </c>
    </row>
    <row r="2915" spans="1:4" x14ac:dyDescent="0.2">
      <c r="A2915" s="10">
        <v>2854</v>
      </c>
      <c r="D2915" s="2" t="str">
        <f t="shared" si="44"/>
        <v>OK</v>
      </c>
    </row>
    <row r="2916" spans="1:4" x14ac:dyDescent="0.2">
      <c r="A2916" s="5">
        <v>2855</v>
      </c>
      <c r="B2916" s="138">
        <f>'Assets-Liab 5-6'!L34</f>
        <v>178054</v>
      </c>
      <c r="C2916" s="2" t="s">
        <v>593</v>
      </c>
      <c r="D2916" s="2" t="str">
        <f t="shared" si="44"/>
        <v>Error?</v>
      </c>
    </row>
    <row r="2917" spans="1:4" x14ac:dyDescent="0.2">
      <c r="A2917" s="5">
        <v>2856</v>
      </c>
      <c r="B2917" s="138">
        <f>'Assets-Liab 5-6'!L41</f>
        <v>761743</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132007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132007</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583689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107855</v>
      </c>
      <c r="C3225" s="2" t="s">
        <v>593</v>
      </c>
      <c r="D3225" s="2" t="str">
        <f t="shared" si="49"/>
        <v>Error?</v>
      </c>
    </row>
    <row r="3226" spans="1:4" x14ac:dyDescent="0.2">
      <c r="A3226" s="5">
        <v>3165</v>
      </c>
      <c r="B3226" s="138">
        <f>'Acct Summary 7-8'!I8</f>
        <v>107855</v>
      </c>
      <c r="C3226" s="2" t="s">
        <v>593</v>
      </c>
      <c r="D3226" s="2" t="str">
        <f t="shared" si="49"/>
        <v>Error?</v>
      </c>
    </row>
    <row r="3227" spans="1:4" x14ac:dyDescent="0.2">
      <c r="A3227" s="5">
        <v>3166</v>
      </c>
      <c r="B3227" s="138">
        <f>'Acct Summary 7-8'!I20</f>
        <v>107855</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2087202</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2087202</v>
      </c>
      <c r="C3232" s="2" t="s">
        <v>593</v>
      </c>
      <c r="D3232" s="2" t="str">
        <f t="shared" si="49"/>
        <v>Error?</v>
      </c>
    </row>
    <row r="3233" spans="1:4" x14ac:dyDescent="0.2">
      <c r="A3233" s="5">
        <v>3172</v>
      </c>
      <c r="B3233" s="138">
        <f>'Acct Summary 7-8'!C78</f>
        <v>604091</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-32855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17262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175034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166647</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158882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2025792</v>
      </c>
      <c r="C3317" s="2" t="s">
        <v>593</v>
      </c>
      <c r="D3317" s="2" t="str">
        <f t="shared" si="50"/>
        <v>Error?</v>
      </c>
    </row>
    <row r="3318" spans="1:4" x14ac:dyDescent="0.2">
      <c r="A3318" s="5">
        <v>3257</v>
      </c>
      <c r="B3318" s="138">
        <f>'Acct Summary 7-8'!I76</f>
        <v>2129890</v>
      </c>
      <c r="C3318" s="2" t="s">
        <v>593</v>
      </c>
      <c r="D3318" s="2" t="str">
        <f t="shared" si="50"/>
        <v>Error?</v>
      </c>
    </row>
    <row r="3319" spans="1:4" x14ac:dyDescent="0.2">
      <c r="A3319" s="5">
        <v>3258</v>
      </c>
      <c r="B3319" s="138">
        <f>'Acct Summary 7-8'!I77</f>
        <v>-104098</v>
      </c>
      <c r="C3319" s="2" t="s">
        <v>593</v>
      </c>
      <c r="D3319" s="2" t="str">
        <f t="shared" si="50"/>
        <v>Error?</v>
      </c>
    </row>
    <row r="3320" spans="1:4" x14ac:dyDescent="0.2">
      <c r="A3320" s="5">
        <v>3259</v>
      </c>
      <c r="B3320" s="138">
        <f>'Acct Summary 7-8'!I78</f>
        <v>3757</v>
      </c>
      <c r="C3320" s="2" t="s">
        <v>593</v>
      </c>
      <c r="D3320" s="2" t="str">
        <f t="shared" si="50"/>
        <v>Error?</v>
      </c>
    </row>
    <row r="3321" spans="1:4" x14ac:dyDescent="0.2">
      <c r="A3321" s="5">
        <v>3260</v>
      </c>
      <c r="B3321" s="138">
        <f>'Acct Summary 7-8'!I79</f>
        <v>103309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107066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561842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101176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668699</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59237</v>
      </c>
      <c r="D3387" s="2" t="str">
        <f t="shared" si="51"/>
        <v>Error?</v>
      </c>
    </row>
    <row r="3388" spans="1:4" x14ac:dyDescent="0.2">
      <c r="A3388" s="5">
        <v>3327</v>
      </c>
      <c r="B3388" s="138">
        <f>'Expenditures 15-22'!D217</f>
        <v>46895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59237</v>
      </c>
      <c r="C3390" s="2" t="s">
        <v>593</v>
      </c>
      <c r="D3390" s="2" t="str">
        <f t="shared" si="51"/>
        <v>Error?</v>
      </c>
    </row>
    <row r="3391" spans="1:4" x14ac:dyDescent="0.2">
      <c r="A3391" s="5">
        <v>3330</v>
      </c>
      <c r="B3391" s="138">
        <f>'Expenditures 15-22'!K217</f>
        <v>46895</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1308096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1691</v>
      </c>
      <c r="D3417" s="2" t="str">
        <f t="shared" si="52"/>
        <v>Error?</v>
      </c>
    </row>
    <row r="3418" spans="1:4" x14ac:dyDescent="0.2">
      <c r="A3418" s="10">
        <v>3357</v>
      </c>
      <c r="D3418" s="2" t="str">
        <f t="shared" si="52"/>
        <v>OK</v>
      </c>
    </row>
    <row r="3419" spans="1:4" x14ac:dyDescent="0.2">
      <c r="A3419" s="5">
        <v>3358</v>
      </c>
      <c r="B3419" s="138">
        <f>'Assets-Liab 5-6'!F4</f>
        <v>33080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201915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702654</v>
      </c>
      <c r="D3425" s="2" t="str">
        <f t="shared" si="52"/>
        <v>Error?</v>
      </c>
    </row>
    <row r="3426" spans="1:4" x14ac:dyDescent="0.2">
      <c r="A3426" s="10">
        <v>3365</v>
      </c>
      <c r="D3426" s="2" t="str">
        <f t="shared" si="52"/>
        <v>OK</v>
      </c>
    </row>
    <row r="3427" spans="1:4" x14ac:dyDescent="0.2">
      <c r="A3427" s="5">
        <v>3366</v>
      </c>
      <c r="B3427" s="138">
        <f>'Assets-Liab 5-6'!I4</f>
        <v>7211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761743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224913</v>
      </c>
      <c r="C3446" s="2" t="s">
        <v>593</v>
      </c>
      <c r="D3446" s="2" t="str">
        <f t="shared" si="52"/>
        <v>Error?</v>
      </c>
    </row>
    <row r="3447" spans="1:4" x14ac:dyDescent="0.2">
      <c r="A3447" s="5">
        <v>3386</v>
      </c>
      <c r="B3447" s="138">
        <f>'Tax Sched 23'!D16</f>
        <v>224913</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175016</v>
      </c>
      <c r="C3449" s="2" t="s">
        <v>593</v>
      </c>
      <c r="D3449" s="2" t="str">
        <f t="shared" si="52"/>
        <v>Error?</v>
      </c>
    </row>
    <row r="3450" spans="1:4" x14ac:dyDescent="0.2">
      <c r="A3450" s="5">
        <v>3389</v>
      </c>
      <c r="B3450" s="138">
        <f>'Tax Sched 23'!E16</f>
        <v>175016</v>
      </c>
      <c r="D3450" s="2" t="str">
        <f t="shared" si="52"/>
        <v>Error?</v>
      </c>
    </row>
    <row r="3451" spans="1:4" x14ac:dyDescent="0.2">
      <c r="A3451" s="5">
        <v>3390</v>
      </c>
      <c r="B3451" s="138">
        <f>'Cap Outlay Deprec 26'!C15</f>
        <v>20010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20010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107234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968916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1076150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1076150</v>
      </c>
      <c r="D3567" s="2" t="str">
        <f t="shared" si="54"/>
        <v>Error?</v>
      </c>
    </row>
    <row r="3568" spans="1:4" x14ac:dyDescent="0.2">
      <c r="A3568" s="5">
        <v>3507</v>
      </c>
      <c r="B3568" s="138">
        <f>'Assets-Liab 5-6'!K41</f>
        <v>1076150</v>
      </c>
      <c r="C3568" s="2" t="s">
        <v>593</v>
      </c>
      <c r="D3568" s="2" t="str">
        <f t="shared" si="54"/>
        <v>Error?</v>
      </c>
    </row>
    <row r="3569" spans="1:4" x14ac:dyDescent="0.2">
      <c r="A3569" s="5">
        <v>3508</v>
      </c>
      <c r="B3569" s="138">
        <f>'Acct Summary 7-8'!K4</f>
        <v>118646</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118646</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118646</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118646</v>
      </c>
      <c r="C3588" s="2" t="s">
        <v>593</v>
      </c>
      <c r="D3588" s="2" t="str">
        <f t="shared" si="55"/>
        <v>Error?</v>
      </c>
    </row>
    <row r="3589" spans="1:4" x14ac:dyDescent="0.2">
      <c r="A3589" s="5">
        <v>3528</v>
      </c>
      <c r="B3589" s="138">
        <f>'Acct Summary 7-8'!K79</f>
        <v>957504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1076150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118646</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106594</v>
      </c>
      <c r="C3725" s="2" t="s">
        <v>593</v>
      </c>
      <c r="D3725" s="2" t="str">
        <f t="shared" si="57"/>
        <v>Error?</v>
      </c>
    </row>
    <row r="3726" spans="1:4" x14ac:dyDescent="0.2">
      <c r="A3726" s="5">
        <v>3665</v>
      </c>
      <c r="B3726" s="138">
        <f>'Tax Sched 23'!D13</f>
        <v>106594</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108517</v>
      </c>
      <c r="C3728" s="2" t="s">
        <v>593</v>
      </c>
      <c r="D3728" s="2" t="str">
        <f t="shared" si="57"/>
        <v>Error?</v>
      </c>
    </row>
    <row r="3729" spans="1:4" x14ac:dyDescent="0.2">
      <c r="A3729" s="5">
        <v>3668</v>
      </c>
      <c r="B3729" s="138">
        <f>'Tax Sched 23'!E13</f>
        <v>108517</v>
      </c>
      <c r="D3729" s="2" t="str">
        <f t="shared" si="57"/>
        <v>Error?</v>
      </c>
    </row>
    <row r="3730" spans="1:4" x14ac:dyDescent="0.2">
      <c r="A3730" s="5">
        <v>3669</v>
      </c>
      <c r="B3730" s="138">
        <f>'ICR Computation 30'!E10</f>
        <v>257194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546850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7746119</v>
      </c>
      <c r="C4122" s="2" t="s">
        <v>593</v>
      </c>
      <c r="D4122" s="2" t="str">
        <f t="shared" si="63"/>
        <v>Error?</v>
      </c>
    </row>
    <row r="4123" spans="1:4" x14ac:dyDescent="0.2">
      <c r="A4123" s="5">
        <v>4062</v>
      </c>
      <c r="B4123" s="138">
        <f>'Acct Summary 7-8'!D10</f>
        <v>869904</v>
      </c>
      <c r="C4123" s="2" t="s">
        <v>593</v>
      </c>
      <c r="D4123" s="2" t="str">
        <f t="shared" si="63"/>
        <v>Error?</v>
      </c>
    </row>
    <row r="4124" spans="1:4" x14ac:dyDescent="0.2">
      <c r="A4124" s="5">
        <v>4063</v>
      </c>
      <c r="B4124" s="138">
        <f>'Acct Summary 7-8'!E10</f>
        <v>3878299</v>
      </c>
      <c r="C4124" s="2" t="s">
        <v>593</v>
      </c>
      <c r="D4124" s="2" t="str">
        <f t="shared" si="63"/>
        <v>Error?</v>
      </c>
    </row>
    <row r="4125" spans="1:4" x14ac:dyDescent="0.2">
      <c r="A4125" s="5">
        <v>4064</v>
      </c>
      <c r="B4125" s="138">
        <f>'Acct Summary 7-8'!F10</f>
        <v>649937</v>
      </c>
      <c r="C4125" s="2" t="s">
        <v>593</v>
      </c>
      <c r="D4125" s="2" t="str">
        <f t="shared" si="63"/>
        <v>Error?</v>
      </c>
    </row>
    <row r="4126" spans="1:4" x14ac:dyDescent="0.2">
      <c r="A4126" s="5">
        <v>4065</v>
      </c>
      <c r="B4126" s="138">
        <f>'Acct Summary 7-8'!G10</f>
        <v>465742</v>
      </c>
      <c r="C4126" s="2" t="s">
        <v>593</v>
      </c>
      <c r="D4126" s="2" t="str">
        <f t="shared" si="63"/>
        <v>Error?</v>
      </c>
    </row>
    <row r="4127" spans="1:4" x14ac:dyDescent="0.2">
      <c r="A4127" s="5">
        <v>4066</v>
      </c>
      <c r="B4127" s="138">
        <f>'Acct Summary 7-8'!H10</f>
        <v>325762</v>
      </c>
      <c r="C4127" s="2" t="s">
        <v>593</v>
      </c>
      <c r="D4127" s="2" t="str">
        <f t="shared" si="63"/>
        <v>Error?</v>
      </c>
    </row>
    <row r="4128" spans="1:4" x14ac:dyDescent="0.2">
      <c r="A4128" s="5">
        <v>4067</v>
      </c>
      <c r="B4128" s="138">
        <f>'Acct Summary 7-8'!I10</f>
        <v>107855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118646</v>
      </c>
      <c r="C4130" s="2" t="s">
        <v>593</v>
      </c>
      <c r="D4130" s="2" t="str">
        <f t="shared" si="63"/>
        <v>Error?</v>
      </c>
    </row>
    <row r="4131" spans="1:4" x14ac:dyDescent="0.2">
      <c r="A4131" s="5">
        <v>4070</v>
      </c>
      <c r="B4131" s="138">
        <f>'Acct Summary 7-8'!C18</f>
        <v>546850</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9229230</v>
      </c>
      <c r="C4136" s="2" t="s">
        <v>593</v>
      </c>
      <c r="D4136" s="2" t="str">
        <f t="shared" si="63"/>
        <v>Error?</v>
      </c>
    </row>
    <row r="4137" spans="1:4" x14ac:dyDescent="0.2">
      <c r="A4137" s="5">
        <v>4076</v>
      </c>
      <c r="B4137" s="138">
        <f>'Acct Summary 7-8'!D19</f>
        <v>902759</v>
      </c>
      <c r="C4137" s="2" t="s">
        <v>593</v>
      </c>
      <c r="D4137" s="2" t="str">
        <f t="shared" si="63"/>
        <v>Error?</v>
      </c>
    </row>
    <row r="4138" spans="1:4" x14ac:dyDescent="0.2">
      <c r="A4138" s="5">
        <v>4077</v>
      </c>
      <c r="B4138" s="138">
        <f>'Acct Summary 7-8'!E19</f>
        <v>3711652</v>
      </c>
      <c r="C4138" s="2" t="s">
        <v>593</v>
      </c>
      <c r="D4138" s="2" t="str">
        <f t="shared" si="63"/>
        <v>Error?</v>
      </c>
    </row>
    <row r="4139" spans="1:4" x14ac:dyDescent="0.2">
      <c r="A4139" s="5">
        <v>4078</v>
      </c>
      <c r="B4139" s="138">
        <f>'Acct Summary 7-8'!F19</f>
        <v>632675</v>
      </c>
      <c r="C4139" s="2" t="s">
        <v>593</v>
      </c>
      <c r="D4139" s="2" t="str">
        <f t="shared" si="63"/>
        <v>Error?</v>
      </c>
    </row>
    <row r="4140" spans="1:4" x14ac:dyDescent="0.2">
      <c r="A4140" s="5">
        <v>4079</v>
      </c>
      <c r="B4140" s="138">
        <f>'Acct Summary 7-8'!G19</f>
        <v>290708</v>
      </c>
      <c r="C4140" s="2" t="s">
        <v>593</v>
      </c>
      <c r="D4140" s="2" t="str">
        <f t="shared" si="63"/>
        <v>Error?</v>
      </c>
    </row>
    <row r="4141" spans="1:4" x14ac:dyDescent="0.2">
      <c r="A4141" s="5">
        <v>4080</v>
      </c>
      <c r="B4141" s="138">
        <f>'Acct Summary 7-8'!H19</f>
        <v>166880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21106806</v>
      </c>
      <c r="C4171" s="2" t="s">
        <v>593</v>
      </c>
      <c r="D4171" s="2" t="str">
        <f t="shared" si="64"/>
        <v>Error?</v>
      </c>
    </row>
    <row r="4172" spans="1:4" x14ac:dyDescent="0.2">
      <c r="A4172" s="5">
        <v>4111</v>
      </c>
      <c r="B4172" s="138">
        <f>'Short-Term Long-Term Debt 24'!J49</f>
        <v>19868637</v>
      </c>
      <c r="C4172" s="2" t="s">
        <v>593</v>
      </c>
      <c r="D4172" s="2" t="str">
        <f t="shared" si="64"/>
        <v>Error?</v>
      </c>
    </row>
    <row r="4173" spans="1:4" x14ac:dyDescent="0.2">
      <c r="A4173" s="5">
        <v>4112</v>
      </c>
      <c r="B4173" s="138">
        <f>'Short-Term Long-Term Debt 24'!H49</f>
        <v>2535000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-14463</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593</v>
      </c>
      <c r="D4265" s="2" t="str">
        <f t="shared" si="65"/>
        <v>Error?</v>
      </c>
      <c r="E4265" s="128"/>
    </row>
    <row r="4266" spans="1:5" x14ac:dyDescent="0.2">
      <c r="A4266" s="12">
        <v>4205</v>
      </c>
      <c r="B4266" s="138">
        <f>('FP Info 3'!F10)*100000</f>
        <v>250</v>
      </c>
      <c r="C4266" s="2" t="s">
        <v>593</v>
      </c>
      <c r="D4266" s="2" t="str">
        <f t="shared" si="65"/>
        <v>Error?</v>
      </c>
      <c r="E4266" s="128"/>
    </row>
    <row r="4267" spans="1:5" x14ac:dyDescent="0.2">
      <c r="A4267" s="12">
        <v>4206</v>
      </c>
      <c r="B4267" s="138">
        <f>('FP Info 3'!H10)*100000</f>
        <v>119.99999999999999</v>
      </c>
      <c r="C4267" s="2" t="s">
        <v>593</v>
      </c>
      <c r="D4267" s="2" t="str">
        <f t="shared" si="65"/>
        <v>Error?</v>
      </c>
      <c r="E4267" s="128"/>
    </row>
    <row r="4268" spans="1:5" x14ac:dyDescent="0.2">
      <c r="A4268" s="12">
        <v>4207</v>
      </c>
      <c r="B4268" s="138">
        <f>('FP Info 3'!J10)*100000</f>
        <v>1290</v>
      </c>
      <c r="C4268" s="2" t="s">
        <v>593</v>
      </c>
      <c r="D4268" s="2" t="str">
        <f t="shared" si="65"/>
        <v>Error?</v>
      </c>
    </row>
    <row r="4269" spans="1:5" x14ac:dyDescent="0.2">
      <c r="A4269" s="12">
        <v>4208</v>
      </c>
      <c r="B4269" s="138">
        <f>'FP Info 3'!J16</f>
        <v>2443496</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59045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17614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750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9752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33058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22707</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217033331</v>
      </c>
      <c r="D4995" s="2" t="str">
        <f t="shared" si="77"/>
        <v>Error?</v>
      </c>
    </row>
    <row r="4996" spans="1:4" x14ac:dyDescent="0.2">
      <c r="A4996" s="12">
        <v>4935</v>
      </c>
      <c r="B4996" s="138">
        <f>'FP Info 3'!H31</f>
        <v>14975299.839000002</v>
      </c>
      <c r="D4996" s="2" t="str">
        <f t="shared" si="77"/>
        <v>Error?</v>
      </c>
    </row>
    <row r="4997" spans="1:4" x14ac:dyDescent="0.2">
      <c r="A4997" s="12">
        <v>4936</v>
      </c>
      <c r="B4997" s="138">
        <f>'FP Info 3'!H37</f>
        <v>21106806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106594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1961333</v>
      </c>
      <c r="D5061" s="2" t="str">
        <f t="shared" si="78"/>
        <v>Error?</v>
      </c>
    </row>
    <row r="5062" spans="1:4" x14ac:dyDescent="0.2">
      <c r="A5062" s="10">
        <v>5001</v>
      </c>
      <c r="D5062" s="2" t="str">
        <f t="shared" si="78"/>
        <v>OK</v>
      </c>
    </row>
    <row r="5063" spans="1:4" x14ac:dyDescent="0.2">
      <c r="A5063" s="5">
        <v>5002</v>
      </c>
      <c r="B5063" s="138">
        <f>'Revenues 9-14'!C7</f>
        <v>42637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2110564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287285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287285</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9718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9718</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1411</v>
      </c>
      <c r="D5094" s="2" t="str">
        <f t="shared" si="78"/>
        <v>Error?</v>
      </c>
    </row>
    <row r="5095" spans="1:4" x14ac:dyDescent="0.2">
      <c r="A5095" s="5">
        <v>5034</v>
      </c>
      <c r="B5095" s="138">
        <f>'Revenues 9-14'!C74</f>
        <v>2970</v>
      </c>
      <c r="D5095" s="2" t="str">
        <f t="shared" si="78"/>
        <v>Error?</v>
      </c>
    </row>
    <row r="5096" spans="1:4" x14ac:dyDescent="0.2">
      <c r="A5096" s="5">
        <v>5035</v>
      </c>
      <c r="B5096" s="138">
        <f>'Revenues 9-14'!C75</f>
        <v>98836</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593</v>
      </c>
      <c r="D5102" s="2" t="str">
        <f t="shared" si="78"/>
        <v>Error?</v>
      </c>
    </row>
    <row r="5103" spans="1:4" x14ac:dyDescent="0.2">
      <c r="A5103" s="5">
        <v>5042</v>
      </c>
      <c r="B5103" s="138">
        <f>'Revenues 9-14'!C84</f>
        <v>88914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6186</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95100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153191</v>
      </c>
      <c r="D5115" s="2" t="str">
        <f t="shared" si="78"/>
        <v>Error?</v>
      </c>
    </row>
    <row r="5116" spans="1:4" x14ac:dyDescent="0.2">
      <c r="A5116" s="5">
        <v>5055</v>
      </c>
      <c r="B5116" s="138">
        <f>'Revenues 9-14'!C99</f>
        <v>103452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25229</v>
      </c>
      <c r="D5119" s="2" t="str">
        <f t="shared" ref="D5119:D5182" si="79">IF(ISBLANK(B5119),"OK",IF(A5119-B5119=0,"OK","Error?"))</f>
        <v>Error?</v>
      </c>
    </row>
    <row r="5120" spans="1:4" x14ac:dyDescent="0.2">
      <c r="A5120" s="5">
        <v>5059</v>
      </c>
      <c r="B5120" s="138">
        <f>'Revenues 9-14'!C108</f>
        <v>418456</v>
      </c>
      <c r="C5120" s="2" t="s">
        <v>593</v>
      </c>
      <c r="D5120" s="2" t="str">
        <f t="shared" si="79"/>
        <v>Error?</v>
      </c>
    </row>
    <row r="5121" spans="1:4" x14ac:dyDescent="0.2">
      <c r="A5121" s="5">
        <v>5060</v>
      </c>
      <c r="B5121" s="138">
        <f>'Revenues 9-14'!C109</f>
        <v>3019959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3014399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3014399</v>
      </c>
      <c r="C5132" s="2" t="s">
        <v>593</v>
      </c>
      <c r="D5132" s="2" t="str">
        <f t="shared" si="79"/>
        <v>Error?</v>
      </c>
    </row>
    <row r="5133" spans="1:4" x14ac:dyDescent="0.2">
      <c r="A5133" s="5">
        <v>5072</v>
      </c>
      <c r="B5133" s="138">
        <f>'Revenues 9-14'!C124</f>
        <v>121283</v>
      </c>
      <c r="D5133" s="2" t="str">
        <f t="shared" si="79"/>
        <v>Error?</v>
      </c>
    </row>
    <row r="5134" spans="1:4" x14ac:dyDescent="0.2">
      <c r="A5134" s="5">
        <v>5073</v>
      </c>
      <c r="B5134" s="138">
        <f>'Revenues 9-14'!C125</f>
        <v>79058</v>
      </c>
      <c r="D5134" s="2" t="str">
        <f t="shared" si="79"/>
        <v>Error?</v>
      </c>
    </row>
    <row r="5135" spans="1:4" x14ac:dyDescent="0.2">
      <c r="A5135" s="5">
        <v>5074</v>
      </c>
      <c r="B5135" s="138">
        <f>'Revenues 9-14'!C126</f>
        <v>96548</v>
      </c>
      <c r="D5135" s="2" t="str">
        <f t="shared" si="79"/>
        <v>Error?</v>
      </c>
    </row>
    <row r="5136" spans="1:4" x14ac:dyDescent="0.2">
      <c r="A5136" s="10">
        <v>5075</v>
      </c>
      <c r="D5136" s="2" t="str">
        <f t="shared" si="79"/>
        <v>OK</v>
      </c>
    </row>
    <row r="5137" spans="1:4" x14ac:dyDescent="0.2">
      <c r="A5137" s="5">
        <v>5076</v>
      </c>
      <c r="B5137" s="138">
        <f>'Revenues 9-14'!C127</f>
        <v>28319</v>
      </c>
      <c r="D5137" s="2" t="str">
        <f t="shared" si="79"/>
        <v>Error?</v>
      </c>
    </row>
    <row r="5138" spans="1:4" x14ac:dyDescent="0.2">
      <c r="A5138" s="10">
        <v>5077</v>
      </c>
      <c r="D5138" s="2" t="str">
        <f t="shared" si="79"/>
        <v>OK</v>
      </c>
    </row>
    <row r="5139" spans="1:4" x14ac:dyDescent="0.2">
      <c r="A5139" s="5">
        <v>5078</v>
      </c>
      <c r="B5139" s="138">
        <f>'Revenues 9-14'!C128</f>
        <v>543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2574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328325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27567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27567</v>
      </c>
      <c r="C5165" s="2" t="s">
        <v>593</v>
      </c>
      <c r="D5165" s="2" t="str">
        <f t="shared" si="79"/>
        <v>Error?</v>
      </c>
    </row>
    <row r="5166" spans="1:4" x14ac:dyDescent="0.2">
      <c r="A5166" s="10">
        <v>5105</v>
      </c>
      <c r="D5166" s="2" t="str">
        <f t="shared" si="79"/>
        <v>OK</v>
      </c>
    </row>
    <row r="5167" spans="1:4" x14ac:dyDescent="0.2">
      <c r="A5167" s="5">
        <v>5106</v>
      </c>
      <c r="B5167" s="138">
        <f>'Revenues 9-14'!C145</f>
        <v>3529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148665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508836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3523235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211757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45437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257194</v>
      </c>
      <c r="C5246" s="2" t="s">
        <v>593</v>
      </c>
      <c r="D5246" s="2" t="str">
        <f t="shared" si="80"/>
        <v>Error?</v>
      </c>
    </row>
    <row r="5247" spans="1:4" x14ac:dyDescent="0.2">
      <c r="A5247" s="5">
        <v>5186</v>
      </c>
      <c r="B5247" s="138">
        <f>'Revenues 9-14'!C203</f>
        <v>147897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750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147897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130765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130765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656075</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656075</v>
      </c>
      <c r="C5326" s="2" t="s">
        <v>593</v>
      </c>
      <c r="D5326" s="2" t="str">
        <f t="shared" si="82"/>
        <v>Error?</v>
      </c>
    </row>
    <row r="5327" spans="1:4" x14ac:dyDescent="0.2">
      <c r="A5327" s="5">
        <v>5266</v>
      </c>
      <c r="B5327" s="138">
        <f>'Revenues 9-14'!C275</f>
        <v>7199269</v>
      </c>
      <c r="C5327" s="2" t="s">
        <v>593</v>
      </c>
      <c r="D5327" s="2" t="str">
        <f t="shared" si="82"/>
        <v>Error?</v>
      </c>
    </row>
    <row r="5328" spans="1:4" x14ac:dyDescent="0.2">
      <c r="A5328" s="5">
        <v>5267</v>
      </c>
      <c r="B5328" s="138">
        <f>'Revenues 9-14'!D5</f>
        <v>532971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532971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1008</v>
      </c>
      <c r="D5338" s="2" t="str">
        <f t="shared" si="82"/>
        <v>Error?</v>
      </c>
    </row>
    <row r="5339" spans="1:4" x14ac:dyDescent="0.2">
      <c r="A5339" s="5">
        <v>5278</v>
      </c>
      <c r="B5339" s="138">
        <f>'Revenues 9-14'!D18</f>
        <v>1008</v>
      </c>
      <c r="C5339" s="2" t="s">
        <v>593</v>
      </c>
      <c r="D5339" s="2" t="str">
        <f t="shared" si="82"/>
        <v>Error?</v>
      </c>
    </row>
    <row r="5340" spans="1:4" x14ac:dyDescent="0.2">
      <c r="A5340" s="5">
        <v>5279</v>
      </c>
      <c r="B5340" s="138">
        <f>'Revenues 9-14'!D65</f>
        <v>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258009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4153</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50910</v>
      </c>
      <c r="D5354" s="2" t="str">
        <f t="shared" si="82"/>
        <v>Error?</v>
      </c>
    </row>
    <row r="5355" spans="1:4" x14ac:dyDescent="0.2">
      <c r="A5355" s="5">
        <v>5294</v>
      </c>
      <c r="B5355" s="138">
        <f>'Revenues 9-14'!D108</f>
        <v>313121</v>
      </c>
      <c r="C5355" s="2" t="s">
        <v>593</v>
      </c>
      <c r="D5355" s="2" t="str">
        <f t="shared" si="82"/>
        <v>Error?</v>
      </c>
    </row>
    <row r="5356" spans="1:4" x14ac:dyDescent="0.2">
      <c r="A5356" s="5">
        <v>5295</v>
      </c>
      <c r="B5356" s="138">
        <f>'Revenues 9-14'!D109</f>
        <v>847197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22707</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22707</v>
      </c>
      <c r="C5507" s="2" t="s">
        <v>593</v>
      </c>
      <c r="D5507" s="2" t="str">
        <f t="shared" si="85"/>
        <v>Error?</v>
      </c>
    </row>
    <row r="5508" spans="1:4" x14ac:dyDescent="0.2">
      <c r="A5508" s="5">
        <v>5447</v>
      </c>
      <c r="B5508" s="138">
        <f>'Revenues 9-14'!D275</f>
        <v>869904</v>
      </c>
      <c r="C5508" s="2" t="s">
        <v>593</v>
      </c>
      <c r="D5508" s="2" t="str">
        <f t="shared" si="85"/>
        <v>Error?</v>
      </c>
    </row>
    <row r="5509" spans="1:4" x14ac:dyDescent="0.2">
      <c r="A5509" s="5">
        <v>5448</v>
      </c>
      <c r="B5509" s="138">
        <f>'Revenues 9-14'!E5</f>
        <v>3582117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3582117</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15840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15840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280342</v>
      </c>
      <c r="C5526" s="2" t="s">
        <v>593</v>
      </c>
      <c r="D5526" s="2" t="str">
        <f t="shared" si="85"/>
        <v>Error?</v>
      </c>
    </row>
    <row r="5527" spans="1:4" x14ac:dyDescent="0.2">
      <c r="A5527" s="5">
        <v>5466</v>
      </c>
      <c r="B5527" s="138">
        <f>'Revenues 9-14'!E109</f>
        <v>3878299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3878299</v>
      </c>
      <c r="C5552" s="2" t="s">
        <v>593</v>
      </c>
      <c r="D5552" s="2" t="str">
        <f t="shared" si="85"/>
        <v>Error?</v>
      </c>
    </row>
    <row r="5553" spans="1:4" x14ac:dyDescent="0.2">
      <c r="A5553" s="5">
        <v>5492</v>
      </c>
      <c r="B5553" s="138">
        <f>'Revenues 9-14'!F5</f>
        <v>255826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255826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4484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4484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3243</v>
      </c>
      <c r="D5586" s="2" t="str">
        <f t="shared" si="86"/>
        <v>Error?</v>
      </c>
    </row>
    <row r="5587" spans="1:4" x14ac:dyDescent="0.2">
      <c r="A5587" s="5">
        <v>5526</v>
      </c>
      <c r="B5587" s="138">
        <f>'Revenues 9-14'!F108</f>
        <v>3266</v>
      </c>
      <c r="C5587" s="2" t="s">
        <v>593</v>
      </c>
      <c r="D5587" s="2" t="str">
        <f t="shared" si="86"/>
        <v>Error?</v>
      </c>
    </row>
    <row r="5588" spans="1:4" x14ac:dyDescent="0.2">
      <c r="A5588" s="5">
        <v>5527</v>
      </c>
      <c r="B5588" s="138">
        <f>'Revenues 9-14'!F109</f>
        <v>263576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171126</v>
      </c>
      <c r="D5615" s="2" t="str">
        <f t="shared" si="86"/>
        <v>Error?</v>
      </c>
    </row>
    <row r="5616" spans="1:4" x14ac:dyDescent="0.2">
      <c r="A5616" s="10">
        <v>5555</v>
      </c>
      <c r="D5616" s="2" t="str">
        <f t="shared" si="86"/>
        <v>OK</v>
      </c>
    </row>
    <row r="5617" spans="1:4" x14ac:dyDescent="0.2">
      <c r="A5617" s="5">
        <v>5556</v>
      </c>
      <c r="B5617" s="138">
        <f>'Revenues 9-14'!F152</f>
        <v>215235</v>
      </c>
      <c r="D5617" s="2" t="str">
        <f t="shared" si="86"/>
        <v>Error?</v>
      </c>
    </row>
    <row r="5618" spans="1:4" x14ac:dyDescent="0.2">
      <c r="A5618" s="5">
        <v>5557</v>
      </c>
      <c r="B5618" s="138">
        <f>'Revenues 9-14'!F154</f>
        <v>386361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386361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386361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649937</v>
      </c>
      <c r="C5720" s="2" t="s">
        <v>593</v>
      </c>
      <c r="D5720" s="2" t="str">
        <f t="shared" si="88"/>
        <v>Error?</v>
      </c>
    </row>
    <row r="5721" spans="1:4" x14ac:dyDescent="0.2">
      <c r="A5721" s="5">
        <v>5660</v>
      </c>
      <c r="B5721" s="138">
        <f>'Revenues 9-14'!G5</f>
        <v>224913</v>
      </c>
      <c r="D5721" s="2" t="str">
        <f t="shared" si="88"/>
        <v>Error?</v>
      </c>
    </row>
    <row r="5722" spans="1:4" x14ac:dyDescent="0.2">
      <c r="A5722" s="5">
        <v>5661</v>
      </c>
      <c r="B5722" s="138">
        <f>'Revenues 9-14'!G7</f>
        <v>0</v>
      </c>
      <c r="D5722" s="2" t="str">
        <f t="shared" si="88"/>
        <v>Error?</v>
      </c>
    </row>
    <row r="5723" spans="1:4" x14ac:dyDescent="0.2">
      <c r="A5723" s="5">
        <v>5662</v>
      </c>
      <c r="B5723" s="138">
        <f>'Revenues 9-14'!G8</f>
        <v>224913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449826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8885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8885</v>
      </c>
      <c r="C5730" s="2" t="s">
        <v>593</v>
      </c>
      <c r="D5730" s="2" t="str">
        <f t="shared" si="88"/>
        <v>Error?</v>
      </c>
    </row>
    <row r="5731" spans="1:4" x14ac:dyDescent="0.2">
      <c r="A5731" s="5">
        <v>5670</v>
      </c>
      <c r="B5731" s="138">
        <f>'Revenues 9-14'!G65</f>
        <v>6991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6991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40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465742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88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325674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325762</v>
      </c>
      <c r="C5915" s="2" t="s">
        <v>593</v>
      </c>
      <c r="D5915" s="2" t="str">
        <f t="shared" si="91"/>
        <v>Error?</v>
      </c>
    </row>
    <row r="5916" spans="1:4" x14ac:dyDescent="0.2">
      <c r="A5916" s="5">
        <v>5855</v>
      </c>
      <c r="B5916" s="138">
        <f>'Revenues 9-14'!I5</f>
        <v>106594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106594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1251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1251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10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107855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106594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106594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12042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12042</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10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118646</v>
      </c>
      <c r="C6023" s="2" t="s">
        <v>593</v>
      </c>
      <c r="D6023" s="2" t="str">
        <f t="shared" si="93"/>
        <v>Error?</v>
      </c>
    </row>
    <row r="6024" spans="1:5" x14ac:dyDescent="0.2">
      <c r="A6024" s="5">
        <v>5963</v>
      </c>
      <c r="B6024" s="138">
        <f>'Revenues 9-14'!G109</f>
        <v>465742</v>
      </c>
      <c r="C6024" s="2" t="s">
        <v>593</v>
      </c>
      <c r="D6024" s="2" t="str">
        <f t="shared" si="93"/>
        <v>Error?</v>
      </c>
    </row>
    <row r="6025" spans="1:5" x14ac:dyDescent="0.2">
      <c r="A6025" s="5">
        <v>5964</v>
      </c>
      <c r="B6025" s="138">
        <f>'Revenues 9-14'!H109</f>
        <v>325762</v>
      </c>
      <c r="C6025" s="2" t="s">
        <v>593</v>
      </c>
      <c r="D6025" s="2" t="str">
        <f t="shared" si="93"/>
        <v>Error?</v>
      </c>
    </row>
    <row r="6026" spans="1:5" x14ac:dyDescent="0.2">
      <c r="A6026" s="5">
        <v>5965</v>
      </c>
      <c r="B6026" s="138">
        <f>'Revenues 9-14'!I109</f>
        <v>107855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118646</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94455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36643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1086.6600000000001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20250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749626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20250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749626</v>
      </c>
      <c r="D6215" s="2" t="str">
        <f t="shared" si="96"/>
        <v>Error?</v>
      </c>
      <c r="E6215" s="2" t="s">
        <v>199</v>
      </c>
    </row>
    <row r="6216" spans="1:5" x14ac:dyDescent="0.2">
      <c r="A6216">
        <v>6155</v>
      </c>
      <c r="B6216" s="138">
        <f>'Assets-Liab 5-6'!J41</f>
        <v>749626</v>
      </c>
      <c r="D6216" s="2" t="str">
        <f t="shared" si="96"/>
        <v>Error?</v>
      </c>
      <c r="E6216" s="2" t="s">
        <v>199</v>
      </c>
    </row>
    <row r="6217" spans="1:5" x14ac:dyDescent="0.2">
      <c r="A6217">
        <v>6156</v>
      </c>
      <c r="B6217" s="138">
        <f>'Assets-Liab 5-6'!J4</f>
        <v>1588</v>
      </c>
      <c r="D6217" s="2" t="str">
        <f t="shared" si="96"/>
        <v>Error?</v>
      </c>
      <c r="E6217" s="2" t="s">
        <v>199</v>
      </c>
    </row>
    <row r="6218" spans="1:5" x14ac:dyDescent="0.2">
      <c r="A6218">
        <v>6157</v>
      </c>
      <c r="B6218" s="138">
        <f>'Assets-Liab 5-6'!J5</f>
        <v>748038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557536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557536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557536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301982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301982</v>
      </c>
      <c r="D6229" s="2" t="str">
        <f t="shared" si="96"/>
        <v>Error?</v>
      </c>
      <c r="E6229" s="2" t="s">
        <v>199</v>
      </c>
    </row>
    <row r="6230" spans="1:5" x14ac:dyDescent="0.2">
      <c r="A6230">
        <v>6169</v>
      </c>
      <c r="B6230" s="138">
        <f>'Acct Summary 7-8'!J20</f>
        <v>255554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42688</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255554</v>
      </c>
      <c r="D6263" s="2" t="str">
        <f t="shared" si="96"/>
        <v>Error?</v>
      </c>
      <c r="E6263" s="2" t="s">
        <v>199</v>
      </c>
    </row>
    <row r="6264" spans="1:5" x14ac:dyDescent="0.2">
      <c r="A6264">
        <v>6203</v>
      </c>
      <c r="B6264" s="138">
        <f>'Acct Summary 7-8'!J79</f>
        <v>494072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749626</v>
      </c>
      <c r="D6266" s="2" t="str">
        <f t="shared" si="96"/>
        <v>Error?</v>
      </c>
      <c r="E6266" s="2" t="s">
        <v>199</v>
      </c>
    </row>
    <row r="6267" spans="1:5" x14ac:dyDescent="0.2">
      <c r="A6267">
        <v>6206</v>
      </c>
      <c r="B6267" s="138">
        <f>'Acct Summary 7-8'!C82</f>
        <v>604091</v>
      </c>
      <c r="D6267" s="2" t="str">
        <f t="shared" si="96"/>
        <v>Error?</v>
      </c>
      <c r="E6267" s="2" t="s">
        <v>199</v>
      </c>
    </row>
    <row r="6268" spans="1:5" x14ac:dyDescent="0.2">
      <c r="A6268">
        <v>6207</v>
      </c>
      <c r="B6268" s="138">
        <f>'Acct Summary 7-8'!D82</f>
        <v>-32855</v>
      </c>
      <c r="D6268" s="2" t="str">
        <f t="shared" si="96"/>
        <v>Error?</v>
      </c>
      <c r="E6268" s="2" t="s">
        <v>199</v>
      </c>
    </row>
    <row r="6269" spans="1:5" x14ac:dyDescent="0.2">
      <c r="A6269">
        <v>6208</v>
      </c>
      <c r="B6269" s="138">
        <f>'Acct Summary 7-8'!E82</f>
        <v>166647</v>
      </c>
      <c r="D6269" s="2" t="str">
        <f t="shared" si="96"/>
        <v>Error?</v>
      </c>
      <c r="E6269" s="2" t="s">
        <v>199</v>
      </c>
    </row>
    <row r="6270" spans="1:5" x14ac:dyDescent="0.2">
      <c r="A6270">
        <v>6209</v>
      </c>
      <c r="B6270" s="138">
        <f>'Acct Summary 7-8'!F82</f>
        <v>17262</v>
      </c>
      <c r="D6270" s="2" t="str">
        <f t="shared" si="96"/>
        <v>Error?</v>
      </c>
      <c r="E6270" s="2" t="s">
        <v>199</v>
      </c>
    </row>
    <row r="6271" spans="1:5" x14ac:dyDescent="0.2">
      <c r="A6271">
        <v>6210</v>
      </c>
      <c r="B6271" s="138">
        <f>'Acct Summary 7-8'!G82</f>
        <v>175034</v>
      </c>
      <c r="D6271" s="2" t="str">
        <f t="shared" ref="D6271:D6334" si="97">IF(ISBLANK(B6271),"OK",IF(A6271-B6271=0,"OK","Error?"))</f>
        <v>Error?</v>
      </c>
      <c r="E6271" s="2" t="s">
        <v>199</v>
      </c>
    </row>
    <row r="6272" spans="1:5" x14ac:dyDescent="0.2">
      <c r="A6272">
        <v>6211</v>
      </c>
      <c r="B6272" s="138">
        <f>'Acct Summary 7-8'!H82</f>
        <v>158882</v>
      </c>
      <c r="D6272" s="2" t="str">
        <f t="shared" si="97"/>
        <v>Error?</v>
      </c>
      <c r="E6272" s="2" t="s">
        <v>199</v>
      </c>
    </row>
    <row r="6273" spans="1:5" x14ac:dyDescent="0.2">
      <c r="A6273">
        <v>6212</v>
      </c>
      <c r="B6273" s="138">
        <f>'Acct Summary 7-8'!I82</f>
        <v>3757</v>
      </c>
      <c r="D6273" s="2" t="str">
        <f t="shared" si="97"/>
        <v>Error?</v>
      </c>
      <c r="E6273" s="2" t="s">
        <v>199</v>
      </c>
    </row>
    <row r="6274" spans="1:5" x14ac:dyDescent="0.2">
      <c r="A6274">
        <v>6213</v>
      </c>
      <c r="B6274" s="138">
        <f>'Acct Summary 7-8'!J82</f>
        <v>255554</v>
      </c>
      <c r="D6274" s="2" t="str">
        <f t="shared" si="97"/>
        <v>Error?</v>
      </c>
      <c r="E6274" s="2" t="s">
        <v>199</v>
      </c>
    </row>
    <row r="6275" spans="1:5" x14ac:dyDescent="0.2">
      <c r="A6275">
        <v>6214</v>
      </c>
      <c r="B6275" s="138">
        <f>'Acct Summary 7-8'!K82</f>
        <v>118646</v>
      </c>
      <c r="D6275" s="2" t="str">
        <f t="shared" si="97"/>
        <v>Error?</v>
      </c>
      <c r="E6275" s="2" t="s">
        <v>199</v>
      </c>
    </row>
    <row r="6276" spans="1:5" x14ac:dyDescent="0.2">
      <c r="A6276">
        <v>6215</v>
      </c>
      <c r="B6276" s="138">
        <f>'Acct Summary 7-8'!C83</f>
        <v>0.30782428530808875</v>
      </c>
      <c r="D6276" s="2" t="str">
        <f t="shared" si="97"/>
        <v>Error?</v>
      </c>
      <c r="E6276" s="2" t="s">
        <v>199</v>
      </c>
    </row>
    <row r="6277" spans="1:5" x14ac:dyDescent="0.2">
      <c r="A6277">
        <v>6216</v>
      </c>
      <c r="B6277" s="138">
        <f>'Acct Summary 7-8'!D83</f>
        <v>1.839379688724667</v>
      </c>
      <c r="D6277" s="2" t="str">
        <f t="shared" si="97"/>
        <v>Error?</v>
      </c>
      <c r="E6277" s="2" t="s">
        <v>199</v>
      </c>
    </row>
    <row r="6278" spans="1:5" x14ac:dyDescent="0.2">
      <c r="A6278">
        <v>6217</v>
      </c>
      <c r="B6278" s="138">
        <f>'Acct Summary 7-8'!E83</f>
        <v>0.13459148145366262</v>
      </c>
      <c r="D6278" s="2" t="str">
        <f t="shared" si="97"/>
        <v>Error?</v>
      </c>
      <c r="E6278" s="2" t="s">
        <v>199</v>
      </c>
    </row>
    <row r="6279" spans="1:5" x14ac:dyDescent="0.2">
      <c r="A6279">
        <v>6218</v>
      </c>
      <c r="B6279" s="138">
        <f>'Acct Summary 7-8'!F83</f>
        <v>4.405392024254922E-2</v>
      </c>
      <c r="D6279" s="2" t="str">
        <f t="shared" si="97"/>
        <v>Error?</v>
      </c>
      <c r="E6279" s="2" t="s">
        <v>199</v>
      </c>
    </row>
    <row r="6280" spans="1:5" x14ac:dyDescent="0.2">
      <c r="A6280">
        <v>6219</v>
      </c>
      <c r="B6280" s="138">
        <f>'Acct Summary 7-8'!G83</f>
        <v>0.22999981603588876</v>
      </c>
      <c r="D6280" s="2" t="str">
        <f t="shared" si="97"/>
        <v>Error?</v>
      </c>
      <c r="E6280" s="2" t="s">
        <v>199</v>
      </c>
    </row>
    <row r="6281" spans="1:5" x14ac:dyDescent="0.2">
      <c r="A6281">
        <v>6220</v>
      </c>
      <c r="B6281" s="138">
        <f>'Acct Summary 7-8'!H83</f>
        <v>0.22397778294671997</v>
      </c>
      <c r="D6281" s="2" t="str">
        <f t="shared" si="97"/>
        <v>Error?</v>
      </c>
      <c r="E6281" s="2" t="s">
        <v>199</v>
      </c>
    </row>
    <row r="6282" spans="1:5" x14ac:dyDescent="0.2">
      <c r="A6282">
        <v>6221</v>
      </c>
      <c r="B6282" s="138">
        <f>'Acct Summary 7-8'!I83</f>
        <v>3.5090504922197521E-2</v>
      </c>
      <c r="D6282" s="2" t="str">
        <f t="shared" si="97"/>
        <v>Error?</v>
      </c>
      <c r="E6282" s="2" t="s">
        <v>199</v>
      </c>
    </row>
    <row r="6283" spans="1:5" x14ac:dyDescent="0.2">
      <c r="A6283">
        <v>6222</v>
      </c>
      <c r="B6283" s="138">
        <f>'Acct Summary 7-8'!J83</f>
        <v>0.34090866645500556</v>
      </c>
      <c r="D6283" s="2" t="str">
        <f t="shared" si="97"/>
        <v>Error?</v>
      </c>
      <c r="E6283" s="2" t="s">
        <v>199</v>
      </c>
    </row>
    <row r="6284" spans="1:5" x14ac:dyDescent="0.2">
      <c r="A6284">
        <v>6223</v>
      </c>
      <c r="B6284" s="138">
        <f>'Acct Summary 7-8'!K83</f>
        <v>0.1102504297728012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549792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549792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7694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7694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136584</v>
      </c>
      <c r="D6330" s="2" t="str">
        <f t="shared" si="97"/>
        <v>Error?</v>
      </c>
      <c r="E6330" s="2" t="s">
        <v>199</v>
      </c>
    </row>
    <row r="6331" spans="1:5" x14ac:dyDescent="0.2">
      <c r="A6331">
        <v>6270</v>
      </c>
      <c r="B6331" s="138">
        <f>'Revenues 9-14'!D100</f>
        <v>49</v>
      </c>
      <c r="D6331" s="2" t="str">
        <f t="shared" si="97"/>
        <v>Error?</v>
      </c>
      <c r="E6331" s="2" t="s">
        <v>199</v>
      </c>
    </row>
    <row r="6332" spans="1:5" x14ac:dyDescent="0.2">
      <c r="A6332">
        <v>6271</v>
      </c>
      <c r="B6332" s="138">
        <f>'Revenues 9-14'!E100</f>
        <v>280342</v>
      </c>
      <c r="D6332" s="2" t="str">
        <f t="shared" si="97"/>
        <v>Error?</v>
      </c>
      <c r="E6332" s="2" t="s">
        <v>199</v>
      </c>
    </row>
    <row r="6333" spans="1:5" x14ac:dyDescent="0.2">
      <c r="A6333">
        <v>6272</v>
      </c>
      <c r="B6333" s="138">
        <f>'Revenues 9-14'!F100</f>
        <v>23</v>
      </c>
      <c r="D6333" s="2" t="str">
        <f t="shared" si="97"/>
        <v>Error?</v>
      </c>
      <c r="E6333" s="2" t="s">
        <v>199</v>
      </c>
    </row>
    <row r="6334" spans="1:5" x14ac:dyDescent="0.2">
      <c r="A6334">
        <v>6273</v>
      </c>
      <c r="B6334" s="138">
        <f>'Revenues 9-14'!G100</f>
        <v>40</v>
      </c>
      <c r="D6334" s="2" t="str">
        <f t="shared" si="97"/>
        <v>Error?</v>
      </c>
      <c r="E6334" s="2" t="s">
        <v>199</v>
      </c>
    </row>
    <row r="6335" spans="1:5" x14ac:dyDescent="0.2">
      <c r="A6335">
        <v>6274</v>
      </c>
      <c r="B6335" s="138">
        <f>'Revenues 9-14'!H100</f>
        <v>325674</v>
      </c>
      <c r="D6335" s="2" t="str">
        <f t="shared" ref="D6335:D6398" si="98">IF(ISBLANK(B6335),"OK",IF(A6335-B6335=0,"OK","Error?"))</f>
        <v>Error?</v>
      </c>
      <c r="E6335" s="2" t="s">
        <v>199</v>
      </c>
    </row>
    <row r="6336" spans="1:5" x14ac:dyDescent="0.2">
      <c r="A6336">
        <v>6275</v>
      </c>
      <c r="B6336" s="138">
        <f>'Revenues 9-14'!I100</f>
        <v>10</v>
      </c>
      <c r="D6336" s="2" t="str">
        <f t="shared" si="98"/>
        <v>Error?</v>
      </c>
      <c r="E6336" s="2" t="s">
        <v>199</v>
      </c>
    </row>
    <row r="6337" spans="1:5" x14ac:dyDescent="0.2">
      <c r="A6337">
        <v>6276</v>
      </c>
      <c r="B6337" s="138">
        <f>'Revenues 9-14'!J100</f>
        <v>50</v>
      </c>
      <c r="D6337" s="2" t="str">
        <f t="shared" si="98"/>
        <v>Error?</v>
      </c>
      <c r="E6337" s="2" t="s">
        <v>199</v>
      </c>
    </row>
    <row r="6338" spans="1:5" x14ac:dyDescent="0.2">
      <c r="A6338">
        <v>6277</v>
      </c>
      <c r="B6338" s="138">
        <f>'Revenues 9-14'!K100</f>
        <v>10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50</v>
      </c>
      <c r="D6351" s="2" t="str">
        <f t="shared" si="98"/>
        <v>Error?</v>
      </c>
      <c r="E6351" s="2" t="s">
        <v>199</v>
      </c>
    </row>
    <row r="6352" spans="1:5" x14ac:dyDescent="0.2">
      <c r="A6352">
        <v>6291</v>
      </c>
      <c r="B6352" s="138">
        <f>'Revenues 9-14'!J109</f>
        <v>557536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97503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149470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17580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3794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3794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3794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884209</v>
      </c>
      <c r="D6983" s="2" t="str">
        <f t="shared" si="108"/>
        <v>Error?</v>
      </c>
    </row>
    <row r="6984" spans="1:4" x14ac:dyDescent="0.2">
      <c r="A6984">
        <v>6923</v>
      </c>
      <c r="B6984" s="138">
        <f>'Expenditures 15-22'!K86</f>
        <v>884209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884209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3794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301982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557536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1430</v>
      </c>
      <c r="D7073" s="2" t="str">
        <f t="shared" si="109"/>
        <v>Error?</v>
      </c>
    </row>
    <row r="7074" spans="1:4" x14ac:dyDescent="0.2">
      <c r="A7074">
        <v>7013</v>
      </c>
      <c r="B7074" s="138">
        <f>'Expenditures 15-22'!K216</f>
        <v>1430</v>
      </c>
      <c r="D7074" s="2" t="str">
        <f t="shared" si="109"/>
        <v>Error?</v>
      </c>
    </row>
    <row r="7075" spans="1:4" x14ac:dyDescent="0.2">
      <c r="A7075">
        <v>7014</v>
      </c>
      <c r="B7075" s="138">
        <f>'Expenditures 15-22'!D218</f>
        <v>198</v>
      </c>
      <c r="D7075" s="2" t="str">
        <f t="shared" si="109"/>
        <v>Error?</v>
      </c>
    </row>
    <row r="7076" spans="1:4" x14ac:dyDescent="0.2">
      <c r="A7076">
        <v>7015</v>
      </c>
      <c r="B7076" s="138">
        <f>'Expenditures 15-22'!K218</f>
        <v>198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11985</v>
      </c>
      <c r="D7093" s="2" t="str">
        <f t="shared" si="109"/>
        <v>Error?</v>
      </c>
    </row>
    <row r="7094" spans="1:4" x14ac:dyDescent="0.2">
      <c r="A7094">
        <v>7033</v>
      </c>
      <c r="B7094" s="138">
        <f>'Expenditures 15-22'!K254</f>
        <v>11985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2542</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2542</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2542</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39729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39729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12474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12474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68576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68576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11960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11960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136616</v>
      </c>
      <c r="D7172" s="2" t="str">
        <f t="shared" si="111"/>
        <v>Error?</v>
      </c>
    </row>
    <row r="7173" spans="1:4" x14ac:dyDescent="0.2">
      <c r="A7173">
        <v>7112</v>
      </c>
      <c r="B7173" s="138">
        <f>'Expenditures 15-22'!D325</f>
        <v>12968</v>
      </c>
      <c r="D7173" s="2" t="str">
        <f t="shared" si="111"/>
        <v>Error?</v>
      </c>
    </row>
    <row r="7174" spans="1:4" x14ac:dyDescent="0.2">
      <c r="A7174">
        <v>7113</v>
      </c>
      <c r="B7174" s="138">
        <f>'Expenditures 15-22'!E325</f>
        <v>18729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930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169243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136616</v>
      </c>
      <c r="D7199" s="2" t="str">
        <f t="shared" si="111"/>
        <v>Error?</v>
      </c>
    </row>
    <row r="7200" spans="1:4" x14ac:dyDescent="0.2">
      <c r="A7200">
        <v>7139</v>
      </c>
      <c r="B7200" s="138">
        <f>'Expenditures 15-22'!D330</f>
        <v>12968</v>
      </c>
      <c r="D7200" s="2" t="str">
        <f t="shared" si="111"/>
        <v>Error?</v>
      </c>
    </row>
    <row r="7201" spans="1:4" x14ac:dyDescent="0.2">
      <c r="A7201">
        <v>7140</v>
      </c>
      <c r="B7201" s="138">
        <f>'Expenditures 15-22'!E330</f>
        <v>151468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930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301982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136616</v>
      </c>
      <c r="D7216" s="2" t="str">
        <f t="shared" si="111"/>
        <v>Error?</v>
      </c>
    </row>
    <row r="7217" spans="1:4" x14ac:dyDescent="0.2">
      <c r="A7217">
        <v>7156</v>
      </c>
      <c r="B7217" s="138">
        <f>'Expenditures 15-22'!D342</f>
        <v>12968</v>
      </c>
      <c r="D7217" s="2" t="str">
        <f t="shared" si="111"/>
        <v>Error?</v>
      </c>
    </row>
    <row r="7218" spans="1:4" x14ac:dyDescent="0.2">
      <c r="A7218">
        <v>7157</v>
      </c>
      <c r="B7218" s="138">
        <f>'Expenditures 15-22'!E342</f>
        <v>151468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930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301982</v>
      </c>
      <c r="D7224" s="2" t="str">
        <f t="shared" si="111"/>
        <v>Error?</v>
      </c>
    </row>
    <row r="7225" spans="1:4" x14ac:dyDescent="0.2">
      <c r="A7225">
        <v>7164</v>
      </c>
      <c r="B7225" s="138">
        <f>'Expenditures 15-22'!K343</f>
        <v>255554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34862</v>
      </c>
      <c r="D7246" s="2" t="str">
        <f t="shared" si="112"/>
        <v>Error?</v>
      </c>
    </row>
    <row r="7247" spans="1:4" x14ac:dyDescent="0.2">
      <c r="A7247">
        <f t="shared" si="113"/>
        <v>7186</v>
      </c>
      <c r="B7247" s="138">
        <f>'Expenditures 15-22'!E7</f>
        <v>34</v>
      </c>
      <c r="D7247" s="2" t="str">
        <f t="shared" si="112"/>
        <v>Error?</v>
      </c>
    </row>
    <row r="7248" spans="1:4" x14ac:dyDescent="0.2">
      <c r="A7248">
        <f t="shared" si="113"/>
        <v>7187</v>
      </c>
      <c r="B7248" s="138">
        <f>'Expenditures 15-22'!F7</f>
        <v>17071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14612</v>
      </c>
      <c r="D7251" s="2" t="str">
        <f t="shared" si="112"/>
        <v>Error?</v>
      </c>
    </row>
    <row r="7252" spans="1:4" x14ac:dyDescent="0.2">
      <c r="A7252">
        <f t="shared" si="113"/>
        <v>7191</v>
      </c>
      <c r="B7252" s="138">
        <f>'Expenditures 15-22'!D9</f>
        <v>2968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7266</v>
      </c>
      <c r="D7624" s="2" t="str">
        <f t="shared" si="124"/>
        <v>Error?</v>
      </c>
      <c r="E7624" s="2" t="s">
        <v>19</v>
      </c>
    </row>
    <row r="7625" spans="1:5" x14ac:dyDescent="0.2">
      <c r="A7625">
        <f t="shared" si="123"/>
        <v>7564</v>
      </c>
      <c r="B7625" s="138">
        <f>'Cap Outlay Deprec 26'!I17</f>
        <v>726.6</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905222.6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42637</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2087202</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164158</v>
      </c>
      <c r="D7797" s="2" t="str">
        <f t="shared" si="127"/>
        <v>Error?</v>
      </c>
      <c r="E7797" s="4" t="s">
        <v>2018</v>
      </c>
    </row>
    <row r="7798" spans="1:5" x14ac:dyDescent="0.2">
      <c r="A7798">
        <v>7737</v>
      </c>
      <c r="B7798" s="138">
        <f>'Contracts Paid in CY 29'!F141</f>
        <v>121918</v>
      </c>
      <c r="D7798" s="2" t="str">
        <f t="shared" si="127"/>
        <v>Error?</v>
      </c>
      <c r="E7798" s="4" t="s">
        <v>2018</v>
      </c>
    </row>
    <row r="7799" spans="1:5" x14ac:dyDescent="0.2">
      <c r="A7799">
        <v>7738</v>
      </c>
      <c r="B7799" s="138">
        <f>'Contracts Paid in CY 29'!G141</f>
        <v>42240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1252</v>
      </c>
      <c r="B2" s="2421"/>
      <c r="C2" s="2421"/>
      <c r="D2" s="2421"/>
      <c r="E2" s="2421"/>
      <c r="F2" s="2421"/>
      <c r="G2" s="2421"/>
      <c r="H2" s="2421"/>
      <c r="I2" s="2421"/>
      <c r="J2" s="2421"/>
      <c r="K2" s="2421"/>
      <c r="L2" s="2421"/>
    </row>
    <row r="3" spans="1:29" ht="13.5" customHeight="1" x14ac:dyDescent="0.2">
      <c r="A3" s="2407" t="s">
        <v>1251</v>
      </c>
      <c r="B3" s="2407"/>
      <c r="C3" s="2407"/>
      <c r="D3" s="2407"/>
      <c r="E3" s="2407"/>
      <c r="F3" s="2407"/>
      <c r="G3" s="2407"/>
      <c r="H3" s="2407"/>
      <c r="I3" s="2407"/>
      <c r="J3" s="2407"/>
      <c r="K3" s="2407"/>
      <c r="L3" s="2407"/>
    </row>
    <row r="4" spans="1:29" ht="13.5" customHeight="1" x14ac:dyDescent="0.2">
      <c r="A4" s="2421" t="s">
        <v>1798</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1" t="str">
        <f>COVER!A17</f>
        <v>Morris Elementary School District #54</v>
      </c>
      <c r="B7" s="2402"/>
      <c r="C7" s="2402"/>
      <c r="D7" s="2439"/>
      <c r="E7" s="2440">
        <f>COVER!A13</f>
        <v>24032054002</v>
      </c>
      <c r="F7" s="2441"/>
      <c r="G7" s="2408" t="str">
        <f>COVER!T23</f>
        <v>066-005100</v>
      </c>
      <c r="H7" s="2409"/>
      <c r="I7" s="2409"/>
      <c r="J7" s="2409"/>
      <c r="K7" s="2409"/>
      <c r="L7" s="2410"/>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1"/>
      <c r="B9" s="2412"/>
      <c r="C9" s="2412"/>
      <c r="D9" s="2412"/>
      <c r="E9" s="2412"/>
      <c r="F9" s="2413"/>
      <c r="G9" s="2414" t="str">
        <f>COVER!T13</f>
        <v>Mack &amp; Associates, P.C.</v>
      </c>
      <c r="H9" s="2415"/>
      <c r="I9" s="2415"/>
      <c r="J9" s="2415"/>
      <c r="K9" s="2415"/>
      <c r="L9" s="2416"/>
    </row>
    <row r="10" spans="1:29" ht="13.5" customHeight="1" x14ac:dyDescent="0.2">
      <c r="A10" s="2398" t="str">
        <f>COVER!A38</f>
        <v>Dr. Shannon Dukek</v>
      </c>
      <c r="B10" s="2399"/>
      <c r="C10" s="2399"/>
      <c r="D10" s="2399"/>
      <c r="E10" s="2399"/>
      <c r="F10" s="2400"/>
      <c r="G10" s="2414" t="str">
        <f>COVER!T17</f>
        <v>116 E. Washington St., Suite One</v>
      </c>
      <c r="H10" s="2427"/>
      <c r="I10" s="2427"/>
      <c r="J10" s="2427"/>
      <c r="K10" s="2427"/>
      <c r="L10" s="2428"/>
    </row>
    <row r="11" spans="1:29" ht="13.5" customHeight="1" x14ac:dyDescent="0.2">
      <c r="A11" s="1185" t="s">
        <v>1598</v>
      </c>
      <c r="B11" s="1186"/>
      <c r="C11" s="1187"/>
      <c r="D11" s="1192"/>
      <c r="E11" s="1187"/>
      <c r="F11" s="1191"/>
      <c r="G11" s="2414" t="str">
        <f>COVER!T19</f>
        <v>Morris</v>
      </c>
      <c r="H11" s="2427"/>
      <c r="I11" s="2427"/>
      <c r="J11" s="2427"/>
      <c r="K11" s="2427"/>
      <c r="L11" s="2428"/>
    </row>
    <row r="12" spans="1:29" ht="13.5" customHeight="1" x14ac:dyDescent="0.2">
      <c r="A12" s="2432" t="s">
        <v>1597</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1599</v>
      </c>
      <c r="H13" s="2423"/>
      <c r="I13" s="2435" t="str">
        <f>COVER!T25</f>
        <v>tmack@mackcpas.com</v>
      </c>
      <c r="J13" s="2436"/>
      <c r="K13" s="2436"/>
      <c r="L13" s="2437"/>
    </row>
    <row r="14" spans="1:29" ht="13.5" customHeight="1" x14ac:dyDescent="0.2">
      <c r="A14" s="2414" t="str">
        <f>COVER!A19</f>
        <v>54 White Oak Drive</v>
      </c>
      <c r="B14" s="2427"/>
      <c r="C14" s="2427"/>
      <c r="D14" s="2427"/>
      <c r="E14" s="2427"/>
      <c r="F14" s="2428"/>
      <c r="G14" s="1196" t="s">
        <v>1246</v>
      </c>
      <c r="H14" s="1194"/>
      <c r="I14" s="1194"/>
      <c r="J14" s="1194"/>
      <c r="K14" s="1194"/>
      <c r="L14" s="1195"/>
    </row>
    <row r="15" spans="1:29" ht="13.5" customHeight="1" x14ac:dyDescent="0.2">
      <c r="A15" s="2414" t="str">
        <f>COVER!A21</f>
        <v xml:space="preserve">Morris  </v>
      </c>
      <c r="B15" s="2427"/>
      <c r="C15" s="2427"/>
      <c r="D15" s="2427"/>
      <c r="E15" s="2427"/>
      <c r="F15" s="2428"/>
      <c r="G15" s="2424" t="str">
        <f>COVER!T15</f>
        <v>Tawnya Mack, CPA</v>
      </c>
      <c r="H15" s="2425"/>
      <c r="I15" s="2425"/>
      <c r="J15" s="2425"/>
      <c r="K15" s="2425"/>
      <c r="L15" s="2426"/>
    </row>
    <row r="16" spans="1:29" ht="12.2" customHeight="1" x14ac:dyDescent="0.2">
      <c r="A16" s="2404">
        <f>COVER!A25</f>
        <v>60450</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1245</v>
      </c>
      <c r="H17" s="1194"/>
      <c r="I17" s="1194"/>
      <c r="J17" s="1194"/>
      <c r="K17" s="1198" t="s">
        <v>1244</v>
      </c>
      <c r="L17" s="1191"/>
      <c r="M17" s="1184"/>
    </row>
    <row r="18" spans="1:13" ht="12.2" customHeight="1" x14ac:dyDescent="0.2">
      <c r="A18" s="2398"/>
      <c r="B18" s="2399"/>
      <c r="C18" s="2399"/>
      <c r="D18" s="2399"/>
      <c r="E18" s="2399"/>
      <c r="F18" s="2400"/>
      <c r="G18" s="2401" t="str">
        <f>COVER!T21</f>
        <v>815-942-3306</v>
      </c>
      <c r="H18" s="2402"/>
      <c r="I18" s="2402"/>
      <c r="J18" s="2402"/>
      <c r="K18" s="2401" t="str">
        <f>COVER!X21</f>
        <v>815-942-9430</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Morris Elementary School District #54</v>
      </c>
      <c r="B1" s="2438"/>
      <c r="C1" s="2438"/>
      <c r="D1" s="2438"/>
    </row>
    <row r="2" spans="1:11" s="1215" customFormat="1" ht="12.75" x14ac:dyDescent="0.2">
      <c r="A2" s="2443">
        <f>'Single Audit Cover'!E7</f>
        <v>24032054002</v>
      </c>
      <c r="B2" s="2444"/>
      <c r="C2" s="2444"/>
      <c r="D2" s="2444"/>
    </row>
    <row r="3" spans="1:11" s="1215" customFormat="1" ht="12.75" x14ac:dyDescent="0.2">
      <c r="A3" s="2442" t="s">
        <v>1592</v>
      </c>
      <c r="B3" s="2438"/>
      <c r="C3" s="2438"/>
      <c r="D3" s="2438"/>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Morris Elementary School District #54</v>
      </c>
      <c r="B1" s="2446"/>
      <c r="C1" s="2446"/>
      <c r="D1" s="2446"/>
      <c r="E1" s="2446"/>
    </row>
    <row r="2" spans="1:5" x14ac:dyDescent="0.2">
      <c r="A2" s="2447">
        <f>'Single Audit Cover'!E7</f>
        <v>24032054002</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60" t="s">
        <v>1304</v>
      </c>
    </row>
    <row r="10" spans="1:5" x14ac:dyDescent="0.2">
      <c r="A10" s="1261" t="s">
        <v>1303</v>
      </c>
      <c r="B10" s="1262" t="s">
        <v>1302</v>
      </c>
      <c r="C10" s="1262"/>
      <c r="D10" s="1263">
        <f>SUM('Acct Summary 7-8'!C7:K7)</f>
        <v>678782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36643</v>
      </c>
    </row>
    <row r="15" spans="1:5" x14ac:dyDescent="0.2">
      <c r="A15" s="1261"/>
      <c r="B15" s="1262"/>
      <c r="C15" s="1262"/>
    </row>
    <row r="16" spans="1:5" x14ac:dyDescent="0.2">
      <c r="A16" s="1261" t="s">
        <v>1954</v>
      </c>
      <c r="B16" s="1262"/>
      <c r="C16" s="1262"/>
    </row>
    <row r="17" spans="1:4" x14ac:dyDescent="0.2">
      <c r="A17" s="1261" t="s">
        <v>1600</v>
      </c>
      <c r="B17" s="1262" t="s">
        <v>1297</v>
      </c>
      <c r="C17" s="1262"/>
      <c r="D17" s="1264">
        <f>-SUM('Revenues 9-14'!C271:D271,'Revenues 9-14'!F271:G271)</f>
        <v>-17614</v>
      </c>
    </row>
    <row r="19" spans="1:4" ht="13.5" thickBot="1" x14ac:dyDescent="0.25">
      <c r="A19" s="1265" t="s">
        <v>1296</v>
      </c>
      <c r="D19" s="1266">
        <f>SUM(D10:D17)</f>
        <v>697811</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1294</v>
      </c>
      <c r="D32" s="1263">
        <f>SUM(D19:D30)</f>
        <v>697811</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1288</v>
      </c>
      <c r="C47" s="1272"/>
      <c r="D47" s="1273">
        <f>SUM(D35:D45)</f>
        <v>0</v>
      </c>
    </row>
    <row r="49" spans="2:4" x14ac:dyDescent="0.2">
      <c r="B49" s="1272" t="s">
        <v>1287</v>
      </c>
      <c r="C49" s="1272"/>
      <c r="D49" s="1273">
        <f>D32-D47</f>
        <v>697811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Morris Elementary School District #54</v>
      </c>
      <c r="B1" s="2451"/>
      <c r="C1" s="2451"/>
      <c r="D1" s="2451"/>
      <c r="E1" s="2451"/>
      <c r="F1" s="2451"/>
    </row>
    <row r="2" spans="1:7" ht="13.5" customHeight="1" x14ac:dyDescent="0.2">
      <c r="A2" s="2452">
        <f>'Single Audit Cover'!E7</f>
        <v>24032054002</v>
      </c>
      <c r="B2" s="2452"/>
      <c r="C2" s="2452"/>
      <c r="D2" s="2452"/>
      <c r="E2" s="2452"/>
      <c r="F2" s="2452"/>
      <c r="G2" s="1275"/>
    </row>
    <row r="3" spans="1:7" ht="15.75" customHeight="1" x14ac:dyDescent="0.2">
      <c r="A3" s="2453" t="s">
        <v>1332</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1830</v>
      </c>
      <c r="C6" s="317"/>
      <c r="D6" s="317"/>
    </row>
    <row r="7" spans="1:7" ht="60.95" customHeight="1" x14ac:dyDescent="0.2">
      <c r="A7" s="2450" t="s">
        <v>1831</v>
      </c>
      <c r="B7" s="2450"/>
      <c r="C7" s="2450"/>
      <c r="D7" s="2450"/>
      <c r="E7" s="2450"/>
      <c r="F7" s="245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50" t="s">
        <v>1833</v>
      </c>
      <c r="B13" s="2450"/>
      <c r="C13" s="2450"/>
      <c r="D13" s="2450"/>
      <c r="E13" s="2450"/>
      <c r="F13" s="2450"/>
    </row>
    <row r="14" spans="1:7" ht="9.75" customHeight="1" x14ac:dyDescent="0.2">
      <c r="C14" s="1260"/>
      <c r="D14" s="1260"/>
    </row>
    <row r="15" spans="1:7" ht="13.5" customHeight="1" x14ac:dyDescent="0.2">
      <c r="C15" s="1870" t="s">
        <v>1331</v>
      </c>
      <c r="D15" s="2456" t="s">
        <v>1330</v>
      </c>
      <c r="E15" s="2456"/>
      <c r="F15" s="2456"/>
    </row>
    <row r="16" spans="1:7" ht="13.5" customHeight="1" x14ac:dyDescent="0.2">
      <c r="A16" s="1282"/>
      <c r="B16" s="1276" t="s">
        <v>1329</v>
      </c>
      <c r="C16" s="1870" t="s">
        <v>1328</v>
      </c>
      <c r="D16" s="2457" t="s">
        <v>1669</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59" t="s">
        <v>1834</v>
      </c>
      <c r="B32" s="2459"/>
      <c r="C32" s="2459"/>
      <c r="D32" s="2459"/>
      <c r="E32" s="2459"/>
      <c r="F32" s="2459"/>
    </row>
    <row r="33" spans="1:6" ht="13.5" customHeight="1" x14ac:dyDescent="0.2">
      <c r="A33" s="328" t="s">
        <v>1508</v>
      </c>
      <c r="B33" s="328"/>
      <c r="C33" s="1288">
        <v>0</v>
      </c>
      <c r="D33" s="1927"/>
      <c r="E33" s="1286"/>
    </row>
    <row r="34" spans="1:6" ht="13.5" customHeight="1" x14ac:dyDescent="0.2">
      <c r="A34" s="328" t="s">
        <v>1947</v>
      </c>
      <c r="B34" s="328"/>
      <c r="C34" s="1289">
        <v>0</v>
      </c>
      <c r="D34" s="1927" t="s">
        <v>1670</v>
      </c>
      <c r="E34" s="2460">
        <f>+C33+C34</f>
        <v>0</v>
      </c>
      <c r="F34" s="2461"/>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c r="D38" s="1927"/>
      <c r="E38" s="1286"/>
    </row>
    <row r="39" spans="1:6" ht="14.25" customHeight="1" x14ac:dyDescent="0.2">
      <c r="A39" s="328"/>
      <c r="B39" s="328" t="s">
        <v>1510</v>
      </c>
      <c r="C39" s="1292"/>
      <c r="D39" s="1927"/>
      <c r="E39" s="1286"/>
    </row>
    <row r="40" spans="1:6" ht="14.25" customHeight="1" x14ac:dyDescent="0.2">
      <c r="A40" s="328"/>
      <c r="B40" s="328" t="s">
        <v>1511</v>
      </c>
      <c r="C40" s="1292"/>
      <c r="D40" s="1927"/>
      <c r="E40" s="1286"/>
    </row>
    <row r="41" spans="1:6" ht="14.25" customHeight="1" x14ac:dyDescent="0.2">
      <c r="A41" s="328"/>
      <c r="B41" s="328" t="s">
        <v>1512</v>
      </c>
      <c r="C41" s="1292"/>
      <c r="D41" s="1927"/>
      <c r="E41" s="1286"/>
    </row>
    <row r="42" spans="1:6" ht="14.25" customHeight="1" x14ac:dyDescent="0.2">
      <c r="A42" s="328" t="s">
        <v>1513</v>
      </c>
      <c r="B42" s="328"/>
      <c r="C42" s="1925"/>
      <c r="D42" s="1927"/>
      <c r="E42" s="1286"/>
    </row>
    <row r="43" spans="1:6" ht="14.25" customHeight="1" x14ac:dyDescent="0.2">
      <c r="A43" s="328" t="s">
        <v>1514</v>
      </c>
      <c r="B43" s="328"/>
      <c r="C43" s="1293"/>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1671</v>
      </c>
      <c r="C49" s="2462"/>
      <c r="D49" s="2462"/>
      <c r="E49" s="1399"/>
    </row>
    <row r="50" spans="1:5" s="1300" customFormat="1" ht="3.75" customHeight="1" x14ac:dyDescent="0.2">
      <c r="A50" s="1299"/>
      <c r="B50" s="1869"/>
      <c r="C50" s="1869"/>
      <c r="D50" s="1869"/>
      <c r="E50" s="1399"/>
    </row>
    <row r="51" spans="1:5" s="1300" customFormat="1" ht="20.25" customHeight="1" x14ac:dyDescent="0.2">
      <c r="A51" s="1301">
        <v>6</v>
      </c>
      <c r="B51" s="2458" t="s">
        <v>1631</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Morris Elementary School District #54</v>
      </c>
      <c r="C1" s="2463"/>
      <c r="D1" s="2463"/>
      <c r="E1" s="2463"/>
      <c r="F1" s="2463"/>
      <c r="G1" s="2463"/>
      <c r="H1" s="2463"/>
      <c r="I1" s="2463"/>
      <c r="J1" s="2463"/>
      <c r="K1" s="2463"/>
      <c r="L1" s="2463"/>
      <c r="M1" s="2463"/>
    </row>
    <row r="2" spans="2:14" ht="15" x14ac:dyDescent="0.2">
      <c r="B2" s="2452">
        <f>'Single Audit Cover'!E7</f>
        <v>24032054002</v>
      </c>
      <c r="C2" s="2452"/>
      <c r="D2" s="2452"/>
      <c r="E2" s="2452"/>
      <c r="F2" s="2452"/>
      <c r="G2" s="2452"/>
      <c r="H2" s="2452"/>
      <c r="I2" s="2452"/>
      <c r="J2" s="2452"/>
      <c r="K2" s="2452"/>
      <c r="L2" s="2452"/>
      <c r="M2" s="2452"/>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1948</v>
      </c>
      <c r="K8" s="1319" t="s">
        <v>1322</v>
      </c>
      <c r="L8" s="1320" t="s">
        <v>1318</v>
      </c>
      <c r="M8" s="1321" t="s">
        <v>30</v>
      </c>
    </row>
    <row r="9" spans="2:14" ht="14.25" x14ac:dyDescent="0.2">
      <c r="B9" s="1325" t="s">
        <v>1320</v>
      </c>
      <c r="C9" s="1313" t="s">
        <v>1837</v>
      </c>
      <c r="D9" s="1314" t="s">
        <v>1838</v>
      </c>
      <c r="E9" s="1322" t="s">
        <v>1662</v>
      </c>
      <c r="F9" s="1323" t="s">
        <v>1948</v>
      </c>
      <c r="G9" s="1324" t="s">
        <v>1662</v>
      </c>
      <c r="H9" s="1317" t="s">
        <v>1663</v>
      </c>
      <c r="I9" s="1319" t="s">
        <v>1948</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Normal="100" workbookViewId="0">
      <selection activeCell="B26" sqref="B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2091</v>
      </c>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t="s">
        <v>2117</v>
      </c>
      <c r="E118" s="322"/>
      <c r="F118" s="324"/>
      <c r="G118" s="1863"/>
      <c r="H118" s="322"/>
      <c r="I118" s="304"/>
    </row>
    <row r="119" spans="1:9" s="181" customFormat="1" ht="11.25" customHeight="1" x14ac:dyDescent="0.2">
      <c r="A119" s="325"/>
      <c r="B119" s="325"/>
      <c r="C119" s="326"/>
      <c r="D119" s="327" t="s">
        <v>378</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Morris Elementary School District #54</v>
      </c>
      <c r="C1" s="2471"/>
      <c r="D1" s="2471"/>
      <c r="E1" s="2471"/>
      <c r="F1" s="2471"/>
      <c r="G1" s="2471"/>
      <c r="H1" s="2471"/>
      <c r="I1" s="2471"/>
      <c r="J1" s="1422"/>
    </row>
    <row r="2" spans="2:10" s="317" customFormat="1" ht="12.75" customHeight="1" x14ac:dyDescent="0.2">
      <c r="B2" s="2472">
        <f>'Single Audit Cover'!E7</f>
        <v>24032054002</v>
      </c>
      <c r="C2" s="2473"/>
      <c r="D2" s="2473"/>
      <c r="E2" s="2473"/>
      <c r="F2" s="2473"/>
      <c r="G2" s="2473"/>
      <c r="H2" s="2473"/>
      <c r="I2" s="2473"/>
      <c r="J2" s="1422"/>
    </row>
    <row r="3" spans="2:10" s="317" customFormat="1" ht="12.75" customHeight="1" x14ac:dyDescent="0.2">
      <c r="B3" s="2474" t="s">
        <v>1346</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1345</v>
      </c>
      <c r="C7" s="2475"/>
      <c r="D7" s="2475"/>
      <c r="E7" s="2475"/>
      <c r="F7" s="2475"/>
      <c r="G7" s="2475"/>
      <c r="H7" s="2475"/>
      <c r="I7" s="2475"/>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76"/>
      <c r="D11" s="2476"/>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77"/>
      <c r="E29" s="2477"/>
      <c r="F29" s="2477"/>
      <c r="G29" s="2477"/>
      <c r="H29" s="2477"/>
      <c r="I29" s="2477"/>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8" t="s">
        <v>1853</v>
      </c>
      <c r="D37" s="2479"/>
      <c r="E37" s="2479"/>
      <c r="F37" s="2480"/>
      <c r="G37" s="2478" t="s">
        <v>1673</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1674</v>
      </c>
      <c r="D43" s="2485"/>
      <c r="E43" s="2485"/>
      <c r="F43" s="2486"/>
      <c r="G43" s="2487">
        <f>SUM(G38:I42)</f>
        <v>0</v>
      </c>
      <c r="H43" s="2487"/>
      <c r="I43" s="2487"/>
    </row>
    <row r="44" spans="2:9" ht="12.75" customHeight="1" x14ac:dyDescent="0.2"/>
    <row r="45" spans="2:9" ht="12.75" customHeight="1" x14ac:dyDescent="0.2">
      <c r="B45" s="1435" t="s">
        <v>1950</v>
      </c>
      <c r="D45" s="2488">
        <v>0</v>
      </c>
      <c r="E45" s="2489"/>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90"/>
      <c r="F49" s="2490"/>
      <c r="G49" s="2490"/>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Morris Elementary School District #54</v>
      </c>
      <c r="C1" s="2470"/>
      <c r="D1" s="2470"/>
      <c r="E1" s="2470"/>
      <c r="F1" s="2470"/>
      <c r="G1" s="2470"/>
      <c r="H1" s="2470"/>
      <c r="I1" s="2470"/>
      <c r="J1" s="2470"/>
      <c r="K1" s="2470"/>
      <c r="L1" s="1374"/>
      <c r="M1" s="1374"/>
    </row>
    <row r="2" spans="1:13" ht="12" customHeight="1" x14ac:dyDescent="0.2">
      <c r="B2" s="2472">
        <f>'Single Audit Cover'!E7</f>
        <v>24032054002</v>
      </c>
      <c r="C2" s="2472"/>
      <c r="D2" s="2472"/>
      <c r="E2" s="2472"/>
      <c r="F2" s="2472"/>
      <c r="G2" s="2472"/>
      <c r="H2" s="2472"/>
      <c r="I2" s="2472"/>
      <c r="J2" s="2472"/>
      <c r="K2" s="2472"/>
      <c r="L2" s="1375"/>
      <c r="M2" s="1376"/>
    </row>
    <row r="3" spans="1:13" ht="10.35" customHeight="1" x14ac:dyDescent="0.2">
      <c r="B3" s="2493" t="s">
        <v>1346</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1362</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Morris Elementary School District #54</v>
      </c>
      <c r="C1" s="2497"/>
      <c r="D1" s="2497"/>
      <c r="E1" s="2497"/>
      <c r="F1" s="2497"/>
      <c r="G1" s="2497"/>
      <c r="H1" s="2497"/>
      <c r="I1" s="2497"/>
      <c r="J1" s="2497"/>
      <c r="K1" s="2497"/>
      <c r="L1" s="1465"/>
    </row>
    <row r="2" spans="1:12" ht="12.75" customHeight="1" x14ac:dyDescent="0.2">
      <c r="B2" s="2498">
        <f>'Single Audit Cover'!E7</f>
        <v>24032054002</v>
      </c>
      <c r="C2" s="2498"/>
      <c r="D2" s="2498"/>
      <c r="E2" s="2498"/>
      <c r="F2" s="2498"/>
      <c r="G2" s="2498"/>
      <c r="H2" s="2498"/>
      <c r="I2" s="2498"/>
      <c r="J2" s="2498"/>
      <c r="K2" s="2498"/>
      <c r="L2" s="1466"/>
    </row>
    <row r="3" spans="1:12" ht="12.75" customHeight="1" x14ac:dyDescent="0.2">
      <c r="B3" s="2493" t="s">
        <v>1346</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1230</v>
      </c>
      <c r="C5" s="1260"/>
      <c r="L5" s="322"/>
    </row>
    <row r="6" spans="1:12" ht="30.75" customHeight="1" x14ac:dyDescent="0.2">
      <c r="A6" s="322"/>
      <c r="B6" s="2499" t="s">
        <v>1374</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0"/>
      <c r="E14" s="2500"/>
      <c r="F14" s="2500"/>
      <c r="H14" s="1475" t="s">
        <v>1369</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1"/>
      <c r="E16" s="2501"/>
      <c r="F16" s="2501"/>
      <c r="G16" s="2501"/>
      <c r="H16" s="2501"/>
      <c r="I16" s="2501"/>
      <c r="J16" s="2501"/>
      <c r="K16" s="2501"/>
      <c r="L16" s="322"/>
    </row>
    <row r="17" spans="2:12" ht="13.5" customHeight="1" x14ac:dyDescent="0.2">
      <c r="B17" s="1387" t="s">
        <v>1367</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Morris Elementary School District #54</v>
      </c>
      <c r="C1" s="2470"/>
      <c r="D1" s="2470"/>
      <c r="E1" s="1491"/>
    </row>
    <row r="2" spans="2:5" s="1282" customFormat="1" ht="12.75" customHeight="1" x14ac:dyDescent="0.2">
      <c r="B2" s="2472">
        <f>'Single Audit Cover'!E7</f>
        <v>24032054002</v>
      </c>
      <c r="C2" s="2472"/>
      <c r="D2" s="2472"/>
      <c r="E2" s="1492"/>
    </row>
    <row r="3" spans="2:5" ht="12.75" customHeight="1" x14ac:dyDescent="0.2">
      <c r="B3" s="2493" t="s">
        <v>1868</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activeCell="L10" sqref="L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217033331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9.1999999999999998E-3</v>
      </c>
      <c r="E10" s="356" t="s">
        <v>1061</v>
      </c>
      <c r="F10" s="355">
        <v>2.5000000000000001E-3</v>
      </c>
      <c r="G10" s="356" t="s">
        <v>1061</v>
      </c>
      <c r="H10" s="355">
        <v>1.1999999999999999E-3</v>
      </c>
      <c r="I10" s="356" t="s">
        <v>1062</v>
      </c>
      <c r="J10" s="1754">
        <f>ROUND(D10+F10+H10,5)</f>
        <v>1.29E-2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8826965</v>
      </c>
      <c r="E16" s="356"/>
      <c r="F16" s="1755">
        <f>SUM('Acct Summary 7-8'!C17,'Acct Summary 7-8'!D17,'Acct Summary 7-8'!F17)</f>
        <v>10217814</v>
      </c>
      <c r="G16" s="356"/>
      <c r="H16" s="1755">
        <f>SUM(D16-F16)</f>
        <v>-1390849</v>
      </c>
      <c r="I16" s="222"/>
      <c r="J16" s="1755">
        <f>SUM('Acct Summary 7-8'!C81,'Acct Summary 7-8'!D81,'Acct Summary 7-8'!F81,'Acct Summary 7-8'!I81)</f>
        <v>2443496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2082</v>
      </c>
      <c r="C31" s="367" t="s">
        <v>606</v>
      </c>
      <c r="D31" s="237" t="s">
        <v>1131</v>
      </c>
      <c r="E31" s="222"/>
      <c r="F31" s="222"/>
      <c r="G31" s="363"/>
      <c r="H31" s="1757">
        <f>IF(B31="X",(J7*0.069),IF(B32="X",(J7*0.138),"Enter x in a.or b."))</f>
        <v>14975299.839000002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21106806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Morris Elementary School District #54</v>
      </c>
      <c r="E7" s="391"/>
      <c r="G7" s="252"/>
      <c r="H7" s="387"/>
      <c r="I7" s="387"/>
      <c r="J7" s="387"/>
      <c r="K7" s="387"/>
      <c r="L7" s="329"/>
      <c r="M7" s="329"/>
      <c r="N7" s="329"/>
      <c r="O7" s="329"/>
      <c r="P7" s="329"/>
    </row>
    <row r="8" spans="1:18" ht="12.75" x14ac:dyDescent="0.2">
      <c r="A8" s="329"/>
      <c r="B8" s="329"/>
      <c r="C8" s="389" t="s">
        <v>1186</v>
      </c>
      <c r="D8" s="392">
        <f>COVER!A13</f>
        <v>24032054002</v>
      </c>
      <c r="E8" s="393"/>
      <c r="G8" s="329"/>
      <c r="H8" s="329"/>
      <c r="I8" s="329"/>
      <c r="J8" s="329"/>
      <c r="K8" s="329"/>
      <c r="L8" s="329"/>
      <c r="M8" s="329"/>
      <c r="N8" s="329"/>
      <c r="O8" s="329"/>
      <c r="P8" s="329"/>
    </row>
    <row r="9" spans="1:18" ht="12.75" x14ac:dyDescent="0.2">
      <c r="A9" s="329"/>
      <c r="B9" s="329"/>
      <c r="C9" s="389" t="s">
        <v>736</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2443496</v>
      </c>
      <c r="I12" s="404"/>
      <c r="J12" s="404"/>
      <c r="K12" s="405">
        <f>TRUNC((H12/H13*100000),5)/100000</f>
        <v>0.27682176149999999</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8826965</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2</v>
      </c>
      <c r="P16" s="216"/>
      <c r="R16" s="384"/>
    </row>
    <row r="17" spans="1:18" s="408" customFormat="1" ht="11.25" x14ac:dyDescent="0.2">
      <c r="A17" s="218"/>
      <c r="B17" s="401"/>
      <c r="C17" s="218" t="s">
        <v>829</v>
      </c>
      <c r="D17" s="218"/>
      <c r="E17" s="218"/>
      <c r="F17" s="218" t="s">
        <v>463</v>
      </c>
      <c r="G17" s="402"/>
      <c r="H17" s="403">
        <f>SUM('Acct Summary 7-8'!C17+'Acct Summary 7-8'!D17+'Acct Summary 7-8'!F17)</f>
        <v>10217814</v>
      </c>
      <c r="I17" s="404"/>
      <c r="J17" s="416"/>
      <c r="K17" s="405">
        <f>TRUNC((H17/H18*100000),5)/100000</f>
        <v>1.1575682014999999</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8826965</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1.1221919</v>
      </c>
      <c r="K20" s="405" t="str">
        <f>IF(K17&lt;=1,"0",IF(AND(O16="2", J20 &gt; 2),TRUNC(((K12-0.1)/(K17-1)*100),5)/100,IF(AND(O16 = "1", J20 &gt; 2),TRUNC(((K12-0.1)/(K17-1)*100),5)/100,IF(AND(O16="1", J20 &gt;1),TRUNC(((K12-0.1)/(K17-1)*100),5)/100,""))))</f>
        <v/>
      </c>
      <c r="L20" s="218"/>
      <c r="M20" s="360" t="s">
        <v>1206</v>
      </c>
      <c r="N20" s="360"/>
      <c r="O20" s="411">
        <f>(O16+O17)*O18</f>
        <v>0.7</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2443496</v>
      </c>
      <c r="I24" s="422"/>
      <c r="J24" s="422"/>
      <c r="K24" s="423">
        <f>TRUNC(((H24/H25*100000)/100000),2)</f>
        <v>86.09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28382.81667</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2379770.4744199999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21106806</v>
      </c>
      <c r="I32" s="420"/>
      <c r="J32" s="420"/>
      <c r="K32" s="423">
        <f>TRUNC(100-((((H32/H33*100))*100)/100),2)</f>
        <v>-40.94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14975299.839000002</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2.8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A47" sqref="A47"/>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81"/>
      <c r="D3" s="1582"/>
      <c r="E3" s="1582"/>
      <c r="F3" s="1582"/>
      <c r="G3" s="1582"/>
      <c r="H3" s="1582"/>
      <c r="I3" s="1582"/>
      <c r="J3" s="1582"/>
      <c r="K3" s="1582"/>
      <c r="L3" s="1582"/>
      <c r="M3" s="1583"/>
      <c r="N3" s="1584"/>
    </row>
    <row r="4" spans="1:14" ht="13.5" customHeight="1" x14ac:dyDescent="0.2">
      <c r="A4" s="463" t="s">
        <v>1749</v>
      </c>
      <c r="B4" s="464"/>
      <c r="C4" s="465">
        <v>1308096</v>
      </c>
      <c r="D4" s="466">
        <v>1056</v>
      </c>
      <c r="E4" s="466">
        <v>1691</v>
      </c>
      <c r="F4" s="466">
        <v>33080</v>
      </c>
      <c r="G4" s="466">
        <v>201915</v>
      </c>
      <c r="H4" s="466">
        <v>702654</v>
      </c>
      <c r="I4" s="466">
        <v>7211</v>
      </c>
      <c r="J4" s="467">
        <v>1588</v>
      </c>
      <c r="K4" s="466">
        <v>107234</v>
      </c>
      <c r="L4" s="466">
        <v>761743</v>
      </c>
      <c r="M4" s="468"/>
      <c r="N4" s="469"/>
    </row>
    <row r="5" spans="1:14" x14ac:dyDescent="0.2">
      <c r="A5" s="463" t="s">
        <v>1048</v>
      </c>
      <c r="B5" s="470">
        <v>120</v>
      </c>
      <c r="C5" s="465">
        <v>634108</v>
      </c>
      <c r="D5" s="466">
        <v>1332</v>
      </c>
      <c r="E5" s="466">
        <v>1236478</v>
      </c>
      <c r="F5" s="466">
        <v>358758</v>
      </c>
      <c r="G5" s="466">
        <v>559103</v>
      </c>
      <c r="H5" s="466">
        <v>6711</v>
      </c>
      <c r="I5" s="466">
        <v>99855</v>
      </c>
      <c r="J5" s="467">
        <v>748038</v>
      </c>
      <c r="K5" s="471">
        <v>968916</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v>20250</v>
      </c>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1962454</v>
      </c>
      <c r="D13" s="1759">
        <f t="shared" ref="D13:L13" si="0">SUM(D4:D12)</f>
        <v>2388</v>
      </c>
      <c r="E13" s="1759">
        <f t="shared" si="0"/>
        <v>1238169</v>
      </c>
      <c r="F13" s="1759">
        <f t="shared" si="0"/>
        <v>391838</v>
      </c>
      <c r="G13" s="1759">
        <f t="shared" si="0"/>
        <v>761018</v>
      </c>
      <c r="H13" s="1759">
        <f t="shared" si="0"/>
        <v>709365</v>
      </c>
      <c r="I13" s="1759">
        <f t="shared" si="0"/>
        <v>107066</v>
      </c>
      <c r="J13" s="1759">
        <f t="shared" si="0"/>
        <v>749626</v>
      </c>
      <c r="K13" s="1759">
        <f t="shared" si="0"/>
        <v>1076150</v>
      </c>
      <c r="L13" s="1759">
        <f t="shared" si="0"/>
        <v>761743</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465255</v>
      </c>
      <c r="N16" s="484"/>
    </row>
    <row r="17" spans="1:14" s="485" customFormat="1" ht="12.75" customHeight="1" x14ac:dyDescent="0.2">
      <c r="A17" s="482" t="s">
        <v>1469</v>
      </c>
      <c r="B17" s="483">
        <v>230</v>
      </c>
      <c r="C17" s="477"/>
      <c r="D17" s="477"/>
      <c r="E17" s="477"/>
      <c r="F17" s="477"/>
      <c r="G17" s="477"/>
      <c r="H17" s="477"/>
      <c r="I17" s="477"/>
      <c r="J17" s="477"/>
      <c r="K17" s="477"/>
      <c r="L17" s="477"/>
      <c r="M17" s="467">
        <v>24288532</v>
      </c>
      <c r="N17" s="484"/>
    </row>
    <row r="18" spans="1:14" s="485" customFormat="1" ht="12.75" customHeight="1" x14ac:dyDescent="0.2">
      <c r="A18" s="482" t="s">
        <v>1470</v>
      </c>
      <c r="B18" s="483">
        <v>240</v>
      </c>
      <c r="C18" s="477"/>
      <c r="D18" s="477"/>
      <c r="E18" s="477"/>
      <c r="F18" s="477"/>
      <c r="G18" s="477"/>
      <c r="H18" s="477"/>
      <c r="I18" s="477"/>
      <c r="J18" s="477"/>
      <c r="K18" s="477"/>
      <c r="L18" s="477"/>
      <c r="M18" s="467">
        <v>29271</v>
      </c>
      <c r="N18" s="484"/>
    </row>
    <row r="19" spans="1:14" s="485" customFormat="1" ht="12.75" customHeight="1" x14ac:dyDescent="0.2">
      <c r="A19" s="482" t="s">
        <v>1471</v>
      </c>
      <c r="B19" s="483">
        <v>250</v>
      </c>
      <c r="C19" s="477"/>
      <c r="D19" s="477"/>
      <c r="E19" s="477"/>
      <c r="F19" s="477"/>
      <c r="G19" s="477"/>
      <c r="H19" s="477"/>
      <c r="I19" s="477"/>
      <c r="J19" s="477"/>
      <c r="K19" s="477"/>
      <c r="L19" s="477"/>
      <c r="M19" s="467">
        <v>119796</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1238169</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19868637</v>
      </c>
    </row>
    <row r="23" spans="1:14" ht="13.5" customHeight="1" thickBot="1" x14ac:dyDescent="0.25">
      <c r="A23" s="1758" t="s">
        <v>663</v>
      </c>
      <c r="B23" s="1763"/>
      <c r="C23" s="468"/>
      <c r="D23" s="468"/>
      <c r="E23" s="468"/>
      <c r="F23" s="468"/>
      <c r="G23" s="468"/>
      <c r="H23" s="468"/>
      <c r="I23" s="468"/>
      <c r="J23" s="468"/>
      <c r="K23" s="468"/>
      <c r="L23" s="468"/>
      <c r="M23" s="1710">
        <f>SUM(M15:M22)</f>
        <v>24902854</v>
      </c>
      <c r="N23" s="1710">
        <f>SUM(N21:N22)</f>
        <v>21106806</v>
      </c>
    </row>
    <row r="24" spans="1:14" ht="18" customHeight="1" thickTop="1" x14ac:dyDescent="0.2">
      <c r="A24" s="2129" t="s">
        <v>618</v>
      </c>
      <c r="B24" s="2130"/>
      <c r="C24" s="1590"/>
      <c r="D24" s="1587"/>
      <c r="E24" s="1587"/>
      <c r="F24" s="1587"/>
      <c r="G24" s="1587"/>
      <c r="H24" s="1587"/>
      <c r="I24" s="1587"/>
      <c r="J24" s="1587"/>
      <c r="K24" s="1587"/>
      <c r="L24" s="1587"/>
      <c r="M24" s="1586"/>
      <c r="N24" s="1591"/>
    </row>
    <row r="25" spans="1:14" x14ac:dyDescent="0.2">
      <c r="A25" s="473" t="s">
        <v>665</v>
      </c>
      <c r="B25" s="470">
        <v>410</v>
      </c>
      <c r="C25" s="478"/>
      <c r="D25" s="478">
        <v>20250</v>
      </c>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f>166062+11992</f>
        <v>178054</v>
      </c>
      <c r="M33" s="468"/>
      <c r="N33" s="469"/>
    </row>
    <row r="34" spans="1:14" ht="13.5" customHeight="1" thickBot="1" x14ac:dyDescent="0.25">
      <c r="A34" s="1760" t="s">
        <v>674</v>
      </c>
      <c r="B34" s="1761"/>
      <c r="C34" s="1762">
        <f>SUM(C25:C33)</f>
        <v>0</v>
      </c>
      <c r="D34" s="1762">
        <f t="shared" ref="D34:K34" si="1">SUM(D25:D33)</f>
        <v>20250</v>
      </c>
      <c r="E34" s="1762">
        <f t="shared" si="1"/>
        <v>0</v>
      </c>
      <c r="F34" s="1762">
        <f t="shared" si="1"/>
        <v>0</v>
      </c>
      <c r="G34" s="1762">
        <f t="shared" si="1"/>
        <v>0</v>
      </c>
      <c r="H34" s="1762">
        <f t="shared" si="1"/>
        <v>0</v>
      </c>
      <c r="I34" s="1762">
        <f t="shared" si="1"/>
        <v>0</v>
      </c>
      <c r="J34" s="1762">
        <f t="shared" si="1"/>
        <v>0</v>
      </c>
      <c r="K34" s="1762">
        <f t="shared" si="1"/>
        <v>0</v>
      </c>
      <c r="L34" s="1743">
        <f>SUM(L33)</f>
        <v>178054</v>
      </c>
      <c r="M34" s="468"/>
      <c r="N34" s="480"/>
    </row>
    <row r="35" spans="1:14" ht="18" customHeight="1" thickTop="1" x14ac:dyDescent="0.2">
      <c r="A35" s="2131" t="s">
        <v>549</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21106806</v>
      </c>
    </row>
    <row r="37" spans="1:14" ht="13.5" thickBot="1" x14ac:dyDescent="0.25">
      <c r="A37" s="1758" t="s">
        <v>673</v>
      </c>
      <c r="B37" s="1763"/>
      <c r="C37" s="477"/>
      <c r="D37" s="477"/>
      <c r="E37" s="477"/>
      <c r="F37" s="477"/>
      <c r="G37" s="477"/>
      <c r="H37" s="477"/>
      <c r="I37" s="477"/>
      <c r="J37" s="477"/>
      <c r="K37" s="477"/>
      <c r="L37" s="480"/>
      <c r="M37" s="468"/>
      <c r="N37" s="1710">
        <f>SUM(N36:N36)</f>
        <v>21106806</v>
      </c>
    </row>
    <row r="38" spans="1:14" s="329" customFormat="1" ht="13.5" customHeight="1" thickTop="1" x14ac:dyDescent="0.2">
      <c r="A38" s="496" t="s">
        <v>439</v>
      </c>
      <c r="B38" s="483">
        <v>714</v>
      </c>
      <c r="C38" s="466">
        <v>612927</v>
      </c>
      <c r="D38" s="466"/>
      <c r="E38" s="466"/>
      <c r="F38" s="466"/>
      <c r="G38" s="466">
        <v>258023</v>
      </c>
      <c r="H38" s="466"/>
      <c r="I38" s="466"/>
      <c r="J38" s="467"/>
      <c r="K38" s="466"/>
      <c r="L38" s="481">
        <v>583689</v>
      </c>
      <c r="M38" s="497"/>
      <c r="N38" s="497"/>
    </row>
    <row r="39" spans="1:14" s="329" customFormat="1" ht="13.5" customHeight="1" x14ac:dyDescent="0.2">
      <c r="A39" s="496" t="s">
        <v>359</v>
      </c>
      <c r="B39" s="483">
        <v>730</v>
      </c>
      <c r="C39" s="466">
        <v>1349527</v>
      </c>
      <c r="D39" s="466">
        <v>-17862</v>
      </c>
      <c r="E39" s="466">
        <v>1238169</v>
      </c>
      <c r="F39" s="466">
        <v>391838</v>
      </c>
      <c r="G39" s="466">
        <v>502995</v>
      </c>
      <c r="H39" s="466">
        <v>709365</v>
      </c>
      <c r="I39" s="466">
        <v>107066</v>
      </c>
      <c r="J39" s="467">
        <v>749626</v>
      </c>
      <c r="K39" s="466">
        <v>1076150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24902854</v>
      </c>
      <c r="N40" s="497"/>
    </row>
    <row r="41" spans="1:14" ht="13.5" customHeight="1" thickBot="1" x14ac:dyDescent="0.25">
      <c r="A41" s="1758" t="s">
        <v>675</v>
      </c>
      <c r="B41" s="1728"/>
      <c r="C41" s="1710">
        <f>(SUM(C34,C37,C38,C39))</f>
        <v>1962454</v>
      </c>
      <c r="D41" s="1710">
        <f t="shared" ref="D41:L41" si="2">SUM(D34,D37,D38:D39)</f>
        <v>2388</v>
      </c>
      <c r="E41" s="1710">
        <f t="shared" si="2"/>
        <v>1238169</v>
      </c>
      <c r="F41" s="1710">
        <f t="shared" si="2"/>
        <v>391838</v>
      </c>
      <c r="G41" s="1710">
        <f t="shared" si="2"/>
        <v>761018</v>
      </c>
      <c r="H41" s="1710">
        <f t="shared" si="2"/>
        <v>709365</v>
      </c>
      <c r="I41" s="1710">
        <f t="shared" si="2"/>
        <v>107066</v>
      </c>
      <c r="J41" s="1710">
        <f t="shared" si="2"/>
        <v>749626</v>
      </c>
      <c r="K41" s="1710">
        <f t="shared" si="2"/>
        <v>1076150</v>
      </c>
      <c r="L41" s="1710">
        <f t="shared" si="2"/>
        <v>761743</v>
      </c>
      <c r="M41" s="1710">
        <f>SUM(M40)</f>
        <v>24902854</v>
      </c>
      <c r="N41" s="1710">
        <f>SUM(N37)</f>
        <v>21106806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6" activePane="bottomLeft" state="frozenSplit"/>
      <selection activeCell="A47" sqref="A47"/>
      <selection pane="bottomLeft" activeCell="I34" sqref="I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3" t="s">
        <v>1236</v>
      </c>
      <c r="B3" s="2154"/>
      <c r="C3" s="1595"/>
      <c r="D3" s="1596"/>
      <c r="E3" s="1596"/>
      <c r="F3" s="1596"/>
      <c r="G3" s="1596"/>
      <c r="H3" s="1596"/>
      <c r="I3" s="1596"/>
      <c r="J3" s="1596"/>
      <c r="K3" s="1597"/>
      <c r="L3" s="506"/>
    </row>
    <row r="4" spans="1:13" ht="15.75" customHeight="1" x14ac:dyDescent="0.2">
      <c r="A4" s="1953" t="s">
        <v>1578</v>
      </c>
      <c r="B4" s="1954">
        <v>1000</v>
      </c>
      <c r="C4" s="1764">
        <f>'Revenues 9-14'!C109</f>
        <v>3019959</v>
      </c>
      <c r="D4" s="1764">
        <f>'Revenues 9-14'!D109</f>
        <v>847197</v>
      </c>
      <c r="E4" s="1764">
        <f>'Revenues 9-14'!E109</f>
        <v>3878299</v>
      </c>
      <c r="F4" s="1764">
        <f>'Revenues 9-14'!F109</f>
        <v>263576</v>
      </c>
      <c r="G4" s="1764">
        <f>'Revenues 9-14'!G109</f>
        <v>465742</v>
      </c>
      <c r="H4" s="1764">
        <f>'Revenues 9-14'!H109</f>
        <v>325762</v>
      </c>
      <c r="I4" s="1764">
        <f>'Revenues 9-14'!I109</f>
        <v>107855</v>
      </c>
      <c r="J4" s="1764">
        <f>'Revenues 9-14'!J109</f>
        <v>557536</v>
      </c>
      <c r="K4" s="1764">
        <f>'Revenues 9-14'!K109</f>
        <v>118646</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3523235</v>
      </c>
      <c r="D6" s="1765">
        <f>'Revenues 9-14'!D173</f>
        <v>0</v>
      </c>
      <c r="E6" s="1765">
        <f>'Revenues 9-14'!E173</f>
        <v>0</v>
      </c>
      <c r="F6" s="1765">
        <f>'Revenues 9-14'!F173</f>
        <v>386361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656075</v>
      </c>
      <c r="D7" s="1765">
        <f>'Revenues 9-14'!D274</f>
        <v>22707</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7199269</v>
      </c>
      <c r="D8" s="1710">
        <f t="shared" ref="D8:K8" si="0">SUM(D4:D7)</f>
        <v>869904</v>
      </c>
      <c r="E8" s="1710">
        <f t="shared" si="0"/>
        <v>3878299</v>
      </c>
      <c r="F8" s="1710">
        <f t="shared" si="0"/>
        <v>649937</v>
      </c>
      <c r="G8" s="1710">
        <f t="shared" si="0"/>
        <v>465742</v>
      </c>
      <c r="H8" s="1710">
        <f t="shared" si="0"/>
        <v>325762</v>
      </c>
      <c r="I8" s="1710">
        <f t="shared" si="0"/>
        <v>107855</v>
      </c>
      <c r="J8" s="1710">
        <f t="shared" si="0"/>
        <v>557536</v>
      </c>
      <c r="K8" s="1710">
        <f t="shared" si="0"/>
        <v>118646</v>
      </c>
      <c r="L8" s="347"/>
    </row>
    <row r="9" spans="1:13" ht="15.75" thickTop="1" x14ac:dyDescent="0.2">
      <c r="A9" s="514" t="s">
        <v>1751</v>
      </c>
      <c r="B9" s="515">
        <v>3998</v>
      </c>
      <c r="C9" s="481">
        <v>546850</v>
      </c>
      <c r="D9" s="516"/>
      <c r="E9" s="481"/>
      <c r="F9" s="481"/>
      <c r="G9" s="517"/>
      <c r="H9" s="481"/>
      <c r="I9" s="509" t="s">
        <v>1230</v>
      </c>
      <c r="J9" s="478"/>
      <c r="K9" s="481"/>
      <c r="L9" s="347"/>
    </row>
    <row r="10" spans="1:13" s="519" customFormat="1" ht="13.5" thickBot="1" x14ac:dyDescent="0.25">
      <c r="A10" s="1758" t="s">
        <v>1234</v>
      </c>
      <c r="B10" s="1731"/>
      <c r="C10" s="1710">
        <f>SUM(C8:C9)</f>
        <v>7746119</v>
      </c>
      <c r="D10" s="1710">
        <f t="shared" ref="D10:K10" si="1">SUM(D8:D9)</f>
        <v>869904</v>
      </c>
      <c r="E10" s="1710">
        <f t="shared" si="1"/>
        <v>3878299</v>
      </c>
      <c r="F10" s="1710">
        <f t="shared" si="1"/>
        <v>649937</v>
      </c>
      <c r="G10" s="1710">
        <f t="shared" si="1"/>
        <v>465742</v>
      </c>
      <c r="H10" s="1710">
        <f t="shared" si="1"/>
        <v>325762</v>
      </c>
      <c r="I10" s="1710">
        <f t="shared" si="1"/>
        <v>107855</v>
      </c>
      <c r="J10" s="1710">
        <f t="shared" si="1"/>
        <v>557536</v>
      </c>
      <c r="K10" s="1710">
        <f t="shared" si="1"/>
        <v>118646</v>
      </c>
      <c r="L10" s="518"/>
    </row>
    <row r="11" spans="1:13" s="519" customFormat="1" ht="16.7" customHeight="1" thickTop="1" x14ac:dyDescent="0.2">
      <c r="A11" s="2127" t="s">
        <v>1237</v>
      </c>
      <c r="B11" s="2128"/>
      <c r="C11" s="1592"/>
      <c r="D11" s="1593"/>
      <c r="E11" s="1593"/>
      <c r="F11" s="1593"/>
      <c r="G11" s="1593"/>
      <c r="H11" s="1593"/>
      <c r="I11" s="1593"/>
      <c r="J11" s="1593"/>
      <c r="K11" s="1594"/>
      <c r="L11" s="518"/>
    </row>
    <row r="12" spans="1:13" ht="15.75" customHeight="1" x14ac:dyDescent="0.2">
      <c r="A12" s="1598" t="s">
        <v>475</v>
      </c>
      <c r="B12" s="1600">
        <v>1000</v>
      </c>
      <c r="C12" s="1764">
        <f>'Expenditures 15-22'!K33</f>
        <v>5169326</v>
      </c>
      <c r="D12" s="520" t="s">
        <v>1230</v>
      </c>
      <c r="E12" s="468" t="s">
        <v>1230</v>
      </c>
      <c r="F12" s="468" t="s">
        <v>1230</v>
      </c>
      <c r="G12" s="1764">
        <f>'Expenditures 15-22'!K229</f>
        <v>109849</v>
      </c>
      <c r="H12" s="521"/>
      <c r="I12" s="468" t="s">
        <v>1230</v>
      </c>
      <c r="J12" s="468" t="s">
        <v>1230</v>
      </c>
      <c r="K12" s="521" t="s">
        <v>1230</v>
      </c>
      <c r="L12" s="347"/>
    </row>
    <row r="13" spans="1:13" ht="15.75" customHeight="1" x14ac:dyDescent="0.2">
      <c r="A13" s="1598" t="s">
        <v>476</v>
      </c>
      <c r="B13" s="1600">
        <v>2000</v>
      </c>
      <c r="C13" s="1765">
        <f>'Expenditures 15-22'!K74</f>
        <v>2495311</v>
      </c>
      <c r="D13" s="1765">
        <f>'Expenditures 15-22'!K129</f>
        <v>902759</v>
      </c>
      <c r="E13" s="469" t="s">
        <v>1230</v>
      </c>
      <c r="F13" s="1765">
        <f>'Expenditures 15-22'!K184</f>
        <v>632675</v>
      </c>
      <c r="G13" s="1765">
        <f>'Expenditures 15-22'!K279</f>
        <v>180859</v>
      </c>
      <c r="H13" s="1765">
        <f>'Expenditures 15-22'!K303</f>
        <v>166880</v>
      </c>
      <c r="I13" s="468" t="s">
        <v>1230</v>
      </c>
      <c r="J13" s="1765">
        <f>'Expenditures 15-22'!K330</f>
        <v>301982</v>
      </c>
      <c r="K13" s="1769">
        <f>'Expenditures 15-22'!K352</f>
        <v>0</v>
      </c>
      <c r="L13" s="347"/>
    </row>
    <row r="14" spans="1:13" ht="15.75" customHeight="1" x14ac:dyDescent="0.2">
      <c r="A14" s="1598" t="s">
        <v>468</v>
      </c>
      <c r="B14" s="1600">
        <v>3000</v>
      </c>
      <c r="C14" s="1765">
        <f>'Expenditures 15-22'!K75</f>
        <v>1527</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1016216</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3711652</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8682380</v>
      </c>
      <c r="D17" s="1710">
        <f t="shared" si="2"/>
        <v>902759</v>
      </c>
      <c r="E17" s="1710">
        <f t="shared" si="2"/>
        <v>3711652</v>
      </c>
      <c r="F17" s="1710">
        <f t="shared" si="2"/>
        <v>632675</v>
      </c>
      <c r="G17" s="1710">
        <f t="shared" si="2"/>
        <v>290708</v>
      </c>
      <c r="H17" s="1710">
        <f t="shared" si="2"/>
        <v>166880</v>
      </c>
      <c r="I17" s="468"/>
      <c r="J17" s="1710">
        <f>SUM(J12:J16)</f>
        <v>301982</v>
      </c>
      <c r="K17" s="1710">
        <f>SUM(K12:K16)</f>
        <v>0</v>
      </c>
      <c r="L17" s="347"/>
    </row>
    <row r="18" spans="1:12" ht="15" customHeight="1" thickTop="1" x14ac:dyDescent="0.2">
      <c r="A18" s="1766" t="s">
        <v>1752</v>
      </c>
      <c r="B18" s="1767">
        <v>4180</v>
      </c>
      <c r="C18" s="1764">
        <f t="shared" ref="C18:H18" si="3">C9</f>
        <v>546850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9229230</v>
      </c>
      <c r="D19" s="1710">
        <f t="shared" si="4"/>
        <v>902759</v>
      </c>
      <c r="E19" s="1710">
        <f t="shared" si="4"/>
        <v>3711652</v>
      </c>
      <c r="F19" s="1710">
        <f t="shared" si="4"/>
        <v>632675</v>
      </c>
      <c r="G19" s="1710">
        <f t="shared" si="4"/>
        <v>290708</v>
      </c>
      <c r="H19" s="1710">
        <f t="shared" si="4"/>
        <v>166880</v>
      </c>
      <c r="I19" s="468"/>
      <c r="J19" s="1710">
        <f>SUM(J17:J18)</f>
        <v>301982</v>
      </c>
      <c r="K19" s="1710">
        <f>SUM(K17:K18)</f>
        <v>0</v>
      </c>
      <c r="L19" s="347"/>
    </row>
    <row r="20" spans="1:12" ht="16.5" thickTop="1" thickBot="1" x14ac:dyDescent="0.25">
      <c r="A20" s="2143" t="s">
        <v>1753</v>
      </c>
      <c r="B20" s="2144"/>
      <c r="C20" s="1768">
        <f>C8-C17</f>
        <v>-1483111</v>
      </c>
      <c r="D20" s="1768">
        <f t="shared" ref="D20:K20" si="5">D8-D17</f>
        <v>-32855</v>
      </c>
      <c r="E20" s="1768">
        <f t="shared" si="5"/>
        <v>166647</v>
      </c>
      <c r="F20" s="1768">
        <f t="shared" si="5"/>
        <v>17262</v>
      </c>
      <c r="G20" s="1768">
        <f t="shared" si="5"/>
        <v>175034</v>
      </c>
      <c r="H20" s="1768">
        <f t="shared" si="5"/>
        <v>158882</v>
      </c>
      <c r="I20" s="1768">
        <f t="shared" si="5"/>
        <v>107855</v>
      </c>
      <c r="J20" s="1768">
        <f t="shared" si="5"/>
        <v>255554</v>
      </c>
      <c r="K20" s="1768">
        <f t="shared" si="5"/>
        <v>118646</v>
      </c>
      <c r="L20" s="347"/>
    </row>
    <row r="21" spans="1:12" ht="16.7" customHeight="1" thickTop="1" x14ac:dyDescent="0.2">
      <c r="A21" s="2155" t="s">
        <v>615</v>
      </c>
      <c r="B21" s="2156"/>
      <c r="C21" s="1592"/>
      <c r="D21" s="1593"/>
      <c r="E21" s="1593"/>
      <c r="F21" s="1593"/>
      <c r="G21" s="1593"/>
      <c r="H21" s="1593"/>
      <c r="I21" s="1593"/>
      <c r="J21" s="1593"/>
      <c r="K21" s="1594"/>
      <c r="L21" s="524"/>
    </row>
    <row r="22" spans="1:12" ht="15.75" customHeight="1" collapsed="1" x14ac:dyDescent="0.2">
      <c r="A22" s="2151" t="s">
        <v>616</v>
      </c>
      <c r="B22" s="2152"/>
      <c r="C22" s="477"/>
      <c r="D22" s="477"/>
      <c r="E22" s="477"/>
      <c r="F22" s="477"/>
      <c r="G22" s="477"/>
      <c r="H22" s="477"/>
      <c r="I22" s="477"/>
      <c r="J22" s="477"/>
      <c r="K22" s="477"/>
      <c r="L22" s="347"/>
    </row>
    <row r="23" spans="1:12" s="485" customFormat="1" ht="15.75" customHeight="1" x14ac:dyDescent="0.2">
      <c r="A23" s="2147" t="s">
        <v>310</v>
      </c>
      <c r="B23" s="214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2087202</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9" t="s">
        <v>1037</v>
      </c>
      <c r="B32" s="2150"/>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v>2005000</v>
      </c>
      <c r="J33" s="467"/>
      <c r="K33" s="467"/>
      <c r="L33" s="524"/>
    </row>
    <row r="34" spans="1:12" s="485" customFormat="1" x14ac:dyDescent="0.2">
      <c r="A34" s="1511" t="s">
        <v>1057</v>
      </c>
      <c r="B34" s="525">
        <v>7220</v>
      </c>
      <c r="C34" s="467"/>
      <c r="D34" s="467"/>
      <c r="E34" s="467"/>
      <c r="F34" s="467"/>
      <c r="G34" s="477"/>
      <c r="H34" s="478"/>
      <c r="I34" s="478">
        <v>20792</v>
      </c>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7" t="s">
        <v>391</v>
      </c>
      <c r="B44" s="2158"/>
      <c r="C44" s="1725">
        <f>SUM(C24:C43)</f>
        <v>2087202</v>
      </c>
      <c r="D44" s="1725">
        <f t="shared" ref="D44:K44" si="6">SUM(D24:D43)</f>
        <v>0</v>
      </c>
      <c r="E44" s="1725">
        <f t="shared" si="6"/>
        <v>0</v>
      </c>
      <c r="F44" s="1725">
        <f t="shared" si="6"/>
        <v>0</v>
      </c>
      <c r="G44" s="1725">
        <f t="shared" si="6"/>
        <v>0</v>
      </c>
      <c r="H44" s="1725">
        <f t="shared" si="6"/>
        <v>0</v>
      </c>
      <c r="I44" s="1725">
        <f t="shared" si="6"/>
        <v>2025792</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2087202</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v>42688</v>
      </c>
      <c r="J75" s="530"/>
      <c r="K75" s="532"/>
      <c r="L75" s="524"/>
    </row>
    <row r="76" spans="1:12" s="485" customFormat="1" ht="14.25" thickTop="1" thickBot="1" x14ac:dyDescent="0.25">
      <c r="A76" s="2133" t="s">
        <v>459</v>
      </c>
      <c r="B76" s="2134"/>
      <c r="C76" s="1725">
        <f t="shared" ref="C76:K76" si="7">SUM(C47:C75)</f>
        <v>0</v>
      </c>
      <c r="D76" s="1725">
        <f t="shared" si="7"/>
        <v>0</v>
      </c>
      <c r="E76" s="1725">
        <f t="shared" si="7"/>
        <v>0</v>
      </c>
      <c r="F76" s="1725">
        <f t="shared" si="7"/>
        <v>0</v>
      </c>
      <c r="G76" s="1725">
        <f t="shared" si="7"/>
        <v>0</v>
      </c>
      <c r="H76" s="1725">
        <f t="shared" si="7"/>
        <v>0</v>
      </c>
      <c r="I76" s="1725">
        <f t="shared" si="7"/>
        <v>2129890</v>
      </c>
      <c r="J76" s="1725">
        <f t="shared" si="7"/>
        <v>0</v>
      </c>
      <c r="K76" s="1725">
        <f t="shared" si="7"/>
        <v>0</v>
      </c>
      <c r="L76" s="524"/>
    </row>
    <row r="77" spans="1:12" ht="14.25" thickTop="1" thickBot="1" x14ac:dyDescent="0.25">
      <c r="A77" s="2135" t="s">
        <v>1238</v>
      </c>
      <c r="B77" s="2136"/>
      <c r="C77" s="1725">
        <f t="shared" ref="C77:K77" si="8">C44-C76</f>
        <v>2087202</v>
      </c>
      <c r="D77" s="1725">
        <f t="shared" si="8"/>
        <v>0</v>
      </c>
      <c r="E77" s="1725">
        <f t="shared" si="8"/>
        <v>0</v>
      </c>
      <c r="F77" s="1725">
        <f t="shared" si="8"/>
        <v>0</v>
      </c>
      <c r="G77" s="1725">
        <f t="shared" si="8"/>
        <v>0</v>
      </c>
      <c r="H77" s="1725">
        <f t="shared" si="8"/>
        <v>0</v>
      </c>
      <c r="I77" s="1725">
        <f t="shared" si="8"/>
        <v>-104098</v>
      </c>
      <c r="J77" s="1725">
        <f t="shared" si="8"/>
        <v>0</v>
      </c>
      <c r="K77" s="1725">
        <f t="shared" si="8"/>
        <v>0</v>
      </c>
      <c r="L77" s="347"/>
    </row>
    <row r="78" spans="1:12" ht="21.75" customHeight="1" thickTop="1" thickBot="1" x14ac:dyDescent="0.25">
      <c r="A78" s="2139" t="s">
        <v>617</v>
      </c>
      <c r="B78" s="2140"/>
      <c r="C78" s="1724">
        <f t="shared" ref="C78:K78" si="9">C20+C77</f>
        <v>604091</v>
      </c>
      <c r="D78" s="1724">
        <f t="shared" si="9"/>
        <v>-32855</v>
      </c>
      <c r="E78" s="1724">
        <f t="shared" si="9"/>
        <v>166647</v>
      </c>
      <c r="F78" s="1724">
        <f t="shared" si="9"/>
        <v>17262</v>
      </c>
      <c r="G78" s="1724">
        <f t="shared" si="9"/>
        <v>175034</v>
      </c>
      <c r="H78" s="1724">
        <f t="shared" si="9"/>
        <v>158882</v>
      </c>
      <c r="I78" s="1724">
        <f t="shared" si="9"/>
        <v>3757</v>
      </c>
      <c r="J78" s="1724">
        <f t="shared" si="9"/>
        <v>255554</v>
      </c>
      <c r="K78" s="1724">
        <f t="shared" si="9"/>
        <v>118646</v>
      </c>
      <c r="L78" s="533"/>
    </row>
    <row r="79" spans="1:12" ht="13.5" thickTop="1" x14ac:dyDescent="0.2">
      <c r="A79" s="1516" t="s">
        <v>2070</v>
      </c>
      <c r="B79" s="534"/>
      <c r="C79" s="478">
        <v>1358363</v>
      </c>
      <c r="D79" s="535">
        <v>14993</v>
      </c>
      <c r="E79" s="535">
        <v>1071522</v>
      </c>
      <c r="F79" s="535">
        <v>374576</v>
      </c>
      <c r="G79" s="535">
        <v>585984</v>
      </c>
      <c r="H79" s="535">
        <v>550483</v>
      </c>
      <c r="I79" s="535">
        <v>103309</v>
      </c>
      <c r="J79" s="535">
        <v>494072</v>
      </c>
      <c r="K79" s="535">
        <v>957504</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2071</v>
      </c>
      <c r="B81" s="2138"/>
      <c r="C81" s="1710">
        <f>(SUM(C78:C80))</f>
        <v>1962454</v>
      </c>
      <c r="D81" s="1710">
        <f>SUM(D78:D80)</f>
        <v>-17862</v>
      </c>
      <c r="E81" s="1710">
        <f t="shared" ref="E81:K81" si="10">SUM(E78:E80)</f>
        <v>1238169</v>
      </c>
      <c r="F81" s="1710">
        <f t="shared" si="10"/>
        <v>391838</v>
      </c>
      <c r="G81" s="1710">
        <f t="shared" si="10"/>
        <v>761018</v>
      </c>
      <c r="H81" s="1710">
        <f t="shared" si="10"/>
        <v>709365</v>
      </c>
      <c r="I81" s="1710">
        <f t="shared" si="10"/>
        <v>107066</v>
      </c>
      <c r="J81" s="1710">
        <f t="shared" si="10"/>
        <v>749626</v>
      </c>
      <c r="K81" s="1710">
        <f t="shared" si="10"/>
        <v>1076150</v>
      </c>
      <c r="L81" s="347"/>
    </row>
    <row r="82" spans="1:12" ht="0.75" customHeight="1" thickTop="1" thickBot="1" x14ac:dyDescent="0.25">
      <c r="A82" s="536" t="s">
        <v>360</v>
      </c>
      <c r="B82" s="537"/>
      <c r="C82" s="538">
        <f>(C81-C79)</f>
        <v>604091</v>
      </c>
      <c r="D82" s="538">
        <f t="shared" ref="D82:K82" si="11">(D81-D79)</f>
        <v>-32855</v>
      </c>
      <c r="E82" s="538">
        <f t="shared" si="11"/>
        <v>166647</v>
      </c>
      <c r="F82" s="538">
        <f t="shared" si="11"/>
        <v>17262</v>
      </c>
      <c r="G82" s="538">
        <f t="shared" si="11"/>
        <v>175034</v>
      </c>
      <c r="H82" s="538">
        <f t="shared" si="11"/>
        <v>158882</v>
      </c>
      <c r="I82" s="538">
        <f t="shared" si="11"/>
        <v>3757</v>
      </c>
      <c r="J82" s="538">
        <f t="shared" si="11"/>
        <v>255554</v>
      </c>
      <c r="K82" s="538">
        <f t="shared" si="11"/>
        <v>118646</v>
      </c>
    </row>
    <row r="83" spans="1:12" ht="14.25" hidden="1" thickTop="1" thickBot="1" x14ac:dyDescent="0.25">
      <c r="A83" s="539" t="s">
        <v>361</v>
      </c>
      <c r="B83" s="464"/>
      <c r="C83" s="540">
        <f>C82/C81</f>
        <v>0.30782428530808875</v>
      </c>
      <c r="D83" s="540">
        <f t="shared" ref="D83:K83" si="12">D82/D81</f>
        <v>1.839379688724667</v>
      </c>
      <c r="E83" s="540">
        <f t="shared" si="12"/>
        <v>0.13459148145366262</v>
      </c>
      <c r="F83" s="540">
        <f t="shared" si="12"/>
        <v>4.405392024254922E-2</v>
      </c>
      <c r="G83" s="540">
        <f t="shared" si="12"/>
        <v>0.22999981603588876</v>
      </c>
      <c r="H83" s="540">
        <f t="shared" si="12"/>
        <v>0.22397778294671997</v>
      </c>
      <c r="I83" s="540">
        <f t="shared" si="12"/>
        <v>3.5090504922197521E-2</v>
      </c>
      <c r="J83" s="540">
        <f t="shared" si="12"/>
        <v>0.34090866645500556</v>
      </c>
      <c r="K83" s="540">
        <f t="shared" si="12"/>
        <v>0.1102504297728012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444</v>
      </c>
      <c r="D1" s="453" t="s">
        <v>445</v>
      </c>
      <c r="E1" s="453" t="s">
        <v>446</v>
      </c>
      <c r="F1" s="453" t="s">
        <v>447</v>
      </c>
      <c r="G1" s="453" t="s">
        <v>448</v>
      </c>
      <c r="H1" s="453" t="s">
        <v>449</v>
      </c>
      <c r="I1" s="453" t="s">
        <v>450</v>
      </c>
      <c r="J1" s="453" t="s">
        <v>451</v>
      </c>
      <c r="K1" s="453" t="s">
        <v>779</v>
      </c>
    </row>
    <row r="2" spans="1:12" ht="36" x14ac:dyDescent="0.2">
      <c r="A2" s="214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1961333</v>
      </c>
      <c r="D5" s="481">
        <v>532971</v>
      </c>
      <c r="E5" s="466">
        <v>3582117</v>
      </c>
      <c r="F5" s="548">
        <v>255826</v>
      </c>
      <c r="G5" s="466">
        <v>224913</v>
      </c>
      <c r="H5" s="466"/>
      <c r="I5" s="466">
        <v>106594</v>
      </c>
      <c r="J5" s="467">
        <v>549792</v>
      </c>
      <c r="K5" s="466">
        <v>106594</v>
      </c>
    </row>
    <row r="6" spans="1:12" ht="15" x14ac:dyDescent="0.2">
      <c r="A6" s="463" t="s">
        <v>1760</v>
      </c>
      <c r="B6" s="470">
        <v>1130</v>
      </c>
      <c r="C6" s="466">
        <v>106594</v>
      </c>
      <c r="D6" s="466"/>
      <c r="E6" s="475"/>
      <c r="F6" s="475"/>
      <c r="G6" s="468"/>
      <c r="H6" s="468"/>
      <c r="I6" s="468"/>
      <c r="J6" s="468"/>
      <c r="K6" s="468"/>
    </row>
    <row r="7" spans="1:12" x14ac:dyDescent="0.2">
      <c r="A7" s="463" t="s">
        <v>112</v>
      </c>
      <c r="B7" s="549">
        <v>1140</v>
      </c>
      <c r="C7" s="466">
        <v>42637</v>
      </c>
      <c r="D7" s="466"/>
      <c r="E7" s="468"/>
      <c r="F7" s="467"/>
      <c r="G7" s="467"/>
      <c r="H7" s="467"/>
      <c r="I7" s="468"/>
      <c r="J7" s="468"/>
      <c r="K7" s="468"/>
    </row>
    <row r="8" spans="1:12" x14ac:dyDescent="0.2">
      <c r="A8" s="463" t="s">
        <v>432</v>
      </c>
      <c r="B8" s="470">
        <v>1150</v>
      </c>
      <c r="C8" s="475"/>
      <c r="D8" s="475"/>
      <c r="E8" s="477"/>
      <c r="F8" s="477"/>
      <c r="G8" s="481">
        <v>224913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2110564</v>
      </c>
      <c r="D12" s="1729">
        <f t="shared" si="0"/>
        <v>532971</v>
      </c>
      <c r="E12" s="1729">
        <f t="shared" si="0"/>
        <v>3582117</v>
      </c>
      <c r="F12" s="1729">
        <f t="shared" si="0"/>
        <v>255826</v>
      </c>
      <c r="G12" s="1729">
        <f t="shared" si="0"/>
        <v>449826</v>
      </c>
      <c r="H12" s="1729">
        <f t="shared" si="0"/>
        <v>0</v>
      </c>
      <c r="I12" s="1729">
        <f t="shared" si="0"/>
        <v>106594</v>
      </c>
      <c r="J12" s="1729">
        <f t="shared" si="0"/>
        <v>549792</v>
      </c>
      <c r="K12" s="1710">
        <f t="shared" si="0"/>
        <v>106594</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287285</v>
      </c>
      <c r="D16" s="466"/>
      <c r="E16" s="466"/>
      <c r="F16" s="466"/>
      <c r="G16" s="466">
        <v>8885</v>
      </c>
      <c r="H16" s="466"/>
      <c r="I16" s="466"/>
      <c r="J16" s="467"/>
      <c r="K16" s="466"/>
    </row>
    <row r="17" spans="1:11" ht="12.75" customHeight="1" x14ac:dyDescent="0.2">
      <c r="A17" s="463" t="s">
        <v>839</v>
      </c>
      <c r="B17" s="470">
        <v>1290</v>
      </c>
      <c r="C17" s="551"/>
      <c r="D17" s="466">
        <v>1008</v>
      </c>
      <c r="E17" s="466"/>
      <c r="F17" s="466"/>
      <c r="G17" s="466"/>
      <c r="H17" s="466"/>
      <c r="I17" s="466"/>
      <c r="J17" s="467"/>
      <c r="K17" s="466"/>
    </row>
    <row r="18" spans="1:11" ht="12.75" customHeight="1" thickBot="1" x14ac:dyDescent="0.25">
      <c r="A18" s="1730" t="s">
        <v>557</v>
      </c>
      <c r="B18" s="1731"/>
      <c r="C18" s="1732">
        <f>SUM(C14:C17)</f>
        <v>287285</v>
      </c>
      <c r="D18" s="1732">
        <f t="shared" ref="D18:K18" si="1">SUM(D14:D17)</f>
        <v>1008</v>
      </c>
      <c r="E18" s="1732">
        <f t="shared" si="1"/>
        <v>0</v>
      </c>
      <c r="F18" s="1732">
        <f t="shared" si="1"/>
        <v>0</v>
      </c>
      <c r="G18" s="1732">
        <f t="shared" si="1"/>
        <v>8885</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9718</v>
      </c>
      <c r="D65" s="466">
        <v>97</v>
      </c>
      <c r="E65" s="466">
        <v>15840</v>
      </c>
      <c r="F65" s="467">
        <v>4484</v>
      </c>
      <c r="G65" s="466">
        <v>6991</v>
      </c>
      <c r="H65" s="466">
        <v>88</v>
      </c>
      <c r="I65" s="466">
        <v>1251</v>
      </c>
      <c r="J65" s="467">
        <v>7694</v>
      </c>
      <c r="K65" s="466">
        <v>12042</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9718</v>
      </c>
      <c r="D67" s="1710">
        <f t="shared" ref="D67:K67" si="2">SUM(D65:D66)</f>
        <v>97</v>
      </c>
      <c r="E67" s="1710">
        <f t="shared" si="2"/>
        <v>15840</v>
      </c>
      <c r="F67" s="1710">
        <f t="shared" si="2"/>
        <v>4484</v>
      </c>
      <c r="G67" s="1710">
        <f t="shared" si="2"/>
        <v>6991</v>
      </c>
      <c r="H67" s="1710">
        <f t="shared" si="2"/>
        <v>88</v>
      </c>
      <c r="I67" s="1710">
        <f t="shared" si="2"/>
        <v>1251</v>
      </c>
      <c r="J67" s="1710">
        <f t="shared" si="2"/>
        <v>7694</v>
      </c>
      <c r="K67" s="1710">
        <f t="shared" si="2"/>
        <v>12042</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94455</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1411</v>
      </c>
      <c r="D73" s="468"/>
      <c r="E73" s="468"/>
      <c r="F73" s="468"/>
      <c r="G73" s="468"/>
      <c r="H73" s="468"/>
      <c r="I73" s="468"/>
      <c r="J73" s="468"/>
      <c r="K73" s="468"/>
    </row>
    <row r="74" spans="1:11" ht="12.75" customHeight="1" x14ac:dyDescent="0.2">
      <c r="A74" s="463" t="s">
        <v>25</v>
      </c>
      <c r="B74" s="470">
        <v>1690</v>
      </c>
      <c r="C74" s="551">
        <v>2970</v>
      </c>
      <c r="D74" s="468"/>
      <c r="E74" s="468"/>
      <c r="F74" s="468"/>
      <c r="G74" s="468"/>
      <c r="H74" s="468"/>
      <c r="I74" s="468"/>
      <c r="J74" s="468"/>
      <c r="K74" s="468"/>
    </row>
    <row r="75" spans="1:11" ht="12.75" customHeight="1" thickBot="1" x14ac:dyDescent="0.25">
      <c r="A75" s="1730" t="s">
        <v>568</v>
      </c>
      <c r="B75" s="1731"/>
      <c r="C75" s="1710">
        <f>SUM(C69:C74)</f>
        <v>98836</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88914</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v>6186</v>
      </c>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95100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258009</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153191</v>
      </c>
      <c r="D98" s="466">
        <v>4153</v>
      </c>
      <c r="E98" s="512"/>
      <c r="F98" s="466"/>
      <c r="G98" s="512"/>
      <c r="H98" s="512"/>
      <c r="I98" s="510"/>
      <c r="J98" s="512"/>
      <c r="K98" s="512"/>
    </row>
    <row r="99" spans="1:12" ht="12.75" customHeight="1" x14ac:dyDescent="0.2">
      <c r="A99" s="463" t="s">
        <v>874</v>
      </c>
      <c r="B99" s="470">
        <v>1950</v>
      </c>
      <c r="C99" s="489">
        <v>103452</v>
      </c>
      <c r="D99" s="466"/>
      <c r="E99" s="466"/>
      <c r="F99" s="466"/>
      <c r="G99" s="466"/>
      <c r="H99" s="466"/>
      <c r="I99" s="468"/>
      <c r="J99" s="467"/>
      <c r="K99" s="466"/>
    </row>
    <row r="100" spans="1:12" ht="12.75" customHeight="1" x14ac:dyDescent="0.2">
      <c r="A100" s="463" t="s">
        <v>263</v>
      </c>
      <c r="B100" s="470">
        <v>1960</v>
      </c>
      <c r="C100" s="489">
        <v>136584</v>
      </c>
      <c r="D100" s="489">
        <v>49</v>
      </c>
      <c r="E100" s="489">
        <v>280342</v>
      </c>
      <c r="F100" s="489">
        <v>23</v>
      </c>
      <c r="G100" s="489">
        <v>40</v>
      </c>
      <c r="H100" s="489">
        <v>325674</v>
      </c>
      <c r="I100" s="467">
        <v>10</v>
      </c>
      <c r="J100" s="489">
        <v>50</v>
      </c>
      <c r="K100" s="467">
        <v>10</v>
      </c>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25229</v>
      </c>
      <c r="D107" s="466">
        <v>50910</v>
      </c>
      <c r="E107" s="466"/>
      <c r="F107" s="466">
        <v>3243</v>
      </c>
      <c r="G107" s="466"/>
      <c r="H107" s="466"/>
      <c r="I107" s="466"/>
      <c r="J107" s="467"/>
      <c r="K107" s="466"/>
    </row>
    <row r="108" spans="1:12" ht="12.75" customHeight="1" thickBot="1" x14ac:dyDescent="0.25">
      <c r="A108" s="1730" t="s">
        <v>507</v>
      </c>
      <c r="B108" s="1734"/>
      <c r="C108" s="1729">
        <f>SUM(C95:C107)</f>
        <v>418456</v>
      </c>
      <c r="D108" s="1729">
        <f t="shared" ref="D108:K108" si="3">SUM(D95:D107)</f>
        <v>313121</v>
      </c>
      <c r="E108" s="1729">
        <f t="shared" si="3"/>
        <v>280342</v>
      </c>
      <c r="F108" s="1729">
        <f t="shared" si="3"/>
        <v>3266</v>
      </c>
      <c r="G108" s="1729">
        <f t="shared" si="3"/>
        <v>40</v>
      </c>
      <c r="H108" s="1729">
        <f t="shared" si="3"/>
        <v>325674</v>
      </c>
      <c r="I108" s="1729">
        <f t="shared" si="3"/>
        <v>10</v>
      </c>
      <c r="J108" s="1729">
        <f t="shared" si="3"/>
        <v>50</v>
      </c>
      <c r="K108" s="1710">
        <f t="shared" si="3"/>
        <v>10</v>
      </c>
    </row>
    <row r="109" spans="1:12" ht="14.25" thickTop="1" thickBot="1" x14ac:dyDescent="0.25">
      <c r="A109" s="1735" t="s">
        <v>266</v>
      </c>
      <c r="B109" s="1736" t="s">
        <v>590</v>
      </c>
      <c r="C109" s="1737">
        <f t="shared" ref="C109:K109" si="4">SUM(C12,C18,C40,C63,C67,C75,C82,C93,C108,)</f>
        <v>3019959</v>
      </c>
      <c r="D109" s="1737">
        <f t="shared" si="4"/>
        <v>847197</v>
      </c>
      <c r="E109" s="1737">
        <f t="shared" si="4"/>
        <v>3878299</v>
      </c>
      <c r="F109" s="1737">
        <f t="shared" si="4"/>
        <v>263576</v>
      </c>
      <c r="G109" s="1737">
        <f t="shared" si="4"/>
        <v>465742</v>
      </c>
      <c r="H109" s="1737">
        <f t="shared" si="4"/>
        <v>325762</v>
      </c>
      <c r="I109" s="1737">
        <f t="shared" si="4"/>
        <v>107855</v>
      </c>
      <c r="J109" s="1737">
        <f t="shared" si="4"/>
        <v>557536</v>
      </c>
      <c r="K109" s="1724">
        <f t="shared" si="4"/>
        <v>118646</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3014399</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3014399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121283</v>
      </c>
      <c r="D124" s="561"/>
      <c r="E124" s="468"/>
      <c r="F124" s="548"/>
      <c r="G124" s="468"/>
      <c r="H124" s="468"/>
      <c r="I124" s="468"/>
      <c r="J124" s="468"/>
      <c r="K124" s="468"/>
    </row>
    <row r="125" spans="1:11" ht="12.75" customHeight="1" x14ac:dyDescent="0.2">
      <c r="A125" s="463" t="s">
        <v>1520</v>
      </c>
      <c r="B125" s="562">
        <v>3105</v>
      </c>
      <c r="C125" s="466">
        <v>79058</v>
      </c>
      <c r="D125" s="561"/>
      <c r="E125" s="468"/>
      <c r="F125" s="466"/>
      <c r="G125" s="468"/>
      <c r="H125" s="468"/>
      <c r="I125" s="468"/>
      <c r="J125" s="468"/>
      <c r="K125" s="468"/>
    </row>
    <row r="126" spans="1:11" ht="12.75" customHeight="1" x14ac:dyDescent="0.2">
      <c r="A126" s="463" t="s">
        <v>921</v>
      </c>
      <c r="B126" s="562">
        <v>3110</v>
      </c>
      <c r="C126" s="551">
        <v>96548</v>
      </c>
      <c r="D126" s="466"/>
      <c r="E126" s="468"/>
      <c r="F126" s="466"/>
      <c r="G126" s="468"/>
      <c r="H126" s="468"/>
      <c r="I126" s="468"/>
      <c r="J126" s="468"/>
      <c r="K126" s="468"/>
    </row>
    <row r="127" spans="1:11" ht="12.75" customHeight="1" x14ac:dyDescent="0.2">
      <c r="A127" s="463" t="s">
        <v>107</v>
      </c>
      <c r="B127" s="562">
        <v>3120</v>
      </c>
      <c r="C127" s="466">
        <v>28319</v>
      </c>
      <c r="D127" s="561"/>
      <c r="E127" s="468"/>
      <c r="F127" s="466"/>
      <c r="G127" s="468"/>
      <c r="H127" s="468"/>
      <c r="I127" s="468"/>
      <c r="J127" s="468"/>
      <c r="K127" s="468"/>
    </row>
    <row r="128" spans="1:11" ht="12.75" customHeight="1" x14ac:dyDescent="0.2">
      <c r="A128" s="463" t="s">
        <v>1521</v>
      </c>
      <c r="B128" s="562">
        <v>3130</v>
      </c>
      <c r="C128" s="466">
        <v>543</v>
      </c>
      <c r="D128" s="561"/>
      <c r="E128" s="468"/>
      <c r="F128" s="466"/>
      <c r="G128" s="468"/>
      <c r="H128" s="468"/>
      <c r="I128" s="468"/>
      <c r="J128" s="468"/>
      <c r="K128" s="468"/>
    </row>
    <row r="129" spans="1:11" ht="12.75" customHeight="1" x14ac:dyDescent="0.2">
      <c r="A129" s="463" t="s">
        <v>139</v>
      </c>
      <c r="B129" s="562">
        <v>3145</v>
      </c>
      <c r="C129" s="466">
        <v>2574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328325</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27567</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27567</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3529</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171126</v>
      </c>
      <c r="G151" s="467"/>
      <c r="H151" s="468"/>
      <c r="I151" s="468"/>
      <c r="J151" s="468"/>
      <c r="K151" s="468"/>
    </row>
    <row r="152" spans="1:11" ht="12.75" customHeight="1" x14ac:dyDescent="0.2">
      <c r="A152" s="463" t="s">
        <v>1116</v>
      </c>
      <c r="B152" s="562">
        <v>3510</v>
      </c>
      <c r="C152" s="551"/>
      <c r="D152" s="466"/>
      <c r="E152" s="561"/>
      <c r="F152" s="466">
        <v>215235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386361</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148665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1" t="s">
        <v>417</v>
      </c>
      <c r="B172" s="2162"/>
      <c r="C172" s="1744">
        <f t="shared" ref="C172:K172" si="6">SUM(C131,C140,C144,C145:C149,C154,C155:C170,C171)</f>
        <v>508836</v>
      </c>
      <c r="D172" s="1744">
        <f t="shared" si="6"/>
        <v>0</v>
      </c>
      <c r="E172" s="1744">
        <f t="shared" si="6"/>
        <v>0</v>
      </c>
      <c r="F172" s="1744">
        <f t="shared" si="6"/>
        <v>386361</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3523235</v>
      </c>
      <c r="D173" s="1737">
        <f>SUM(D121,D172)</f>
        <v>0</v>
      </c>
      <c r="E173" s="1737">
        <f>SUM(E121,E172)</f>
        <v>0</v>
      </c>
      <c r="F173" s="1737">
        <f t="shared" ref="F173:K173" si="7">SUM(F121,F172)</f>
        <v>386361</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3" t="s">
        <v>1571</v>
      </c>
      <c r="B175" s="2164"/>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7" t="s">
        <v>1763</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9" t="s">
        <v>817</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211757</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45437</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257194</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147897</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147897</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750</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750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130765</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130765</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9752</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33058</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59045</v>
      </c>
      <c r="D270" s="576"/>
      <c r="E270" s="468"/>
      <c r="F270" s="576"/>
      <c r="G270" s="576"/>
      <c r="H270" s="468"/>
      <c r="I270" s="468"/>
      <c r="J270" s="468"/>
      <c r="K270" s="468"/>
    </row>
    <row r="271" spans="1:11" ht="12.75" customHeight="1" thickTop="1" thickBot="1" x14ac:dyDescent="0.25">
      <c r="A271" s="463" t="s">
        <v>394</v>
      </c>
      <c r="B271" s="470">
        <v>4992</v>
      </c>
      <c r="C271" s="575">
        <v>17614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v>22707</v>
      </c>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656075</v>
      </c>
      <c r="D273" s="1737">
        <f t="shared" si="10"/>
        <v>22707</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656075</v>
      </c>
      <c r="D274" s="1737">
        <f>SUM(D178,D184,D273)</f>
        <v>22707</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7199269</v>
      </c>
      <c r="D275" s="1737">
        <f t="shared" si="12"/>
        <v>869904</v>
      </c>
      <c r="E275" s="1737">
        <f t="shared" si="12"/>
        <v>3878299</v>
      </c>
      <c r="F275" s="1737">
        <f t="shared" si="12"/>
        <v>649937</v>
      </c>
      <c r="G275" s="1737">
        <f t="shared" si="12"/>
        <v>465742</v>
      </c>
      <c r="H275" s="1737">
        <f t="shared" si="12"/>
        <v>325762</v>
      </c>
      <c r="I275" s="1737">
        <f t="shared" si="12"/>
        <v>107855</v>
      </c>
      <c r="J275" s="1737">
        <f t="shared" si="12"/>
        <v>557536</v>
      </c>
      <c r="K275" s="1724">
        <f t="shared" si="12"/>
        <v>118646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97" activePane="bottomLeft" state="frozen"/>
      <selection activeCell="A47" sqref="A47"/>
      <selection pane="bottomLeft" activeCell="L124" sqref="L1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1" t="s">
        <v>314</v>
      </c>
      <c r="B3" s="2182"/>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3132872</v>
      </c>
      <c r="D5" s="466">
        <v>881306</v>
      </c>
      <c r="E5" s="466">
        <v>1167</v>
      </c>
      <c r="F5" s="466">
        <v>64835</v>
      </c>
      <c r="G5" s="466"/>
      <c r="H5" s="466">
        <v>15532</v>
      </c>
      <c r="I5" s="467"/>
      <c r="J5" s="467"/>
      <c r="K5" s="1693">
        <f>SUM(C5:J5)</f>
        <v>4095712</v>
      </c>
      <c r="L5" s="466">
        <v>4302399</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97503</v>
      </c>
      <c r="D7" s="467">
        <v>34862</v>
      </c>
      <c r="E7" s="467">
        <v>34</v>
      </c>
      <c r="F7" s="467">
        <v>17071</v>
      </c>
      <c r="G7" s="467"/>
      <c r="H7" s="467"/>
      <c r="I7" s="467"/>
      <c r="J7" s="467"/>
      <c r="K7" s="1693">
        <f t="shared" ref="K7:K32" si="0">SUM(C7:J7)</f>
        <v>149470</v>
      </c>
      <c r="L7" s="466">
        <v>128897</v>
      </c>
    </row>
    <row r="8" spans="1:14" x14ac:dyDescent="0.2">
      <c r="A8" s="1526" t="s">
        <v>166</v>
      </c>
      <c r="B8" s="615">
        <v>1200</v>
      </c>
      <c r="C8" s="466">
        <v>561842</v>
      </c>
      <c r="D8" s="466">
        <v>101176</v>
      </c>
      <c r="E8" s="466"/>
      <c r="F8" s="466">
        <v>5681</v>
      </c>
      <c r="G8" s="466"/>
      <c r="H8" s="466"/>
      <c r="I8" s="467"/>
      <c r="J8" s="467"/>
      <c r="K8" s="1693">
        <f t="shared" si="0"/>
        <v>668699</v>
      </c>
      <c r="L8" s="466">
        <v>650850</v>
      </c>
    </row>
    <row r="9" spans="1:14" x14ac:dyDescent="0.2">
      <c r="A9" s="1526" t="s">
        <v>744</v>
      </c>
      <c r="B9" s="615" t="s">
        <v>1024</v>
      </c>
      <c r="C9" s="467">
        <v>14612</v>
      </c>
      <c r="D9" s="467">
        <v>2968</v>
      </c>
      <c r="E9" s="467"/>
      <c r="F9" s="467"/>
      <c r="G9" s="467"/>
      <c r="H9" s="467"/>
      <c r="I9" s="467"/>
      <c r="J9" s="467"/>
      <c r="K9" s="1693">
        <f t="shared" si="0"/>
        <v>17580</v>
      </c>
      <c r="L9" s="466">
        <v>125250</v>
      </c>
    </row>
    <row r="10" spans="1:14" x14ac:dyDescent="0.2">
      <c r="A10" s="1526" t="s">
        <v>745</v>
      </c>
      <c r="B10" s="615">
        <v>1250</v>
      </c>
      <c r="C10" s="466"/>
      <c r="D10" s="466"/>
      <c r="E10" s="466"/>
      <c r="F10" s="466"/>
      <c r="G10" s="466"/>
      <c r="H10" s="466"/>
      <c r="I10" s="467"/>
      <c r="J10" s="467"/>
      <c r="K10" s="1693">
        <f t="shared" si="0"/>
        <v>0</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c r="D13" s="466"/>
      <c r="E13" s="466"/>
      <c r="F13" s="466"/>
      <c r="G13" s="466"/>
      <c r="H13" s="466"/>
      <c r="I13" s="467"/>
      <c r="J13" s="467"/>
      <c r="K13" s="1693">
        <f t="shared" si="0"/>
        <v>0</v>
      </c>
      <c r="L13" s="466"/>
    </row>
    <row r="14" spans="1:14" x14ac:dyDescent="0.2">
      <c r="A14" s="1526" t="s">
        <v>1019</v>
      </c>
      <c r="B14" s="615">
        <v>1500</v>
      </c>
      <c r="C14" s="466">
        <v>125874</v>
      </c>
      <c r="D14" s="466">
        <v>32287</v>
      </c>
      <c r="E14" s="466"/>
      <c r="F14" s="466"/>
      <c r="G14" s="466"/>
      <c r="H14" s="466"/>
      <c r="I14" s="467"/>
      <c r="J14" s="467"/>
      <c r="K14" s="1693">
        <f t="shared" si="0"/>
        <v>158161</v>
      </c>
      <c r="L14" s="466">
        <v>169650</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c r="D17" s="467"/>
      <c r="E17" s="467"/>
      <c r="F17" s="467"/>
      <c r="G17" s="467"/>
      <c r="H17" s="467"/>
      <c r="I17" s="467"/>
      <c r="J17" s="467"/>
      <c r="K17" s="1693">
        <f t="shared" si="0"/>
        <v>0</v>
      </c>
      <c r="L17" s="466"/>
    </row>
    <row r="18" spans="1:12" x14ac:dyDescent="0.2">
      <c r="A18" s="1526" t="s">
        <v>1147</v>
      </c>
      <c r="B18" s="615">
        <v>1800</v>
      </c>
      <c r="C18" s="466">
        <v>57656</v>
      </c>
      <c r="D18" s="466">
        <v>21383</v>
      </c>
      <c r="E18" s="466"/>
      <c r="F18" s="466">
        <v>665</v>
      </c>
      <c r="G18" s="466"/>
      <c r="H18" s="466"/>
      <c r="I18" s="467"/>
      <c r="J18" s="467"/>
      <c r="K18" s="1693">
        <f t="shared" si="0"/>
        <v>79704</v>
      </c>
      <c r="L18" s="466">
        <v>130506</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v>50000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3990359</v>
      </c>
      <c r="D33" s="1692">
        <f t="shared" ref="D33:L33" si="1">SUM(D5:D32)</f>
        <v>1073982</v>
      </c>
      <c r="E33" s="1692">
        <f t="shared" si="1"/>
        <v>1201</v>
      </c>
      <c r="F33" s="1692">
        <f t="shared" si="1"/>
        <v>88252</v>
      </c>
      <c r="G33" s="1692">
        <f t="shared" si="1"/>
        <v>0</v>
      </c>
      <c r="H33" s="1692">
        <f t="shared" si="1"/>
        <v>15532</v>
      </c>
      <c r="I33" s="1692">
        <f t="shared" si="1"/>
        <v>0</v>
      </c>
      <c r="J33" s="1692">
        <f t="shared" si="1"/>
        <v>0</v>
      </c>
      <c r="K33" s="1692">
        <f t="shared" si="1"/>
        <v>5169326</v>
      </c>
      <c r="L33" s="1692">
        <f t="shared" si="1"/>
        <v>5557552</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155567</v>
      </c>
      <c r="D36" s="481">
        <v>49816</v>
      </c>
      <c r="E36" s="481">
        <v>85</v>
      </c>
      <c r="F36" s="481">
        <v>18157</v>
      </c>
      <c r="G36" s="481"/>
      <c r="H36" s="481"/>
      <c r="I36" s="467"/>
      <c r="J36" s="467"/>
      <c r="K36" s="1693">
        <f t="shared" ref="K36:K41" si="2">SUM(C36:J36)</f>
        <v>223625</v>
      </c>
      <c r="L36" s="466">
        <v>228485</v>
      </c>
    </row>
    <row r="37" spans="1:14" x14ac:dyDescent="0.2">
      <c r="A37" s="1526" t="s">
        <v>1150</v>
      </c>
      <c r="B37" s="615">
        <v>2120</v>
      </c>
      <c r="C37" s="466"/>
      <c r="D37" s="466"/>
      <c r="E37" s="466"/>
      <c r="F37" s="466"/>
      <c r="G37" s="466"/>
      <c r="H37" s="466"/>
      <c r="I37" s="467"/>
      <c r="J37" s="467"/>
      <c r="K37" s="1693">
        <f t="shared" si="2"/>
        <v>0</v>
      </c>
      <c r="L37" s="466"/>
    </row>
    <row r="38" spans="1:14" x14ac:dyDescent="0.2">
      <c r="A38" s="1526" t="s">
        <v>207</v>
      </c>
      <c r="B38" s="615">
        <v>2130</v>
      </c>
      <c r="C38" s="466">
        <v>63515</v>
      </c>
      <c r="D38" s="466">
        <v>19550</v>
      </c>
      <c r="E38" s="466">
        <v>50</v>
      </c>
      <c r="F38" s="466">
        <v>773</v>
      </c>
      <c r="G38" s="466"/>
      <c r="H38" s="466"/>
      <c r="I38" s="467"/>
      <c r="J38" s="467"/>
      <c r="K38" s="1693">
        <f t="shared" si="2"/>
        <v>83888</v>
      </c>
      <c r="L38" s="466">
        <v>96100</v>
      </c>
    </row>
    <row r="39" spans="1:14" x14ac:dyDescent="0.2">
      <c r="A39" s="1526" t="s">
        <v>208</v>
      </c>
      <c r="B39" s="615">
        <v>2140</v>
      </c>
      <c r="C39" s="466">
        <v>63483</v>
      </c>
      <c r="D39" s="466">
        <v>28845</v>
      </c>
      <c r="E39" s="466"/>
      <c r="F39" s="466"/>
      <c r="G39" s="466"/>
      <c r="H39" s="466"/>
      <c r="I39" s="467"/>
      <c r="J39" s="467"/>
      <c r="K39" s="1693">
        <f t="shared" si="2"/>
        <v>92328</v>
      </c>
      <c r="L39" s="466">
        <v>91977</v>
      </c>
    </row>
    <row r="40" spans="1:14" x14ac:dyDescent="0.2">
      <c r="A40" s="1526" t="s">
        <v>209</v>
      </c>
      <c r="B40" s="615">
        <v>2150</v>
      </c>
      <c r="C40" s="466">
        <v>145531</v>
      </c>
      <c r="D40" s="466">
        <v>9903</v>
      </c>
      <c r="E40" s="466"/>
      <c r="F40" s="466"/>
      <c r="G40" s="466"/>
      <c r="H40" s="466"/>
      <c r="I40" s="467"/>
      <c r="J40" s="467"/>
      <c r="K40" s="1693">
        <f t="shared" si="2"/>
        <v>155434</v>
      </c>
      <c r="L40" s="466">
        <v>155935</v>
      </c>
    </row>
    <row r="41" spans="1:14" x14ac:dyDescent="0.2">
      <c r="A41" s="1526" t="s">
        <v>1767</v>
      </c>
      <c r="B41" s="615">
        <v>2190</v>
      </c>
      <c r="C41" s="466">
        <v>141702</v>
      </c>
      <c r="D41" s="466">
        <v>34871</v>
      </c>
      <c r="E41" s="466">
        <v>1846</v>
      </c>
      <c r="F41" s="466">
        <v>19300</v>
      </c>
      <c r="G41" s="466"/>
      <c r="H41" s="466">
        <v>385</v>
      </c>
      <c r="I41" s="467"/>
      <c r="J41" s="467"/>
      <c r="K41" s="1693">
        <f t="shared" si="2"/>
        <v>198104</v>
      </c>
      <c r="L41" s="466">
        <v>226830</v>
      </c>
    </row>
    <row r="42" spans="1:14" ht="12.75" customHeight="1" thickBot="1" x14ac:dyDescent="0.25">
      <c r="A42" s="1690" t="s">
        <v>580</v>
      </c>
      <c r="B42" s="1691" t="s">
        <v>739</v>
      </c>
      <c r="C42" s="1692">
        <f>SUM(C36:C41)</f>
        <v>569798</v>
      </c>
      <c r="D42" s="1692">
        <f t="shared" ref="D42:L42" si="3">SUM(D36:D41)</f>
        <v>142985</v>
      </c>
      <c r="E42" s="1692">
        <f t="shared" si="3"/>
        <v>1981</v>
      </c>
      <c r="F42" s="1692">
        <f t="shared" si="3"/>
        <v>38230</v>
      </c>
      <c r="G42" s="1692">
        <f t="shared" si="3"/>
        <v>0</v>
      </c>
      <c r="H42" s="1692">
        <f t="shared" si="3"/>
        <v>385</v>
      </c>
      <c r="I42" s="1692">
        <f t="shared" si="3"/>
        <v>0</v>
      </c>
      <c r="J42" s="1692">
        <f t="shared" si="3"/>
        <v>0</v>
      </c>
      <c r="K42" s="1692">
        <f t="shared" si="3"/>
        <v>753379</v>
      </c>
      <c r="L42" s="1692">
        <f t="shared" si="3"/>
        <v>799327</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c r="D44" s="481"/>
      <c r="E44" s="481">
        <v>26143</v>
      </c>
      <c r="F44" s="481"/>
      <c r="G44" s="481"/>
      <c r="H44" s="481"/>
      <c r="I44" s="467"/>
      <c r="J44" s="467"/>
      <c r="K44" s="1694">
        <f>SUM(C44:J44)</f>
        <v>26143</v>
      </c>
      <c r="L44" s="481">
        <v>26170</v>
      </c>
    </row>
    <row r="45" spans="1:14" x14ac:dyDescent="0.2">
      <c r="A45" s="1526" t="s">
        <v>868</v>
      </c>
      <c r="B45" s="615">
        <v>2220</v>
      </c>
      <c r="C45" s="466">
        <v>147265</v>
      </c>
      <c r="D45" s="466">
        <v>34984</v>
      </c>
      <c r="E45" s="466">
        <v>9627</v>
      </c>
      <c r="F45" s="466">
        <v>103170</v>
      </c>
      <c r="G45" s="466">
        <v>92099</v>
      </c>
      <c r="H45" s="466"/>
      <c r="I45" s="467">
        <v>3794</v>
      </c>
      <c r="J45" s="467"/>
      <c r="K45" s="1694">
        <f>SUM(C45:J45)</f>
        <v>390939</v>
      </c>
      <c r="L45" s="466">
        <v>469258</v>
      </c>
    </row>
    <row r="46" spans="1:14" x14ac:dyDescent="0.2">
      <c r="A46" s="1526" t="s">
        <v>869</v>
      </c>
      <c r="B46" s="615">
        <v>2230</v>
      </c>
      <c r="C46" s="466"/>
      <c r="D46" s="466"/>
      <c r="E46" s="466"/>
      <c r="F46" s="466"/>
      <c r="G46" s="466"/>
      <c r="H46" s="466"/>
      <c r="I46" s="467"/>
      <c r="J46" s="467"/>
      <c r="K46" s="1694">
        <f>SUM(C46:J46)</f>
        <v>0</v>
      </c>
      <c r="L46" s="466"/>
    </row>
    <row r="47" spans="1:14" ht="12.75" customHeight="1" thickBot="1" x14ac:dyDescent="0.25">
      <c r="A47" s="1690" t="s">
        <v>581</v>
      </c>
      <c r="B47" s="1691" t="s">
        <v>32</v>
      </c>
      <c r="C47" s="1692">
        <f>SUM(C44:C46)</f>
        <v>147265</v>
      </c>
      <c r="D47" s="1692">
        <f t="shared" ref="D47:K47" si="4">SUM(D44:D46)</f>
        <v>34984</v>
      </c>
      <c r="E47" s="1692">
        <f t="shared" si="4"/>
        <v>35770</v>
      </c>
      <c r="F47" s="1692">
        <f t="shared" si="4"/>
        <v>103170</v>
      </c>
      <c r="G47" s="1692">
        <f t="shared" si="4"/>
        <v>92099</v>
      </c>
      <c r="H47" s="1692">
        <f t="shared" si="4"/>
        <v>0</v>
      </c>
      <c r="I47" s="1692">
        <f t="shared" si="4"/>
        <v>3794</v>
      </c>
      <c r="J47" s="1692">
        <f t="shared" si="4"/>
        <v>0</v>
      </c>
      <c r="K47" s="1692">
        <f t="shared" si="4"/>
        <v>417082</v>
      </c>
      <c r="L47" s="1692">
        <f>SUM(L44:L46)</f>
        <v>495428</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74286</v>
      </c>
      <c r="F49" s="481">
        <v>658</v>
      </c>
      <c r="G49" s="481"/>
      <c r="H49" s="481">
        <v>1307</v>
      </c>
      <c r="I49" s="467"/>
      <c r="J49" s="467"/>
      <c r="K49" s="1694">
        <f>SUM(C49:J49)</f>
        <v>76251</v>
      </c>
      <c r="L49" s="481">
        <v>99053</v>
      </c>
    </row>
    <row r="50" spans="1:14" x14ac:dyDescent="0.2">
      <c r="A50" s="1526" t="s">
        <v>871</v>
      </c>
      <c r="B50" s="615">
        <v>2320</v>
      </c>
      <c r="C50" s="466">
        <v>146612</v>
      </c>
      <c r="D50" s="466">
        <v>53711</v>
      </c>
      <c r="E50" s="466">
        <v>2529</v>
      </c>
      <c r="F50" s="466">
        <v>16591</v>
      </c>
      <c r="G50" s="466"/>
      <c r="H50" s="466">
        <v>3461</v>
      </c>
      <c r="I50" s="467"/>
      <c r="J50" s="467"/>
      <c r="K50" s="1694">
        <f>SUM(C50:J50)</f>
        <v>222904</v>
      </c>
      <c r="L50" s="466">
        <v>225776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146612</v>
      </c>
      <c r="D53" s="1692">
        <f t="shared" ref="D53:L53" si="5">SUM(D49:D52)</f>
        <v>53711</v>
      </c>
      <c r="E53" s="1692">
        <f t="shared" si="5"/>
        <v>76815</v>
      </c>
      <c r="F53" s="1692">
        <f t="shared" si="5"/>
        <v>17249</v>
      </c>
      <c r="G53" s="1692">
        <f t="shared" si="5"/>
        <v>0</v>
      </c>
      <c r="H53" s="1692">
        <f t="shared" si="5"/>
        <v>4768</v>
      </c>
      <c r="I53" s="1692">
        <f t="shared" si="5"/>
        <v>0</v>
      </c>
      <c r="J53" s="1692">
        <f t="shared" si="5"/>
        <v>0</v>
      </c>
      <c r="K53" s="1692">
        <f t="shared" si="5"/>
        <v>299155</v>
      </c>
      <c r="L53" s="1692">
        <f t="shared" si="5"/>
        <v>324829</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228978</v>
      </c>
      <c r="D55" s="481">
        <v>73866</v>
      </c>
      <c r="E55" s="481">
        <v>4054</v>
      </c>
      <c r="F55" s="481">
        <v>2125</v>
      </c>
      <c r="G55" s="481"/>
      <c r="H55" s="481">
        <v>1754</v>
      </c>
      <c r="I55" s="467"/>
      <c r="J55" s="467"/>
      <c r="K55" s="1694">
        <f>SUM(C55:J55)</f>
        <v>310777</v>
      </c>
      <c r="L55" s="481">
        <v>325536</v>
      </c>
    </row>
    <row r="56" spans="1:14" ht="12.75" customHeight="1" x14ac:dyDescent="0.2">
      <c r="A56" s="1530" t="s">
        <v>393</v>
      </c>
      <c r="B56" s="629">
        <v>2490</v>
      </c>
      <c r="C56" s="466">
        <v>54000</v>
      </c>
      <c r="D56" s="466">
        <v>7881</v>
      </c>
      <c r="E56" s="466">
        <v>433</v>
      </c>
      <c r="F56" s="466"/>
      <c r="G56" s="466"/>
      <c r="H56" s="466"/>
      <c r="I56" s="467"/>
      <c r="J56" s="467"/>
      <c r="K56" s="1694">
        <f>SUM(C56:J56)</f>
        <v>62314</v>
      </c>
      <c r="L56" s="466">
        <v>68699</v>
      </c>
    </row>
    <row r="57" spans="1:14" s="343" customFormat="1" ht="12.75" customHeight="1" thickBot="1" x14ac:dyDescent="0.25">
      <c r="A57" s="1690" t="s">
        <v>281</v>
      </c>
      <c r="B57" s="1695" t="s">
        <v>34</v>
      </c>
      <c r="C57" s="1696">
        <f>SUM(C55:C56)</f>
        <v>282978</v>
      </c>
      <c r="D57" s="1696">
        <f t="shared" ref="D57:K57" si="6">SUM(D55:D56)</f>
        <v>81747</v>
      </c>
      <c r="E57" s="1696">
        <f t="shared" si="6"/>
        <v>4487</v>
      </c>
      <c r="F57" s="1696">
        <f t="shared" si="6"/>
        <v>2125</v>
      </c>
      <c r="G57" s="1696">
        <f t="shared" si="6"/>
        <v>0</v>
      </c>
      <c r="H57" s="1696">
        <f t="shared" si="6"/>
        <v>1754</v>
      </c>
      <c r="I57" s="1696">
        <f t="shared" si="6"/>
        <v>0</v>
      </c>
      <c r="J57" s="1696">
        <f t="shared" si="6"/>
        <v>0</v>
      </c>
      <c r="K57" s="1696">
        <f t="shared" si="6"/>
        <v>373091</v>
      </c>
      <c r="L57" s="1692">
        <f>SUM(L55:L56)</f>
        <v>394235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93799</v>
      </c>
      <c r="D60" s="466">
        <v>1173</v>
      </c>
      <c r="E60" s="466">
        <v>52431</v>
      </c>
      <c r="F60" s="466">
        <v>799</v>
      </c>
      <c r="G60" s="466"/>
      <c r="H60" s="466"/>
      <c r="I60" s="467"/>
      <c r="J60" s="467"/>
      <c r="K60" s="1694">
        <f t="shared" si="7"/>
        <v>148202</v>
      </c>
      <c r="L60" s="466">
        <v>149205</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177808</v>
      </c>
      <c r="D63" s="466">
        <v>53272</v>
      </c>
      <c r="E63" s="466">
        <v>9101</v>
      </c>
      <c r="F63" s="466">
        <v>186128</v>
      </c>
      <c r="G63" s="466"/>
      <c r="H63" s="466"/>
      <c r="I63" s="467"/>
      <c r="J63" s="467"/>
      <c r="K63" s="1694">
        <f t="shared" si="7"/>
        <v>426309</v>
      </c>
      <c r="L63" s="466">
        <v>449127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271607</v>
      </c>
      <c r="D65" s="1692">
        <f t="shared" ref="D65:L65" si="8">SUM(D59:D64)</f>
        <v>54445</v>
      </c>
      <c r="E65" s="1692">
        <f t="shared" si="8"/>
        <v>61532</v>
      </c>
      <c r="F65" s="1692">
        <f t="shared" si="8"/>
        <v>186927</v>
      </c>
      <c r="G65" s="1692">
        <f t="shared" si="8"/>
        <v>0</v>
      </c>
      <c r="H65" s="1692">
        <f t="shared" si="8"/>
        <v>0</v>
      </c>
      <c r="I65" s="1692">
        <f t="shared" si="8"/>
        <v>0</v>
      </c>
      <c r="J65" s="1692">
        <f t="shared" si="8"/>
        <v>0</v>
      </c>
      <c r="K65" s="1692">
        <f t="shared" si="8"/>
        <v>574511</v>
      </c>
      <c r="L65" s="1692">
        <f t="shared" si="8"/>
        <v>598332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12245</v>
      </c>
      <c r="D69" s="466"/>
      <c r="E69" s="466">
        <v>48266</v>
      </c>
      <c r="F69" s="466">
        <v>14917</v>
      </c>
      <c r="G69" s="466"/>
      <c r="H69" s="466"/>
      <c r="I69" s="467"/>
      <c r="J69" s="467"/>
      <c r="K69" s="1694">
        <f>SUM(C69:J69)</f>
        <v>75428</v>
      </c>
      <c r="L69" s="466">
        <v>100300</v>
      </c>
      <c r="M69" s="610"/>
      <c r="N69" s="610"/>
    </row>
    <row r="70" spans="1:14" s="343" customFormat="1" x14ac:dyDescent="0.2">
      <c r="A70" s="1526" t="s">
        <v>422</v>
      </c>
      <c r="B70" s="615">
        <v>2640</v>
      </c>
      <c r="C70" s="466">
        <v>1700</v>
      </c>
      <c r="D70" s="466"/>
      <c r="E70" s="466"/>
      <c r="F70" s="466"/>
      <c r="G70" s="466"/>
      <c r="H70" s="466"/>
      <c r="I70" s="467"/>
      <c r="J70" s="467"/>
      <c r="K70" s="1694">
        <f>SUM(C70:J70)</f>
        <v>1700</v>
      </c>
      <c r="L70" s="466">
        <v>3200</v>
      </c>
      <c r="M70" s="610"/>
      <c r="N70" s="610"/>
    </row>
    <row r="71" spans="1:14" s="343" customFormat="1" x14ac:dyDescent="0.2">
      <c r="A71" s="1526" t="s">
        <v>423</v>
      </c>
      <c r="B71" s="615">
        <v>2660</v>
      </c>
      <c r="C71" s="466"/>
      <c r="D71" s="466"/>
      <c r="E71" s="466"/>
      <c r="F71" s="466"/>
      <c r="G71" s="466"/>
      <c r="H71" s="466"/>
      <c r="I71" s="467"/>
      <c r="J71" s="467"/>
      <c r="K71" s="1694">
        <f>SUM(C71:J71)</f>
        <v>0</v>
      </c>
      <c r="L71" s="466">
        <v>3000</v>
      </c>
      <c r="M71" s="610"/>
      <c r="N71" s="610"/>
    </row>
    <row r="72" spans="1:14" s="343" customFormat="1" ht="12.75" customHeight="1" thickBot="1" x14ac:dyDescent="0.25">
      <c r="A72" s="1690" t="s">
        <v>37</v>
      </c>
      <c r="B72" s="1697" t="s">
        <v>36</v>
      </c>
      <c r="C72" s="1692">
        <f>SUM(C67:C71)</f>
        <v>13945</v>
      </c>
      <c r="D72" s="1692">
        <f t="shared" ref="D72:K72" si="9">SUM(D67:D71)</f>
        <v>0</v>
      </c>
      <c r="E72" s="1692">
        <f t="shared" si="9"/>
        <v>48266</v>
      </c>
      <c r="F72" s="1692">
        <f t="shared" si="9"/>
        <v>14917</v>
      </c>
      <c r="G72" s="1692">
        <f t="shared" si="9"/>
        <v>0</v>
      </c>
      <c r="H72" s="1692">
        <f t="shared" si="9"/>
        <v>0</v>
      </c>
      <c r="I72" s="1692">
        <f t="shared" si="9"/>
        <v>0</v>
      </c>
      <c r="J72" s="1692">
        <f t="shared" si="9"/>
        <v>0</v>
      </c>
      <c r="K72" s="1692">
        <f t="shared" si="9"/>
        <v>77128</v>
      </c>
      <c r="L72" s="1692">
        <f>SUM(L67:L71)</f>
        <v>106500</v>
      </c>
      <c r="M72" s="610"/>
      <c r="N72" s="610"/>
    </row>
    <row r="73" spans="1:14" s="343" customFormat="1" ht="14.25" thickTop="1" thickBot="1" x14ac:dyDescent="0.25">
      <c r="A73" s="1532" t="s">
        <v>1036</v>
      </c>
      <c r="B73" s="633" t="s">
        <v>594</v>
      </c>
      <c r="C73" s="573"/>
      <c r="D73" s="573"/>
      <c r="E73" s="573"/>
      <c r="F73" s="573">
        <v>965</v>
      </c>
      <c r="G73" s="573"/>
      <c r="H73" s="573"/>
      <c r="I73" s="531"/>
      <c r="J73" s="531"/>
      <c r="K73" s="1692">
        <f>SUM(C73:J73)</f>
        <v>965</v>
      </c>
      <c r="L73" s="576">
        <v>1150</v>
      </c>
      <c r="M73" s="610"/>
      <c r="N73" s="610"/>
    </row>
    <row r="74" spans="1:14" ht="12.75" customHeight="1" thickTop="1" thickBot="1" x14ac:dyDescent="0.25">
      <c r="A74" s="1690" t="s">
        <v>864</v>
      </c>
      <c r="B74" s="1698">
        <v>2000</v>
      </c>
      <c r="C74" s="1699">
        <f>SUM(C42,C47,C53,C57,C65,C72,C73)</f>
        <v>1432205</v>
      </c>
      <c r="D74" s="1699">
        <f t="shared" ref="D74:K74" si="10">SUM(D42,D47,D53,D57,D65,D72,D73)</f>
        <v>367872</v>
      </c>
      <c r="E74" s="1699">
        <f t="shared" si="10"/>
        <v>228851</v>
      </c>
      <c r="F74" s="1699">
        <f t="shared" si="10"/>
        <v>363583</v>
      </c>
      <c r="G74" s="1699">
        <f t="shared" si="10"/>
        <v>92099</v>
      </c>
      <c r="H74" s="1699">
        <f t="shared" si="10"/>
        <v>6907</v>
      </c>
      <c r="I74" s="1699">
        <f t="shared" si="10"/>
        <v>3794</v>
      </c>
      <c r="J74" s="1699">
        <f t="shared" si="10"/>
        <v>0</v>
      </c>
      <c r="K74" s="1699">
        <f t="shared" si="10"/>
        <v>2495311</v>
      </c>
      <c r="L74" s="1699">
        <f>SUM(L42,L47,L53,L57,L65,L72,L73)</f>
        <v>2719801</v>
      </c>
    </row>
    <row r="75" spans="1:14" s="259" customFormat="1" ht="15.75" customHeight="1" thickTop="1" thickBot="1" x14ac:dyDescent="0.25">
      <c r="A75" s="1632" t="s">
        <v>49</v>
      </c>
      <c r="B75" s="1633" t="s">
        <v>595</v>
      </c>
      <c r="C75" s="573"/>
      <c r="D75" s="573"/>
      <c r="E75" s="573">
        <v>1269</v>
      </c>
      <c r="F75" s="573">
        <v>258</v>
      </c>
      <c r="G75" s="573"/>
      <c r="H75" s="573"/>
      <c r="I75" s="531"/>
      <c r="J75" s="531"/>
      <c r="K75" s="1692">
        <f>SUM(C75:J75)</f>
        <v>1527</v>
      </c>
      <c r="L75" s="576">
        <v>9245</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v>132007</v>
      </c>
      <c r="F79" s="617"/>
      <c r="G79" s="617"/>
      <c r="H79" s="466"/>
      <c r="I79" s="477"/>
      <c r="J79" s="477"/>
      <c r="K79" s="1693">
        <f t="shared" si="11"/>
        <v>132007</v>
      </c>
      <c r="L79" s="466">
        <v>70000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v>500</v>
      </c>
    </row>
    <row r="84" spans="1:12" ht="13.5" thickBot="1" x14ac:dyDescent="0.25">
      <c r="A84" s="1690" t="s">
        <v>1564</v>
      </c>
      <c r="B84" s="1700">
        <v>4100</v>
      </c>
      <c r="C84" s="617"/>
      <c r="D84" s="617"/>
      <c r="E84" s="1692">
        <f>SUM(E78:E83)</f>
        <v>132007</v>
      </c>
      <c r="F84" s="617"/>
      <c r="G84" s="617"/>
      <c r="H84" s="1692">
        <f>SUM(H78:H83)</f>
        <v>0</v>
      </c>
      <c r="I84" s="477"/>
      <c r="J84" s="477"/>
      <c r="K84" s="1692">
        <f>SUM(K78:K83)</f>
        <v>132007</v>
      </c>
      <c r="L84" s="1692">
        <f>SUM(L78:L83)</f>
        <v>70500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884209</v>
      </c>
      <c r="I86" s="477"/>
      <c r="J86" s="477"/>
      <c r="K86" s="1699">
        <f t="shared" ref="K86:K98" si="12">H86</f>
        <v>884209</v>
      </c>
      <c r="L86" s="530">
        <v>888142</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884209</v>
      </c>
      <c r="I92" s="477"/>
      <c r="J92" s="477"/>
      <c r="K92" s="1699">
        <f t="shared" si="12"/>
        <v>884209</v>
      </c>
      <c r="L92" s="1692">
        <f>SUM(L85:L91)</f>
        <v>888142</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132007</v>
      </c>
      <c r="F102" s="617"/>
      <c r="G102" s="617"/>
      <c r="H102" s="1699">
        <f>SUM(H84,H92,H100,H101)</f>
        <v>884209</v>
      </c>
      <c r="I102" s="477"/>
      <c r="J102" s="477"/>
      <c r="K102" s="1699">
        <f>SUM(K84,K92,K100,K101)</f>
        <v>1016216</v>
      </c>
      <c r="L102" s="1699">
        <f>SUM(L84,L92,L100,L101)</f>
        <v>958642</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5422564</v>
      </c>
      <c r="D114" s="1692">
        <f t="shared" ref="D114:K114" si="13">SUM(D33,D74,D75,D102,D112,D113)</f>
        <v>1441854</v>
      </c>
      <c r="E114" s="1692">
        <f t="shared" si="13"/>
        <v>363328</v>
      </c>
      <c r="F114" s="1692">
        <f t="shared" si="13"/>
        <v>452093</v>
      </c>
      <c r="G114" s="1692">
        <f t="shared" si="13"/>
        <v>92099</v>
      </c>
      <c r="H114" s="1692">
        <f>SUM(H33,H74,H75,H102,H112,H113)</f>
        <v>906648</v>
      </c>
      <c r="I114" s="1692">
        <f t="shared" si="13"/>
        <v>3794</v>
      </c>
      <c r="J114" s="1692">
        <f t="shared" si="13"/>
        <v>0</v>
      </c>
      <c r="K114" s="1692">
        <f t="shared" si="13"/>
        <v>8682380</v>
      </c>
      <c r="L114" s="1692">
        <f>SUM(L33,L74,L75,L102,L112,L113)</f>
        <v>9245240</v>
      </c>
    </row>
    <row r="115" spans="1:14" ht="13.5" thickTop="1" x14ac:dyDescent="0.2">
      <c r="A115" s="2173" t="s">
        <v>1052</v>
      </c>
      <c r="B115" s="2174"/>
      <c r="C115" s="619"/>
      <c r="D115" s="619"/>
      <c r="E115" s="619"/>
      <c r="F115" s="619"/>
      <c r="G115" s="619"/>
      <c r="H115" s="619"/>
      <c r="I115" s="619"/>
      <c r="J115" s="619"/>
      <c r="K115" s="1706">
        <f>'Revenues 9-14'!C275-'Expenditures 15-22'!K114</f>
        <v>-1483111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313</v>
      </c>
      <c r="B117" s="2179"/>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27837</v>
      </c>
      <c r="D122" s="466">
        <v>3560</v>
      </c>
      <c r="E122" s="466"/>
      <c r="F122" s="466"/>
      <c r="G122" s="466"/>
      <c r="H122" s="466"/>
      <c r="I122" s="467"/>
      <c r="J122" s="467"/>
      <c r="K122" s="1692">
        <f>SUM(C122:J122)</f>
        <v>31397</v>
      </c>
      <c r="L122" s="466">
        <v>31407</v>
      </c>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317461</v>
      </c>
      <c r="D124" s="466">
        <v>83118</v>
      </c>
      <c r="E124" s="466">
        <v>211994</v>
      </c>
      <c r="F124" s="466">
        <v>258718</v>
      </c>
      <c r="G124" s="466">
        <v>71</v>
      </c>
      <c r="H124" s="466"/>
      <c r="I124" s="467"/>
      <c r="J124" s="467"/>
      <c r="K124" s="1692">
        <f>SUM(C124:J124)</f>
        <v>871362</v>
      </c>
      <c r="L124" s="466">
        <v>862705</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345298</v>
      </c>
      <c r="D127" s="1692">
        <f t="shared" ref="D127:L127" si="14">SUM(D122:D126)</f>
        <v>86678</v>
      </c>
      <c r="E127" s="1692">
        <f t="shared" si="14"/>
        <v>211994</v>
      </c>
      <c r="F127" s="1692">
        <f t="shared" si="14"/>
        <v>258718</v>
      </c>
      <c r="G127" s="1692">
        <f t="shared" si="14"/>
        <v>71</v>
      </c>
      <c r="H127" s="1692">
        <f t="shared" si="14"/>
        <v>0</v>
      </c>
      <c r="I127" s="1692">
        <f t="shared" si="14"/>
        <v>0</v>
      </c>
      <c r="J127" s="1692">
        <f t="shared" si="14"/>
        <v>0</v>
      </c>
      <c r="K127" s="1692">
        <f t="shared" si="14"/>
        <v>902759</v>
      </c>
      <c r="L127" s="1692">
        <f t="shared" si="14"/>
        <v>894112</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345298</v>
      </c>
      <c r="D129" s="1699">
        <f t="shared" ref="D129:L129" si="15">SUM(D120,D127,D128)</f>
        <v>86678</v>
      </c>
      <c r="E129" s="1699">
        <f t="shared" si="15"/>
        <v>211994</v>
      </c>
      <c r="F129" s="1699">
        <f t="shared" si="15"/>
        <v>258718</v>
      </c>
      <c r="G129" s="1699">
        <f t="shared" si="15"/>
        <v>71</v>
      </c>
      <c r="H129" s="1699">
        <f t="shared" si="15"/>
        <v>0</v>
      </c>
      <c r="I129" s="1699">
        <f t="shared" si="15"/>
        <v>0</v>
      </c>
      <c r="J129" s="1699">
        <f t="shared" si="15"/>
        <v>0</v>
      </c>
      <c r="K129" s="1699">
        <f t="shared" si="15"/>
        <v>902759</v>
      </c>
      <c r="L129" s="1699">
        <f t="shared" si="15"/>
        <v>894112</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1955</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0" t="s">
        <v>640</v>
      </c>
      <c r="B151" s="2170"/>
      <c r="C151" s="1692">
        <f>SUM(C129,C130,C139,C149,C150)</f>
        <v>345298</v>
      </c>
      <c r="D151" s="1692">
        <f t="shared" ref="D151:K151" si="16">SUM(D129,D130,D139,D149,D150)</f>
        <v>86678</v>
      </c>
      <c r="E151" s="1692">
        <f t="shared" si="16"/>
        <v>211994</v>
      </c>
      <c r="F151" s="1692">
        <f t="shared" si="16"/>
        <v>258718</v>
      </c>
      <c r="G151" s="1692">
        <f t="shared" si="16"/>
        <v>71</v>
      </c>
      <c r="H151" s="1692">
        <f t="shared" si="16"/>
        <v>0</v>
      </c>
      <c r="I151" s="1692">
        <f t="shared" si="16"/>
        <v>0</v>
      </c>
      <c r="J151" s="1692">
        <f t="shared" si="16"/>
        <v>0</v>
      </c>
      <c r="K151" s="1692">
        <f t="shared" si="16"/>
        <v>902759</v>
      </c>
      <c r="L151" s="1692">
        <f>SUM(L129,L130,L139,L149,L150)</f>
        <v>894112</v>
      </c>
    </row>
    <row r="152" spans="1:14" ht="12.75" customHeight="1" thickTop="1" x14ac:dyDescent="0.2">
      <c r="A152" s="2193" t="s">
        <v>1239</v>
      </c>
      <c r="B152" s="2194"/>
      <c r="C152" s="619"/>
      <c r="D152" s="619"/>
      <c r="E152" s="619"/>
      <c r="F152" s="619"/>
      <c r="G152" s="619"/>
      <c r="H152" s="619"/>
      <c r="I152" s="619"/>
      <c r="J152" s="617"/>
      <c r="K152" s="1706">
        <f>'Revenues 9-14'!D275-'Expenditures 15-22'!K151</f>
        <v>-32855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641</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1176652</v>
      </c>
      <c r="I169" s="617"/>
      <c r="J169" s="617"/>
      <c r="K169" s="1693">
        <f>SUM(C169:H169)</f>
        <v>1176652</v>
      </c>
      <c r="L169" s="657">
        <v>2006069</v>
      </c>
    </row>
    <row r="170" spans="1:14" ht="33.75" customHeight="1" x14ac:dyDescent="0.2">
      <c r="A170" s="670" t="s">
        <v>1768</v>
      </c>
      <c r="B170" s="672" t="s">
        <v>31</v>
      </c>
      <c r="C170" s="617"/>
      <c r="D170" s="617"/>
      <c r="E170" s="617"/>
      <c r="F170" s="617"/>
      <c r="G170" s="617"/>
      <c r="H170" s="569">
        <v>2535000</v>
      </c>
      <c r="I170" s="617"/>
      <c r="J170" s="617"/>
      <c r="K170" s="1693">
        <f>SUM(C170:J170)</f>
        <v>2535000</v>
      </c>
      <c r="L170" s="569">
        <v>1736273</v>
      </c>
    </row>
    <row r="171" spans="1:14" ht="15.75" customHeight="1" x14ac:dyDescent="0.2">
      <c r="A171" s="622" t="s">
        <v>789</v>
      </c>
      <c r="B171" s="673" t="s">
        <v>86</v>
      </c>
      <c r="C171" s="617"/>
      <c r="D171" s="617"/>
      <c r="E171" s="466"/>
      <c r="F171" s="617"/>
      <c r="G171" s="617"/>
      <c r="H171" s="569"/>
      <c r="I171" s="477"/>
      <c r="J171" s="617"/>
      <c r="K171" s="1693">
        <f>SUM(C171:J171)</f>
        <v>0</v>
      </c>
      <c r="L171" s="569"/>
    </row>
    <row r="172" spans="1:14" ht="12.75" customHeight="1" thickBot="1" x14ac:dyDescent="0.25">
      <c r="A172" s="1690" t="s">
        <v>658</v>
      </c>
      <c r="B172" s="1691" t="s">
        <v>512</v>
      </c>
      <c r="C172" s="617"/>
      <c r="D172" s="617"/>
      <c r="E172" s="1699">
        <f>SUM(E168,E169,E170,E171)</f>
        <v>0</v>
      </c>
      <c r="F172" s="617"/>
      <c r="G172" s="617"/>
      <c r="H172" s="1699">
        <f>SUM(H168,H169,H170,H171)</f>
        <v>3711652</v>
      </c>
      <c r="I172" s="639"/>
      <c r="J172" s="617"/>
      <c r="K172" s="1699">
        <f>SUM(K168,K169,K170,K171)</f>
        <v>3711652</v>
      </c>
      <c r="L172" s="1699">
        <f>SUM(L168,L169,L170,L171)</f>
        <v>3742342</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3711652</v>
      </c>
      <c r="I174" s="639"/>
      <c r="J174" s="617"/>
      <c r="K174" s="1699">
        <f>SUM(K160,K172,K173)</f>
        <v>3711652</v>
      </c>
      <c r="L174" s="1699">
        <f>SUM(L160,L172,L173)</f>
        <v>3742342</v>
      </c>
    </row>
    <row r="175" spans="1:14" ht="13.5" thickTop="1" x14ac:dyDescent="0.2">
      <c r="A175" s="2173" t="s">
        <v>1052</v>
      </c>
      <c r="B175" s="2174"/>
      <c r="C175" s="617"/>
      <c r="D175" s="617"/>
      <c r="E175" s="617"/>
      <c r="F175" s="617"/>
      <c r="G175" s="617"/>
      <c r="H175" s="619"/>
      <c r="I175" s="617"/>
      <c r="J175" s="617"/>
      <c r="K175" s="1706">
        <f>'Revenues 9-14'!E275-'Expenditures 15-22'!K174</f>
        <v>166647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31522</v>
      </c>
      <c r="D182" s="466">
        <v>2446</v>
      </c>
      <c r="E182" s="466">
        <v>598707</v>
      </c>
      <c r="F182" s="466"/>
      <c r="G182" s="466"/>
      <c r="H182" s="466"/>
      <c r="I182" s="467"/>
      <c r="J182" s="467"/>
      <c r="K182" s="1693">
        <f>SUM(C182:J182)</f>
        <v>632675</v>
      </c>
      <c r="L182" s="466">
        <v>653960</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31522</v>
      </c>
      <c r="D184" s="1699">
        <f t="shared" ref="D184:J184" si="17">SUM(D180,D182,D183)</f>
        <v>2446</v>
      </c>
      <c r="E184" s="1699">
        <f t="shared" si="17"/>
        <v>598707</v>
      </c>
      <c r="F184" s="1699">
        <f t="shared" si="17"/>
        <v>0</v>
      </c>
      <c r="G184" s="1699">
        <f t="shared" si="17"/>
        <v>0</v>
      </c>
      <c r="H184" s="1699">
        <f t="shared" si="17"/>
        <v>0</v>
      </c>
      <c r="I184" s="1699">
        <f t="shared" si="17"/>
        <v>0</v>
      </c>
      <c r="J184" s="1699">
        <f t="shared" si="17"/>
        <v>0</v>
      </c>
      <c r="K184" s="1699">
        <f>SUM(K180,K182,K183)</f>
        <v>632675</v>
      </c>
      <c r="L184" s="1699">
        <f>SUM(L180, L182:L183)</f>
        <v>653960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31522</v>
      </c>
      <c r="D210" s="1692">
        <f>SUM(D184,D185)</f>
        <v>2446</v>
      </c>
      <c r="E210" s="1692">
        <f>SUM(E184,E185,E196)</f>
        <v>598707</v>
      </c>
      <c r="F210" s="1692">
        <f>SUM(F184,F185)</f>
        <v>0</v>
      </c>
      <c r="G210" s="1692">
        <f>SUM(G184,G185)</f>
        <v>0</v>
      </c>
      <c r="H210" s="1692">
        <f>SUM(H184,H185,H196,H208,H209)</f>
        <v>0</v>
      </c>
      <c r="I210" s="1692">
        <f>SUM(I184,I185)</f>
        <v>0</v>
      </c>
      <c r="J210" s="1692">
        <f>SUM(J184,J185)</f>
        <v>0</v>
      </c>
      <c r="K210" s="1693">
        <f>SUM(K184,K185,K196,K208,K209)</f>
        <v>632675</v>
      </c>
      <c r="L210" s="1692">
        <f>SUM(L184,L185,L196,L208,L209)</f>
        <v>653960</v>
      </c>
    </row>
    <row r="211" spans="1:14" ht="13.5" thickTop="1" x14ac:dyDescent="0.2">
      <c r="A211" s="2173" t="s">
        <v>1052</v>
      </c>
      <c r="B211" s="2174"/>
      <c r="C211" s="619"/>
      <c r="D211" s="619"/>
      <c r="E211" s="619"/>
      <c r="F211" s="619"/>
      <c r="G211" s="619"/>
      <c r="H211" s="619"/>
      <c r="I211" s="617"/>
      <c r="J211" s="617"/>
      <c r="K211" s="1706">
        <f>'Revenues 9-14'!F275-'Expenditures 15-22'!K210</f>
        <v>17262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1021</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59237</v>
      </c>
      <c r="E215" s="617"/>
      <c r="F215" s="617"/>
      <c r="G215" s="617"/>
      <c r="H215" s="617"/>
      <c r="I215" s="617"/>
      <c r="J215" s="617"/>
      <c r="K215" s="1693">
        <f>D215</f>
        <v>59237</v>
      </c>
      <c r="L215" s="466">
        <v>63684</v>
      </c>
    </row>
    <row r="216" spans="1:14" x14ac:dyDescent="0.2">
      <c r="A216" s="1526" t="s">
        <v>165</v>
      </c>
      <c r="B216" s="615" t="s">
        <v>1023</v>
      </c>
      <c r="C216" s="617"/>
      <c r="D216" s="467">
        <v>1430</v>
      </c>
      <c r="E216" s="617"/>
      <c r="F216" s="617"/>
      <c r="G216" s="617"/>
      <c r="H216" s="617"/>
      <c r="I216" s="617"/>
      <c r="J216" s="617"/>
      <c r="K216" s="1693">
        <f t="shared" ref="K216:K228" si="19">D216</f>
        <v>1430</v>
      </c>
      <c r="L216" s="466">
        <v>1450</v>
      </c>
    </row>
    <row r="217" spans="1:14" x14ac:dyDescent="0.2">
      <c r="A217" s="1526" t="s">
        <v>166</v>
      </c>
      <c r="B217" s="615">
        <v>1200</v>
      </c>
      <c r="C217" s="617"/>
      <c r="D217" s="466">
        <v>46895</v>
      </c>
      <c r="E217" s="617"/>
      <c r="F217" s="617"/>
      <c r="G217" s="617"/>
      <c r="H217" s="617"/>
      <c r="I217" s="617"/>
      <c r="J217" s="617"/>
      <c r="K217" s="1693">
        <f t="shared" si="19"/>
        <v>46895</v>
      </c>
      <c r="L217" s="466">
        <v>48150</v>
      </c>
    </row>
    <row r="218" spans="1:14" x14ac:dyDescent="0.2">
      <c r="A218" s="1526" t="s">
        <v>295</v>
      </c>
      <c r="B218" s="615" t="s">
        <v>1024</v>
      </c>
      <c r="C218" s="617"/>
      <c r="D218" s="467">
        <v>198</v>
      </c>
      <c r="E218" s="617"/>
      <c r="F218" s="617"/>
      <c r="G218" s="617"/>
      <c r="H218" s="617"/>
      <c r="I218" s="617"/>
      <c r="J218" s="617"/>
      <c r="K218" s="1693">
        <f t="shared" si="19"/>
        <v>198</v>
      </c>
      <c r="L218" s="466">
        <v>1400</v>
      </c>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1422</v>
      </c>
      <c r="E223" s="617"/>
      <c r="F223" s="617"/>
      <c r="G223" s="617"/>
      <c r="H223" s="617"/>
      <c r="I223" s="617"/>
      <c r="J223" s="617"/>
      <c r="K223" s="1693">
        <f t="shared" si="19"/>
        <v>1422</v>
      </c>
      <c r="L223" s="466">
        <v>1380</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c r="E226" s="617"/>
      <c r="F226" s="617"/>
      <c r="G226" s="617"/>
      <c r="H226" s="617"/>
      <c r="I226" s="617"/>
      <c r="J226" s="617"/>
      <c r="K226" s="1693">
        <f t="shared" si="19"/>
        <v>0</v>
      </c>
      <c r="L226" s="466"/>
    </row>
    <row r="227" spans="1:12" x14ac:dyDescent="0.2">
      <c r="A227" s="1526" t="s">
        <v>1147</v>
      </c>
      <c r="B227" s="615">
        <v>1800</v>
      </c>
      <c r="C227" s="617"/>
      <c r="D227" s="466">
        <v>667</v>
      </c>
      <c r="E227" s="617"/>
      <c r="F227" s="617"/>
      <c r="G227" s="617"/>
      <c r="H227" s="617"/>
      <c r="I227" s="617"/>
      <c r="J227" s="617"/>
      <c r="K227" s="1693">
        <f t="shared" si="19"/>
        <v>667</v>
      </c>
      <c r="L227" s="466">
        <v>700</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109849</v>
      </c>
      <c r="E229" s="617"/>
      <c r="F229" s="617"/>
      <c r="G229" s="617"/>
      <c r="H229" s="617"/>
      <c r="I229" s="617"/>
      <c r="J229" s="617"/>
      <c r="K229" s="1692">
        <f>SUM(K215:K228)</f>
        <v>109849</v>
      </c>
      <c r="L229" s="1692">
        <f>SUM(L215:L228)</f>
        <v>116764</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2544</v>
      </c>
      <c r="E232" s="617"/>
      <c r="F232" s="617"/>
      <c r="G232" s="617"/>
      <c r="H232" s="617"/>
      <c r="I232" s="617"/>
      <c r="J232" s="617"/>
      <c r="K232" s="1693">
        <f t="shared" ref="K232:K237" si="20">D232</f>
        <v>2544</v>
      </c>
      <c r="L232" s="466">
        <v>2525</v>
      </c>
    </row>
    <row r="233" spans="1:12" x14ac:dyDescent="0.2">
      <c r="A233" s="1526" t="s">
        <v>1150</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11649</v>
      </c>
      <c r="E234" s="617"/>
      <c r="F234" s="617"/>
      <c r="G234" s="617"/>
      <c r="H234" s="617"/>
      <c r="I234" s="617"/>
      <c r="J234" s="617"/>
      <c r="K234" s="1693">
        <f t="shared" si="20"/>
        <v>11649</v>
      </c>
      <c r="L234" s="466">
        <v>11950</v>
      </c>
    </row>
    <row r="235" spans="1:12" x14ac:dyDescent="0.2">
      <c r="A235" s="1526" t="s">
        <v>208</v>
      </c>
      <c r="B235" s="615">
        <v>2140</v>
      </c>
      <c r="C235" s="617"/>
      <c r="D235" s="466"/>
      <c r="E235" s="617"/>
      <c r="F235" s="617"/>
      <c r="G235" s="617"/>
      <c r="H235" s="617"/>
      <c r="I235" s="617"/>
      <c r="J235" s="617"/>
      <c r="K235" s="1693">
        <f t="shared" si="20"/>
        <v>0</v>
      </c>
      <c r="L235" s="466">
        <v>760</v>
      </c>
    </row>
    <row r="236" spans="1:12" x14ac:dyDescent="0.2">
      <c r="A236" s="1526" t="s">
        <v>209</v>
      </c>
      <c r="B236" s="615">
        <v>2150</v>
      </c>
      <c r="C236" s="617"/>
      <c r="D236" s="466">
        <v>2110</v>
      </c>
      <c r="E236" s="617"/>
      <c r="F236" s="617"/>
      <c r="G236" s="617"/>
      <c r="H236" s="617"/>
      <c r="I236" s="617"/>
      <c r="J236" s="617"/>
      <c r="K236" s="1693">
        <f t="shared" si="20"/>
        <v>2110</v>
      </c>
      <c r="L236" s="466">
        <v>2100</v>
      </c>
    </row>
    <row r="237" spans="1:12" x14ac:dyDescent="0.2">
      <c r="A237" s="1526" t="s">
        <v>167</v>
      </c>
      <c r="B237" s="615">
        <v>2190</v>
      </c>
      <c r="C237" s="617"/>
      <c r="D237" s="466">
        <v>7988</v>
      </c>
      <c r="E237" s="617"/>
      <c r="F237" s="617"/>
      <c r="G237" s="617"/>
      <c r="H237" s="617"/>
      <c r="I237" s="617"/>
      <c r="J237" s="617"/>
      <c r="K237" s="1693">
        <f t="shared" si="20"/>
        <v>7988</v>
      </c>
      <c r="L237" s="466">
        <v>8425</v>
      </c>
    </row>
    <row r="238" spans="1:12" ht="12.75" customHeight="1" thickBot="1" x14ac:dyDescent="0.25">
      <c r="A238" s="1690" t="s">
        <v>580</v>
      </c>
      <c r="B238" s="1697" t="s">
        <v>739</v>
      </c>
      <c r="C238" s="617"/>
      <c r="D238" s="1692">
        <f>SUM(D232:D237)</f>
        <v>24291</v>
      </c>
      <c r="E238" s="617"/>
      <c r="F238" s="617"/>
      <c r="G238" s="617"/>
      <c r="H238" s="617"/>
      <c r="I238" s="617"/>
      <c r="J238" s="617"/>
      <c r="K238" s="1692">
        <f>SUM(K232:K237)</f>
        <v>24291</v>
      </c>
      <c r="L238" s="1692">
        <f>SUM(L232:L237)</f>
        <v>25760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15246</v>
      </c>
      <c r="E240" s="617"/>
      <c r="F240" s="617"/>
      <c r="G240" s="617"/>
      <c r="H240" s="617"/>
      <c r="I240" s="617"/>
      <c r="J240" s="617"/>
      <c r="K240" s="1694">
        <f>D240</f>
        <v>15246</v>
      </c>
      <c r="L240" s="481">
        <v>19650</v>
      </c>
    </row>
    <row r="241" spans="1:12" x14ac:dyDescent="0.2">
      <c r="A241" s="1526" t="s">
        <v>868</v>
      </c>
      <c r="B241" s="615">
        <v>2220</v>
      </c>
      <c r="C241" s="617"/>
      <c r="D241" s="466"/>
      <c r="E241" s="617"/>
      <c r="F241" s="617"/>
      <c r="G241" s="617"/>
      <c r="H241" s="617"/>
      <c r="I241" s="617"/>
      <c r="J241" s="617"/>
      <c r="K241" s="1694">
        <f>D241</f>
        <v>0</v>
      </c>
      <c r="L241" s="466"/>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15246</v>
      </c>
      <c r="E243" s="617"/>
      <c r="F243" s="617"/>
      <c r="G243" s="617"/>
      <c r="H243" s="617"/>
      <c r="I243" s="617"/>
      <c r="J243" s="617"/>
      <c r="K243" s="1692">
        <f>SUM(K240:K242)</f>
        <v>15246</v>
      </c>
      <c r="L243" s="1692">
        <f>SUM(L240:L242)</f>
        <v>19650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13181</v>
      </c>
      <c r="E246" s="617"/>
      <c r="F246" s="617"/>
      <c r="G246" s="617"/>
      <c r="H246" s="617"/>
      <c r="I246" s="617"/>
      <c r="J246" s="617"/>
      <c r="K246" s="1694">
        <f t="shared" ref="K246:K256" si="21">D246</f>
        <v>13181</v>
      </c>
      <c r="L246" s="466">
        <v>14600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v>11985</v>
      </c>
      <c r="E254" s="617"/>
      <c r="F254" s="617"/>
      <c r="G254" s="617"/>
      <c r="H254" s="617"/>
      <c r="I254" s="617"/>
      <c r="J254" s="617"/>
      <c r="K254" s="1694">
        <f t="shared" si="21"/>
        <v>11985</v>
      </c>
      <c r="L254" s="466">
        <v>12400</v>
      </c>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25166</v>
      </c>
      <c r="E257" s="617"/>
      <c r="F257" s="617"/>
      <c r="G257" s="617"/>
      <c r="H257" s="617"/>
      <c r="I257" s="617"/>
      <c r="J257" s="617"/>
      <c r="K257" s="1692">
        <f>SUM(K245:K256)</f>
        <v>25166</v>
      </c>
      <c r="L257" s="1692">
        <f>SUM(L245:L256)</f>
        <v>27000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13420</v>
      </c>
      <c r="E259" s="617"/>
      <c r="F259" s="617"/>
      <c r="G259" s="617"/>
      <c r="H259" s="617"/>
      <c r="I259" s="617"/>
      <c r="J259" s="617"/>
      <c r="K259" s="1694">
        <f>D259</f>
        <v>13420</v>
      </c>
      <c r="L259" s="481">
        <v>16000</v>
      </c>
    </row>
    <row r="260" spans="1:14" s="598" customFormat="1" x14ac:dyDescent="0.2">
      <c r="A260" s="1544" t="s">
        <v>1906</v>
      </c>
      <c r="B260" s="629">
        <v>2490</v>
      </c>
      <c r="C260" s="617"/>
      <c r="D260" s="466">
        <v>1494</v>
      </c>
      <c r="E260" s="617"/>
      <c r="F260" s="617"/>
      <c r="G260" s="617"/>
      <c r="H260" s="617"/>
      <c r="I260" s="617"/>
      <c r="J260" s="617"/>
      <c r="K260" s="1694">
        <f>D260</f>
        <v>1494</v>
      </c>
      <c r="L260" s="466">
        <v>1600</v>
      </c>
      <c r="M260" s="210"/>
      <c r="N260" s="210"/>
    </row>
    <row r="261" spans="1:14" ht="12.75" customHeight="1" thickBot="1" x14ac:dyDescent="0.25">
      <c r="A261" s="1714" t="s">
        <v>281</v>
      </c>
      <c r="B261" s="1719" t="s">
        <v>34</v>
      </c>
      <c r="C261" s="617"/>
      <c r="D261" s="1692">
        <f>SUM(D259:D260)</f>
        <v>14914</v>
      </c>
      <c r="E261" s="617"/>
      <c r="F261" s="617"/>
      <c r="G261" s="617"/>
      <c r="H261" s="617"/>
      <c r="I261" s="617"/>
      <c r="J261" s="617"/>
      <c r="K261" s="1692">
        <f>SUM(K259:K260)</f>
        <v>14914</v>
      </c>
      <c r="L261" s="1692">
        <f>SUM(L259:L260)</f>
        <v>17600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404</v>
      </c>
      <c r="E263" s="617"/>
      <c r="F263" s="617"/>
      <c r="G263" s="617"/>
      <c r="H263" s="617"/>
      <c r="I263" s="617"/>
      <c r="J263" s="617"/>
      <c r="K263" s="1694">
        <f>D263</f>
        <v>404</v>
      </c>
      <c r="L263" s="481">
        <v>500</v>
      </c>
    </row>
    <row r="264" spans="1:14" x14ac:dyDescent="0.2">
      <c r="A264" s="1526" t="s">
        <v>482</v>
      </c>
      <c r="B264" s="686">
        <v>2520</v>
      </c>
      <c r="C264" s="617"/>
      <c r="D264" s="466">
        <v>16755</v>
      </c>
      <c r="E264" s="617"/>
      <c r="F264" s="617"/>
      <c r="G264" s="617"/>
      <c r="H264" s="617"/>
      <c r="I264" s="617"/>
      <c r="J264" s="617"/>
      <c r="K264" s="1694">
        <f t="shared" ref="K264:K269" si="22">D264</f>
        <v>16755</v>
      </c>
      <c r="L264" s="466">
        <v>21100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49566</v>
      </c>
      <c r="E266" s="617"/>
      <c r="F266" s="617"/>
      <c r="G266" s="617"/>
      <c r="H266" s="617"/>
      <c r="I266" s="617"/>
      <c r="J266" s="617"/>
      <c r="K266" s="1694">
        <f t="shared" si="22"/>
        <v>49566</v>
      </c>
      <c r="L266" s="466">
        <v>57000</v>
      </c>
    </row>
    <row r="267" spans="1:14" x14ac:dyDescent="0.2">
      <c r="A267" s="1526" t="s">
        <v>1009</v>
      </c>
      <c r="B267" s="615">
        <v>2550</v>
      </c>
      <c r="C267" s="617"/>
      <c r="D267" s="466">
        <v>3536</v>
      </c>
      <c r="E267" s="617"/>
      <c r="F267" s="617"/>
      <c r="G267" s="617"/>
      <c r="H267" s="617"/>
      <c r="I267" s="617"/>
      <c r="J267" s="617"/>
      <c r="K267" s="1694">
        <f t="shared" si="22"/>
        <v>3536</v>
      </c>
      <c r="L267" s="466">
        <v>3725</v>
      </c>
    </row>
    <row r="268" spans="1:14" x14ac:dyDescent="0.2">
      <c r="A268" s="1526" t="s">
        <v>102</v>
      </c>
      <c r="B268" s="615">
        <v>2560</v>
      </c>
      <c r="C268" s="617"/>
      <c r="D268" s="466">
        <v>28721</v>
      </c>
      <c r="E268" s="617"/>
      <c r="F268" s="617"/>
      <c r="G268" s="617"/>
      <c r="H268" s="617"/>
      <c r="I268" s="617"/>
      <c r="J268" s="617"/>
      <c r="K268" s="1694">
        <f t="shared" si="22"/>
        <v>28721</v>
      </c>
      <c r="L268" s="466">
        <v>30500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98982</v>
      </c>
      <c r="E270" s="617"/>
      <c r="F270" s="617"/>
      <c r="G270" s="617"/>
      <c r="H270" s="617"/>
      <c r="I270" s="617"/>
      <c r="J270" s="617"/>
      <c r="K270" s="1692">
        <f>SUM(K263:K269)</f>
        <v>98982</v>
      </c>
      <c r="L270" s="1692">
        <f>SUM(L263:L269)</f>
        <v>112825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2235</v>
      </c>
      <c r="E274" s="617"/>
      <c r="F274" s="617"/>
      <c r="G274" s="617"/>
      <c r="H274" s="617"/>
      <c r="I274" s="617"/>
      <c r="J274" s="617"/>
      <c r="K274" s="1694">
        <f>D274</f>
        <v>2235</v>
      </c>
      <c r="L274" s="466">
        <v>2340</v>
      </c>
    </row>
    <row r="275" spans="1:12" x14ac:dyDescent="0.2">
      <c r="A275" s="1526" t="s">
        <v>422</v>
      </c>
      <c r="B275" s="615">
        <v>2640</v>
      </c>
      <c r="C275" s="617"/>
      <c r="D275" s="466">
        <v>25</v>
      </c>
      <c r="E275" s="617"/>
      <c r="F275" s="617"/>
      <c r="G275" s="617"/>
      <c r="H275" s="617"/>
      <c r="I275" s="617"/>
      <c r="J275" s="617"/>
      <c r="K275" s="1694">
        <f>D275</f>
        <v>25</v>
      </c>
      <c r="L275" s="466">
        <v>50</v>
      </c>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2260</v>
      </c>
      <c r="E277" s="617"/>
      <c r="F277" s="617"/>
      <c r="G277" s="617"/>
      <c r="H277" s="617"/>
      <c r="I277" s="617"/>
      <c r="J277" s="617"/>
      <c r="K277" s="1692">
        <f>SUM(K272:K276)</f>
        <v>2260</v>
      </c>
      <c r="L277" s="1692">
        <f>SUM(L272:L276)</f>
        <v>2390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180859</v>
      </c>
      <c r="E279" s="617"/>
      <c r="F279" s="617"/>
      <c r="G279" s="617"/>
      <c r="H279" s="617"/>
      <c r="I279" s="617"/>
      <c r="J279" s="617"/>
      <c r="K279" s="1699">
        <f>SUM(K238,K243,K257,K261,K270,K277,K278)</f>
        <v>180859</v>
      </c>
      <c r="L279" s="1699">
        <f>SUM(L238,L243,L257,L261,L270,L277,L278)</f>
        <v>205225</v>
      </c>
    </row>
    <row r="280" spans="1:12" ht="15.75" customHeight="1" thickTop="1" thickBot="1" x14ac:dyDescent="0.25">
      <c r="A280" s="1646" t="s">
        <v>929</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1955</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1" t="s">
        <v>525</v>
      </c>
      <c r="B295" s="2192"/>
      <c r="C295" s="617"/>
      <c r="D295" s="1692">
        <f>SUM(D229,D279,D280,D285)</f>
        <v>290708</v>
      </c>
      <c r="E295" s="617"/>
      <c r="F295" s="617"/>
      <c r="G295" s="617"/>
      <c r="H295" s="1692">
        <f>H293</f>
        <v>0</v>
      </c>
      <c r="I295" s="617"/>
      <c r="J295" s="617"/>
      <c r="K295" s="1692">
        <f>SUM(K229,K279,K280,K285,K293,K294)</f>
        <v>290708</v>
      </c>
      <c r="L295" s="1692">
        <f>SUM(L229,L279,L280,L285,L293,L294)</f>
        <v>321989</v>
      </c>
    </row>
    <row r="296" spans="1:14" ht="13.5" thickTop="1" x14ac:dyDescent="0.2">
      <c r="A296" s="2173" t="s">
        <v>1052</v>
      </c>
      <c r="B296" s="2174"/>
      <c r="C296" s="617"/>
      <c r="D296" s="619"/>
      <c r="E296" s="617"/>
      <c r="F296" s="617"/>
      <c r="G296" s="617"/>
      <c r="H296" s="688"/>
      <c r="I296" s="617"/>
      <c r="J296" s="617"/>
      <c r="K296" s="1706">
        <f>'Revenues 9-14'!G275-'Expenditures 15-22'!K295</f>
        <v>175034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11509</v>
      </c>
      <c r="F301" s="466"/>
      <c r="G301" s="466">
        <v>152829</v>
      </c>
      <c r="H301" s="466"/>
      <c r="I301" s="467">
        <v>2542</v>
      </c>
      <c r="J301" s="467"/>
      <c r="K301" s="1693">
        <f>SUM(C301:J301)</f>
        <v>166880</v>
      </c>
      <c r="L301" s="467">
        <v>208009</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11509</v>
      </c>
      <c r="F303" s="1699">
        <f t="shared" si="23"/>
        <v>0</v>
      </c>
      <c r="G303" s="1699">
        <f t="shared" si="23"/>
        <v>152829</v>
      </c>
      <c r="H303" s="1699">
        <f t="shared" si="23"/>
        <v>0</v>
      </c>
      <c r="I303" s="1699">
        <f t="shared" si="23"/>
        <v>2542</v>
      </c>
      <c r="J303" s="1699">
        <f t="shared" si="23"/>
        <v>0</v>
      </c>
      <c r="K303" s="1699">
        <f t="shared" si="23"/>
        <v>166880</v>
      </c>
      <c r="L303" s="1699">
        <f t="shared" si="23"/>
        <v>208009</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8" t="s">
        <v>294</v>
      </c>
      <c r="B312" s="2189"/>
      <c r="C312" s="1692">
        <f>SUM(C303)</f>
        <v>0</v>
      </c>
      <c r="D312" s="1692">
        <f>SUM(D303)</f>
        <v>0</v>
      </c>
      <c r="E312" s="1692">
        <f>SUM(E303,E310)</f>
        <v>11509</v>
      </c>
      <c r="F312" s="1692">
        <f>SUM(F303)</f>
        <v>0</v>
      </c>
      <c r="G312" s="1692">
        <f>SUM(G303)</f>
        <v>152829</v>
      </c>
      <c r="H312" s="1692">
        <f>SUM(H303,H310)</f>
        <v>0</v>
      </c>
      <c r="I312" s="1692">
        <f>SUM(I303)</f>
        <v>2542</v>
      </c>
      <c r="J312" s="1692">
        <f>SUM(J303)</f>
        <v>0</v>
      </c>
      <c r="K312" s="1692">
        <f>SUM(K303,K310,K311)</f>
        <v>166880</v>
      </c>
      <c r="L312" s="1692">
        <f>SUM(L303,L310,L311)</f>
        <v>208009</v>
      </c>
      <c r="M312" s="666"/>
      <c r="N312" s="666"/>
    </row>
    <row r="313" spans="1:14" ht="13.5" thickTop="1" x14ac:dyDescent="0.2">
      <c r="A313" s="2184" t="s">
        <v>1052</v>
      </c>
      <c r="B313" s="2185"/>
      <c r="C313" s="627"/>
      <c r="D313" s="627"/>
      <c r="E313" s="627"/>
      <c r="F313" s="627"/>
      <c r="G313" s="627"/>
      <c r="H313" s="627"/>
      <c r="I313" s="627"/>
      <c r="J313" s="627"/>
      <c r="K313" s="1707">
        <f>'Revenues 9-14'!H275-'Expenditures 15-22'!K312</f>
        <v>158882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953</v>
      </c>
      <c r="B317" s="2198"/>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v>39729</v>
      </c>
      <c r="F320" s="467"/>
      <c r="G320" s="467"/>
      <c r="H320" s="467"/>
      <c r="I320" s="467"/>
      <c r="J320" s="467"/>
      <c r="K320" s="1693">
        <f t="shared" ref="K320:K327" si="24">SUM(C320:J320)</f>
        <v>39729</v>
      </c>
      <c r="L320" s="467">
        <v>45000</v>
      </c>
      <c r="M320" s="666"/>
      <c r="N320" s="666"/>
    </row>
    <row r="321" spans="1:14" s="675" customFormat="1" x14ac:dyDescent="0.2">
      <c r="A321" s="1541" t="s">
        <v>317</v>
      </c>
      <c r="B321" s="698" t="s">
        <v>300</v>
      </c>
      <c r="C321" s="467"/>
      <c r="D321" s="467"/>
      <c r="E321" s="467">
        <v>12474</v>
      </c>
      <c r="F321" s="467"/>
      <c r="G321" s="467"/>
      <c r="H321" s="467"/>
      <c r="I321" s="467"/>
      <c r="J321" s="467"/>
      <c r="K321" s="1693">
        <f t="shared" si="24"/>
        <v>12474</v>
      </c>
      <c r="L321" s="467">
        <v>12474</v>
      </c>
      <c r="M321" s="666"/>
      <c r="N321" s="666"/>
    </row>
    <row r="322" spans="1:14" s="675" customFormat="1" x14ac:dyDescent="0.2">
      <c r="A322" s="1541" t="s">
        <v>256</v>
      </c>
      <c r="B322" s="698" t="s">
        <v>301</v>
      </c>
      <c r="C322" s="467"/>
      <c r="D322" s="467"/>
      <c r="E322" s="467">
        <v>68576</v>
      </c>
      <c r="F322" s="467"/>
      <c r="G322" s="467"/>
      <c r="H322" s="467"/>
      <c r="I322" s="467"/>
      <c r="J322" s="467"/>
      <c r="K322" s="1693">
        <f t="shared" si="24"/>
        <v>68576</v>
      </c>
      <c r="L322" s="467">
        <v>92000</v>
      </c>
      <c r="M322" s="666"/>
      <c r="N322" s="666"/>
    </row>
    <row r="323" spans="1:14" s="675" customFormat="1" x14ac:dyDescent="0.2">
      <c r="A323" s="1541" t="s">
        <v>725</v>
      </c>
      <c r="B323" s="698" t="s">
        <v>302</v>
      </c>
      <c r="C323" s="467"/>
      <c r="D323" s="467"/>
      <c r="E323" s="467">
        <v>11960</v>
      </c>
      <c r="F323" s="467"/>
      <c r="G323" s="467"/>
      <c r="H323" s="467"/>
      <c r="I323" s="467"/>
      <c r="J323" s="467"/>
      <c r="K323" s="1693">
        <f t="shared" si="24"/>
        <v>11960</v>
      </c>
      <c r="L323" s="467">
        <v>12000</v>
      </c>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136616</v>
      </c>
      <c r="D325" s="467">
        <v>12968</v>
      </c>
      <c r="E325" s="467">
        <v>18729</v>
      </c>
      <c r="F325" s="467"/>
      <c r="G325" s="467"/>
      <c r="H325" s="467"/>
      <c r="I325" s="467">
        <v>930</v>
      </c>
      <c r="J325" s="467"/>
      <c r="K325" s="1693">
        <f t="shared" si="24"/>
        <v>169243</v>
      </c>
      <c r="L325" s="467">
        <v>159265</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v>10000</v>
      </c>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136616</v>
      </c>
      <c r="D330" s="1692">
        <f t="shared" ref="D330:J330" si="25">SUM(D319:D329)</f>
        <v>12968</v>
      </c>
      <c r="E330" s="1692">
        <f t="shared" si="25"/>
        <v>151468</v>
      </c>
      <c r="F330" s="1692">
        <f t="shared" si="25"/>
        <v>0</v>
      </c>
      <c r="G330" s="1692">
        <f t="shared" si="25"/>
        <v>0</v>
      </c>
      <c r="H330" s="1692">
        <f t="shared" si="25"/>
        <v>0</v>
      </c>
      <c r="I330" s="1692">
        <f t="shared" si="25"/>
        <v>930</v>
      </c>
      <c r="J330" s="1692">
        <f t="shared" si="25"/>
        <v>0</v>
      </c>
      <c r="K330" s="1692">
        <f>SUM(K319:K329)</f>
        <v>301982</v>
      </c>
      <c r="L330" s="1692">
        <f>SUM(L319:L329)</f>
        <v>330739</v>
      </c>
      <c r="M330" s="666"/>
      <c r="N330" s="666"/>
    </row>
    <row r="331" spans="1:14" s="675" customFormat="1" ht="12.75" customHeight="1" thickTop="1" x14ac:dyDescent="0.2">
      <c r="A331" s="1854" t="s">
        <v>1961</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136616</v>
      </c>
      <c r="D342" s="1692">
        <f>SUM(D330)</f>
        <v>12968</v>
      </c>
      <c r="E342" s="1692">
        <f>SUM(E330)</f>
        <v>151468</v>
      </c>
      <c r="F342" s="1692">
        <f>SUM(F330)</f>
        <v>0</v>
      </c>
      <c r="G342" s="1692">
        <f>SUM(G330)</f>
        <v>0</v>
      </c>
      <c r="H342" s="1692">
        <f>SUM(H330,H334,H340)</f>
        <v>0</v>
      </c>
      <c r="I342" s="1692">
        <f>SUM(I330)</f>
        <v>930</v>
      </c>
      <c r="J342" s="1692">
        <f>SUM(J330)</f>
        <v>0</v>
      </c>
      <c r="K342" s="1692">
        <f>SUM(K330,K334,K340)</f>
        <v>301982</v>
      </c>
      <c r="L342" s="1699">
        <f>SUM(L330,L340,L341)</f>
        <v>330739</v>
      </c>
    </row>
    <row r="343" spans="1:14" ht="12.75" customHeight="1" thickTop="1" x14ac:dyDescent="0.2">
      <c r="A343" s="2186" t="s">
        <v>1052</v>
      </c>
      <c r="B343" s="2187"/>
      <c r="C343" s="617"/>
      <c r="D343" s="617"/>
      <c r="E343" s="617"/>
      <c r="F343" s="617"/>
      <c r="G343" s="617"/>
      <c r="H343" s="617"/>
      <c r="I343" s="617"/>
      <c r="J343" s="617"/>
      <c r="K343" s="1706">
        <f>'Revenues 9-14'!J275-'Expenditures 15-22'!K342</f>
        <v>255554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1022</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3" t="s">
        <v>1052</v>
      </c>
      <c r="B368" s="2174"/>
      <c r="C368" s="655"/>
      <c r="D368" s="655"/>
      <c r="E368" s="627"/>
      <c r="F368" s="627"/>
      <c r="G368" s="627"/>
      <c r="H368" s="627"/>
      <c r="I368" s="627"/>
      <c r="J368" s="624"/>
      <c r="K368" s="1693">
        <f>'Revenues 9-14'!K275-'Expenditures 15-22'!K367</f>
        <v>118646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infopath/2007/PartnerControls"/>
    <ds:schemaRef ds:uri="http://purl.org/dc/dcmitype/"/>
    <ds:schemaRef ds:uri="http://purl.org/dc/elements/1.1/"/>
    <ds:schemaRef ds:uri="http://schemas.microsoft.com/office/2006/documentManagement/types"/>
    <ds:schemaRef ds:uri="http://schemas.openxmlformats.org/package/2006/metadata/core-properties"/>
    <ds:schemaRef ds:uri="http://schemas.microsoft.com/sharepoint/v3"/>
    <ds:schemaRef ds:uri="4d435f69-8686-490b-bd6d-b153bf22ab50"/>
    <ds:schemaRef ds:uri="d21dc803-237d-4c68-8692-8d731fd29118"/>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2018-10-02T15:07:13Z</cp:lastPrinted>
  <dcterms:created xsi:type="dcterms:W3CDTF">2003-10-29T19:06:34Z</dcterms:created>
  <dcterms:modified xsi:type="dcterms:W3CDTF">2018-10-10T17:10:40Z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