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2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D45" i="174" l="1"/>
  <c r="M27" i="183"/>
  <c r="K27" i="183"/>
  <c r="I27" i="183"/>
  <c r="G27" i="183"/>
  <c r="F27" i="183"/>
  <c r="E27" i="183"/>
  <c r="K25" i="183"/>
  <c r="I25" i="183"/>
  <c r="L25" i="183" s="1"/>
  <c r="G25" i="183"/>
  <c r="E25" i="183"/>
  <c r="F25" i="183"/>
  <c r="M20" i="183"/>
  <c r="K20" i="183"/>
  <c r="I20" i="183"/>
  <c r="G20" i="183"/>
  <c r="F20" i="183"/>
  <c r="E20" i="183"/>
  <c r="M17" i="183"/>
  <c r="K17" i="183"/>
  <c r="I17" i="183"/>
  <c r="G17" i="183"/>
  <c r="F17" i="183"/>
  <c r="E17" i="183"/>
  <c r="L26" i="183"/>
  <c r="L24" i="183"/>
  <c r="L23" i="183"/>
  <c r="L21" i="183"/>
  <c r="L20" i="183"/>
  <c r="L19" i="183"/>
  <c r="L18" i="183"/>
  <c r="L17" i="183"/>
  <c r="L16" i="183"/>
  <c r="L15" i="183"/>
  <c r="L14" i="183"/>
  <c r="L13" i="183"/>
  <c r="L12" i="183"/>
  <c r="L11" i="183"/>
  <c r="B4" i="183"/>
  <c r="B1" i="183"/>
  <c r="K22" i="179"/>
  <c r="I22" i="179"/>
  <c r="G22" i="179"/>
  <c r="F22" i="179"/>
  <c r="E22" i="179"/>
  <c r="E75" i="4"/>
  <c r="J35" i="8"/>
  <c r="C5" i="5"/>
  <c r="L27" i="183" l="1"/>
  <c r="L22" i="18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9" l="1"/>
  <c r="B2" i="18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F27" i="108"/>
  <c r="G27" i="108"/>
  <c r="E28" i="108"/>
  <c r="F28" i="108"/>
  <c r="F31" i="108"/>
  <c r="F36" i="108"/>
  <c r="F37" i="108"/>
  <c r="G28" i="108"/>
  <c r="G30"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F131" i="34" s="1"/>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F136" i="34"/>
  <c r="F127" i="34"/>
  <c r="B5847" i="106"/>
  <c r="D5847" i="106" s="1"/>
  <c r="B5599" i="106"/>
  <c r="D5599" i="106" s="1"/>
  <c r="K274" i="5"/>
  <c r="H173" i="5"/>
  <c r="B5906" i="106" s="1"/>
  <c r="D5906" i="106" s="1"/>
  <c r="D7" i="7"/>
  <c r="B1763" i="106" s="1"/>
  <c r="D1763" i="106" s="1"/>
  <c r="H6" i="4"/>
  <c r="B2656" i="106" s="1"/>
  <c r="D2656" i="106" s="1"/>
  <c r="D17" i="7"/>
  <c r="B4104" i="106" s="1"/>
  <c r="D4104" i="106" s="1"/>
  <c r="D11" i="7"/>
  <c r="B1768" i="106" s="1"/>
  <c r="D1768" i="106" s="1"/>
  <c r="D15" i="7"/>
  <c r="B1772" i="106" s="1"/>
  <c r="D1772" i="106" s="1"/>
  <c r="D13" i="7" l="1"/>
  <c r="B3726" i="106" s="1"/>
  <c r="D3726" i="106" s="1"/>
  <c r="G173" i="5"/>
  <c r="B5778" i="106" s="1"/>
  <c r="D5778" i="106" s="1"/>
  <c r="B5770" i="106"/>
  <c r="D5770" i="106" s="1"/>
  <c r="F128" i="34"/>
  <c r="K173" i="5"/>
  <c r="K6" i="4" s="1"/>
  <c r="B3570" i="106" s="1"/>
  <c r="D3570" i="106" s="1"/>
  <c r="B3649" i="106"/>
  <c r="D3649" i="106" s="1"/>
  <c r="G367" i="29"/>
  <c r="D12" i="7"/>
  <c r="B1769" i="106" s="1"/>
  <c r="D1769" i="106" s="1"/>
  <c r="F106" i="34"/>
  <c r="B5752" i="106"/>
  <c r="D5752" i="106" s="1"/>
  <c r="F130" i="34"/>
  <c r="D9" i="7"/>
  <c r="B1767" i="106" s="1"/>
  <c r="D1767" i="106" s="1"/>
  <c r="B7041" i="106"/>
  <c r="D7041" i="106" s="1"/>
  <c r="I173" i="5"/>
  <c r="B4216" i="106" s="1"/>
  <c r="D4216" i="106" s="1"/>
  <c r="L367" i="29"/>
  <c r="F66" i="34"/>
  <c r="F45" i="34"/>
  <c r="K28" i="118"/>
  <c r="O27" i="118" s="1"/>
  <c r="O29" i="118" s="1"/>
  <c r="H109" i="5"/>
  <c r="L342" i="29"/>
  <c r="B4268" i="106"/>
  <c r="D4268" i="106" s="1"/>
  <c r="F77" i="4"/>
  <c r="B3255" i="106" s="1"/>
  <c r="D3255" i="106" s="1"/>
  <c r="F21" i="8"/>
  <c r="G210" i="29"/>
  <c r="G15" i="145"/>
  <c r="K24" i="12"/>
  <c r="K350" i="29"/>
  <c r="B3621" i="106"/>
  <c r="D3621" i="106" s="1"/>
  <c r="C367" i="29"/>
  <c r="H367" i="29"/>
  <c r="B3660" i="106" s="1"/>
  <c r="D3660" i="106" s="1"/>
  <c r="L5" i="11"/>
  <c r="B2056" i="106" s="1"/>
  <c r="D2056" i="106" s="1"/>
  <c r="F19" i="7"/>
  <c r="B1807" i="106" s="1"/>
  <c r="D1807" i="106" s="1"/>
  <c r="F67" i="34"/>
  <c r="B1410" i="106"/>
  <c r="D1410" i="106" s="1"/>
  <c r="G29" i="108"/>
  <c r="E29" i="108"/>
  <c r="K184" i="29"/>
  <c r="F13" i="4" s="1"/>
  <c r="B2596" i="106" s="1"/>
  <c r="D2596" i="106" s="1"/>
  <c r="E174" i="29"/>
  <c r="B1309" i="106" s="1"/>
  <c r="D1309" i="106" s="1"/>
  <c r="B1329" i="106"/>
  <c r="D1329" i="106" s="1"/>
  <c r="F61" i="34"/>
  <c r="C129" i="29"/>
  <c r="G35" i="108"/>
  <c r="E35" i="108"/>
  <c r="E30" i="108"/>
  <c r="F26" i="108"/>
  <c r="F41" i="108" s="1"/>
  <c r="G43" i="108" s="1"/>
  <c r="B1126" i="106"/>
  <c r="D1126" i="106" s="1"/>
  <c r="D26" i="108"/>
  <c r="D41" i="108" s="1"/>
  <c r="E43" i="108" s="1"/>
  <c r="F38" i="34"/>
  <c r="F34" i="34"/>
  <c r="G109" i="5"/>
  <c r="E109" i="5"/>
  <c r="E4" i="4" s="1"/>
  <c r="B2630" i="106" s="1"/>
  <c r="D2630" i="106" s="1"/>
  <c r="B1746" i="106"/>
  <c r="D1746" i="106" s="1"/>
  <c r="B6025" i="106"/>
  <c r="D6025" i="106" s="1"/>
  <c r="H4" i="4"/>
  <c r="B2655" i="106" s="1"/>
  <c r="D2655" i="106" s="1"/>
  <c r="F111" i="34"/>
  <c r="D109" i="5"/>
  <c r="D5" i="7"/>
  <c r="B1761" i="106" s="1"/>
  <c r="D1761" i="106" s="1"/>
  <c r="C172" i="5"/>
  <c r="B5214" i="106" s="1"/>
  <c r="D5214" i="106" s="1"/>
  <c r="B5096" i="106"/>
  <c r="D5096" i="106" s="1"/>
  <c r="C109" i="5"/>
  <c r="B5121" i="106" s="1"/>
  <c r="D5121" i="106" s="1"/>
  <c r="D4" i="7"/>
  <c r="B1760" i="106" s="1"/>
  <c r="D1760" i="106" s="1"/>
  <c r="B6289" i="106"/>
  <c r="D6289" i="106" s="1"/>
  <c r="D54" i="36"/>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1365" i="106" l="1"/>
  <c r="D1365" i="106" s="1"/>
  <c r="F65" i="34"/>
  <c r="B3670" i="106"/>
  <c r="D3670" i="106" s="1"/>
  <c r="K352" i="29"/>
  <c r="K367" i="29" s="1"/>
  <c r="B1879" i="106"/>
  <c r="D1879" i="106" s="1"/>
  <c r="H22" i="37"/>
  <c r="B7733" i="106"/>
  <c r="D7733" i="106" s="1"/>
  <c r="K26" i="12"/>
  <c r="B7743" i="106" s="1"/>
  <c r="D7743" i="106" s="1"/>
  <c r="L16" i="11"/>
  <c r="B2061" i="106" s="1"/>
  <c r="D2061" i="106" s="1"/>
  <c r="K342" i="29"/>
  <c r="F13" i="34" s="1"/>
  <c r="B1381" i="106"/>
  <c r="D1381" i="106" s="1"/>
  <c r="L114" i="29"/>
  <c r="C114" i="29"/>
  <c r="B757" i="106" s="1"/>
  <c r="D757" i="106" s="1"/>
  <c r="B6024" i="106"/>
  <c r="D6024" i="106" s="1"/>
  <c r="G4" i="4"/>
  <c r="B2603" i="106" s="1"/>
  <c r="D2603" i="106" s="1"/>
  <c r="F275" i="5"/>
  <c r="B5720" i="106" s="1"/>
  <c r="D5720" i="106" s="1"/>
  <c r="B5356" i="106"/>
  <c r="D5356" i="106" s="1"/>
  <c r="D4" i="4"/>
  <c r="B2564" i="106" s="1"/>
  <c r="D2564" i="106" s="1"/>
  <c r="C173" i="5"/>
  <c r="B5223" i="106" s="1"/>
  <c r="D522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B2658" i="106"/>
  <c r="D2658" i="106" s="1"/>
  <c r="H10" i="4"/>
  <c r="B4127" i="106" s="1"/>
  <c r="D4127" i="106" s="1"/>
  <c r="D7" i="4"/>
  <c r="D275" i="5"/>
  <c r="B5507" i="106"/>
  <c r="D5507" i="106" s="1"/>
  <c r="B7298" i="106"/>
  <c r="B7299" i="106"/>
  <c r="J17" i="4" l="1"/>
  <c r="K13" i="4"/>
  <c r="B3572" i="106" s="1"/>
  <c r="D3572" i="106" s="1"/>
  <c r="B3672" i="106"/>
  <c r="D3672" i="106" s="1"/>
  <c r="B7224" i="106"/>
  <c r="D7224"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<sst xmlns="http://schemas.openxmlformats.org/spreadsheetml/2006/main" count="5332" uniqueCount="2254">
  <si>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</si>
  <si>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</si>
  <si>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</si>
  <si>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</si>
  <si>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</si>
  <si>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</si>
  <si>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</si>
  <si>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</si>
  <si>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</si>
  <si>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</si>
  <si>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</si>
  <si>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</si>
  <si>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</si>
  <si>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</si>
  <si>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</si>
  <si>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</si>
  <si>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</si>
  <si>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</si>
  <si>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</si>
  <si>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</si>
  <si>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</si>
  <si>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</si>
  <si>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</si>
  <si>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</si>
  <si>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</si>
  <si>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</si>
  <si>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</si>
  <si>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</si>
  <si>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</si>
  <si>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</si>
  <si>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</si>
  <si>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</si>
  <si>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</si>
  <si>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</si>
  <si>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</si>
  <si>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</si>
  <si>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</si>
  <si>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</si>
  <si>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</si>
  <si>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</si>
  <si>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</si>
  <si>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</si>
  <si>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</si>
  <si>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</si>
  <si>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</si>
  <si>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</si>
  <si>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</si>
  <si>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</si>
  <si>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</si>
  <si>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</si>
  <si>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</si>
  <si>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</si>
  <si>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</si>
  <si>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</si>
  <si>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</si>
  <si>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</si>
  <si>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</si>
  <si>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</si>
  <si>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</si>
  <si>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</si>
  <si>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</si>
  <si>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</si>
  <si>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</si>
  <si>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</si>
  <si>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</si>
  <si>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</si>
  <si>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</si>
  <si>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</si>
  <si>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</si>
  <si>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</si>
  <si>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</si>
  <si>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</si>
  <si>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</si>
  <si>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</si>
  <si>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</si>
  <si>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</si>
  <si>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</si>
  <si>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</si>
  <si>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</si>
  <si>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</si>
  <si>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</si>
  <si>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</si>
  <si>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</si>
  <si>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</si>
  <si>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</si>
  <si>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</si>
  <si>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</si>
  <si>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</si>
  <si>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</si>
  <si>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</si>
  <si>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</si>
  <si>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</si>
  <si>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</si>
  <si>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</si>
  <si>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</si>
  <si>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</si>
  <si>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</si>
  <si>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</si>
  <si>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</si>
  <si>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</si>
  <si>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</si>
  <si>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</si>
  <si>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</si>
  <si>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</si>
  <si>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</si>
  <si>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</si>
  <si>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</si>
  <si>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</si>
  <si>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</si>
  <si>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</si>
  <si>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</si>
  <si>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</si>
  <si>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</si>
  <si>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</si>
  <si>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</si>
  <si>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</si>
  <si>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</si>
  <si>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</si>
  <si>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</si>
  <si>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</si>
  <si>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</si>
  <si>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</si>
  <si>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</si>
  <si>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</si>
  <si>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</si>
  <si>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</si>
  <si>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</si>
  <si>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</si>
  <si>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</si>
  <si>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</si>
  <si>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</si>
  <si>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</si>
  <si>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</si>
  <si>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</si>
  <si>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</si>
  <si>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</si>
  <si>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</si>
  <si>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</si>
  <si>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</si>
  <si>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</si>
  <si>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</si>
  <si>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</si>
  <si>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</si>
  <si>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</si>
  <si>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</si>
  <si>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</si>
  <si>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</si>
  <si>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</si>
  <si>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</si>
  <si>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</si>
  <si>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</si>
  <si>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</si>
  <si>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</si>
  <si>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</si>
  <si>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</si>
  <si>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</si>
  <si>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</si>
  <si>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</si>
  <si>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</si>
  <si>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</si>
  <si>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</si>
  <si>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</si>
  <si>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</si>
  <si>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</si>
  <si>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</si>
  <si>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</si>
  <si>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</si>
  <si>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</si>
  <si>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</si>
  <si>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</si>
  <si>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</si>
  <si>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</si>
  <si>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</si>
  <si>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</si>
  <si>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</si>
  <si>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</si>
  <si>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</si>
  <si>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</si>
  <si>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</si>
  <si>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</si>
  <si>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</si>
  <si>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</si>
  <si>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</si>
  <si>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</si>
  <si>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</si>
  <si>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</si>
  <si>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</si>
  <si>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</si>
  <si>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</si>
  <si>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</si>
  <si>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</si>
  <si>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</si>
  <si>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</si>
  <si>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</si>
  <si>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</si>
  <si>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</si>
  <si>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</si>
  <si>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</si>
  <si>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</si>
  <si>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</si>
  <si>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</si>
  <si>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</si>
  <si>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</si>
  <si>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</si>
  <si>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</si>
  <si>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</si>
  <si>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</si>
  <si>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</si>
  <si>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</si>
  <si>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</si>
  <si>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</si>
  <si>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</si>
  <si>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</si>
  <si>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</si>
  <si>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</si>
  <si>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</si>
  <si>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</si>
  <si>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</si>
  <si>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</si>
  <si>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</si>
  <si>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</si>
  <si>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</si>
  <si>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</si>
  <si>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</si>
  <si>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</si>
  <si>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</si>
  <si>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</si>
  <si>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</si>
  <si>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</si>
  <si>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</si>
  <si>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</si>
  <si>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</si>
  <si>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</si>
  <si>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</si>
  <si>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</si>
  <si>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</si>
  <si>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</si>
  <si>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</si>
  <si>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</si>
  <si>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</si>
  <si>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</si>
  <si>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</si>
  <si>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</si>
  <si>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</si>
  <si>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</si>
  <si>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</si>
  <si>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</si>
  <si>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</si>
  <si>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</si>
  <si>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</si>
  <si>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</si>
  <si>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</si>
  <si>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</si>
  <si>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</si>
  <si>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</si>
  <si>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</si>
  <si>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</si>
  <si>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</si>
  <si>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</si>
  <si>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</si>
  <si>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</si>
  <si>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</si>
  <si>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</si>
  <si>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</si>
  <si>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</si>
  <si>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</si>
  <si>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</si>
  <si>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</si>
  <si>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</si>
  <si>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</si>
  <si>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</si>
  <si>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</si>
  <si>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</si>
  <si>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</si>
  <si>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</si>
  <si>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</si>
  <si>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</si>
  <si>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</si>
  <si>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</si>
  <si>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</si>
  <si>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</si>
  <si>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</si>
  <si>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</si>
  <si>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</si>
  <si>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</si>
  <si>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</si>
  <si>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</si>
  <si>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</si>
  <si>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</si>
  <si>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</si>
  <si>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</si>
  <si>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</si>
  <si>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</si>
  <si>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</si>
  <si>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</si>
  <si>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</si>
  <si>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</si>
  <si>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</si>
  <si>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</si>
  <si>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</si>
  <si>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</si>
  <si>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</si>
  <si>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</si>
  <si>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</si>
  <si>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</si>
  <si>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</si>
  <si>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</si>
  <si>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</si>
  <si>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</si>
  <si>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</si>
  <si>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</si>
  <si>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</si>
  <si>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</si>
  <si>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</si>
  <si>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</si>
  <si>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</si>
  <si>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</si>
  <si>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</si>
  <si>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</si>
  <si>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</si>
  <si>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</si>
  <si>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</si>
  <si>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</si>
  <si>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</si>
  <si>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</si>
  <si>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</si>
  <si>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</si>
  <si>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</si>
  <si>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</si>
  <si>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</si>
  <si>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</si>
  <si>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</si>
  <si>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</si>
  <si>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</si>
  <si>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</si>
  <si>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</si>
  <si>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</si>
  <si>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</si>
  <si>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</si>
  <si>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</si>
  <si>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</si>
  <si>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</si>
  <si>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</si>
  <si>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</si>
  <si>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</si>
  <si>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</si>
  <si>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</si>
  <si>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</si>
  <si>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</si>
  <si>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</si>
  <si>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</si>
  <si>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</si>
  <si>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</si>
  <si>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</si>
  <si>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</si>
  <si>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</si>
  <si>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</si>
  <si>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</si>
  <si>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</si>
  <si>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</si>
  <si>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</si>
  <si>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</si>
  <si>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</si>
  <si>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</si>
  <si>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</si>
  <si>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</si>
  <si>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</si>
  <si>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</si>
  <si>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</si>
  <si>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</si>
  <si>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</si>
  <si>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</si>
  <si>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</si>
  <si>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</si>
  <si>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</si>
  <si>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</si>
  <si>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</si>
  <si>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</si>
  <si>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</si>
  <si>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</si>
  <si>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</si>
  <si>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</si>
  <si>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</si>
  <si>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</si>
  <si>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</si>
  <si>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</si>
  <si>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</si>
  <si>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</si>
  <si>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</si>
  <si>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</si>
  <si>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</si>
  <si>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</si>
  <si>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</si>
  <si>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</si>
  <si>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</si>
  <si>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</si>
  <si>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</si>
  <si>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</si>
  <si>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</si>
  <si>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</si>
  <si>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</si>
  <si>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</si>
  <si>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</si>
  <si>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</si>
  <si>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</si>
  <si>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</si>
  <si>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</si>
  <si>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</si>
  <si>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</si>
  <si>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</si>
  <si>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</si>
  <si>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</si>
  <si>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</si>
  <si>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</si>
  <si>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</si>
  <si>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</si>
  <si>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</si>
  <si>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</si>
  <si>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</si>
  <si>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</si>
  <si>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</si>
  <si>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</si>
  <si>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</si>
  <si>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</si>
  <si>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</si>
  <si>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</si>
  <si>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</si>
  <si>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</si>
  <si>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</si>
  <si>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</si>
  <si>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</si>
  <si>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</si>
  <si>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</si>
  <si>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</si>
  <si>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</si>
  <si>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</si>
  <si>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</si>
  <si>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</si>
  <si>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</si>
  <si>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</si>
  <si>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</si>
  <si>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</si>
  <si>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</si>
  <si>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</si>
  <si>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</si>
  <si>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</si>
  <si>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</si>
  <si>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</si>
  <si>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</si>
  <si>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</si>
  <si>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</si>
  <si>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</si>
  <si>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</si>
  <si>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</si>
  <si>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</si>
  <si>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</si>
  <si>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</si>
  <si>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</si>
  <si>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</si>
  <si>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</si>
  <si>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</si>
  <si>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</si>
  <si>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</si>
  <si>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</si>
  <si>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</si>
  <si>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</si>
  <si>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</si>
  <si>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</si>
  <si>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</si>
  <si>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</si>
  <si>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</si>
  <si>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</si>
  <si>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</si>
  <si>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</si>
  <si>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</si>
  <si>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</si>
  <si>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</si>
  <si>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</si>
  <si>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</si>
  <si>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</si>
  <si>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</si>
  <si>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</si>
  <si>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</si>
  <si>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</si>
  <si>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</si>
  <si>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</si>
  <si>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</si>
  <si>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</si>
  <si>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</si>
  <si>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</si>
  <si>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</si>
  <si>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</si>
  <si>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</si>
  <si>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</si>
  <si>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</si>
  <si>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</si>
  <si>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</si>
  <si>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</si>
  <si>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</si>
  <si>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</si>
  <si>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</si>
  <si>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</si>
  <si>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</si>
  <si>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</si>
  <si>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</si>
  <si>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</si>
  <si>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</si>
  <si>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</si>
  <si>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</si>
  <si>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</si>
  <si>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</si>
  <si>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</si>
  <si>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</si>
  <si>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</si>
  <si>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</si>
  <si>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</si>
  <si>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</si>
  <si>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</si>
  <si>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</si>
  <si>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</si>
  <si>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</si>
  <si>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</si>
  <si>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</si>
  <si>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</si>
  <si>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</si>
  <si>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</si>
  <si>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</si>
  <si>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</si>
  <si>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</si>
  <si>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</si>
  <si>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</si>
  <si>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</si>
  <si>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</si>
  <si>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</si>
  <si>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</si>
  <si>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</si>
  <si>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</si>
  <si>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</si>
  <si>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</si>
  <si>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</si>
  <si>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</si>
  <si>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</si>
  <si>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</si>
  <si>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</si>
  <si>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</si>
  <si>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</si>
  <si>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</si>
  <si>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</si>
  <si>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</si>
  <si>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</si>
  <si>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</si>
  <si>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</si>
  <si>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</si>
  <si>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</si>
  <si>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</si>
  <si>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</si>
  <si>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</si>
  <si>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</si>
  <si>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</si>
  <si>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</si>
  <si>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</si>
  <si>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</si>
  <si>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</si>
  <si>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</si>
  <si>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</si>
  <si>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</si>
  <si>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</si>
  <si>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</si>
  <si>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</si>
  <si>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</si>
  <si>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</si>
  <si>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</si>
  <si>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</si>
  <si>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</si>
  <si>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</si>
  <si>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</si>
  <si>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</si>
  <si>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</si>
  <si>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</si>
  <si>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</si>
  <si>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</si>
  <si>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</si>
  <si>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</si>
  <si>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</si>
  <si>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</si>
  <si>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</si>
  <si>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</si>
  <si>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</si>
  <si>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</si>
  <si>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</si>
  <si>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</si>
  <si>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</si>
  <si>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</si>
  <si>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</si>
  <si>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</si>
  <si>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</si>
  <si>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</si>
  <si>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</si>
  <si>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</si>
  <si>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</si>
  <si>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</si>
  <si>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</si>
  <si>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</si>
  <si>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</si>
  <si>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</si>
  <si>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</si>
  <si>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</si>
  <si>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</si>
  <si>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</si>
  <si>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</si>
  <si>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</si>
  <si>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</si>
  <si>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</si>
  <si>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</si>
  <si>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</si>
  <si>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</si>
  <si>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</si>
  <si>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</si>
  <si>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</si>
  <si>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</si>
  <si>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</si>
  <si>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</si>
  <si>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</si>
  <si>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</si>
  <si>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</si>
  <si>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</si>
  <si>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</si>
  <si>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</si>
  <si>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</si>
  <si>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</si>
  <si>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</si>
  <si>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</si>
  <si>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</si>
  <si>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</si>
  <si>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</si>
  <si>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</si>
  <si>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</si>
  <si>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</si>
  <si>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</si>
  <si>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</si>
  <si>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</si>
  <si>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</si>
  <si>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</si>
  <si>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</si>
  <si>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</si>
  <si>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</si>
  <si>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</si>
  <si>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</si>
  <si>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</si>
  <si>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</si>
  <si>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</si>
  <si>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</si>
  <si>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</si>
  <si>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</si>
  <si>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</si>
  <si>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</si>
  <si>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</si>
  <si>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</si>
  <si>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</si>
  <si>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</si>
  <si>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</si>
  <si>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</si>
  <si>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</si>
  <si>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</si>
  <si>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</si>
  <si>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</si>
  <si>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</si>
  <si>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</si>
  <si>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</si>
  <si>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</si>
  <si>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</si>
  <si>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</si>
  <si>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</si>
  <si>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</si>
  <si>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</si>
  <si>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</si>
  <si>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</si>
  <si>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</si>
  <si>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</si>
  <si>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</si>
  <si>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</si>
  <si>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</si>
  <si>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</si>
  <si>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</si>
  <si>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</si>
  <si>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</si>
  <si>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</si>
  <si>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</si>
  <si>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</si>
  <si>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</si>
  <si>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</si>
  <si>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</si>
  <si>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</si>
  <si>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</si>
  <si>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</si>
  <si>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</si>
  <si>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</si>
  <si>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</si>
  <si>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</si>
  <si>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</si>
  <si>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</si>
  <si>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</si>
  <si>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</si>
  <si>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</si>
  <si>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</si>
  <si>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</si>
  <si>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</si>
  <si>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</si>
  <si>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</si>
  <si>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</si>
  <si>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</si>
  <si>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</si>
  <si>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</si>
  <si>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</si>
  <si>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</si>
  <si>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</si>
  <si>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</si>
  <si>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</si>
  <si>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</si>
  <si>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</si>
  <si>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</si>
  <si>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</si>
  <si>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</si>
  <si>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</si>
  <si>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</si>
  <si>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</si>
  <si>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</si>
  <si>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</si>
  <si>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</si>
  <si>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</si>
  <si>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</si>
  <si>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</si>
  <si>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</si>
  <si>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</si>
  <si>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</si>
  <si>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</si>
  <si>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</si>
  <si>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</si>
  <si>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</si>
  <si>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</si>
  <si>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</si>
  <si>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</si>
  <si>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</si>
  <si>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</si>
  <si>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</si>
  <si>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</si>
  <si>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</si>
  <si>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</si>
  <si>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</si>
  <si>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</si>
  <si>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</si>
  <si>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</si>
  <si>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</si>
  <si>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</si>
  <si>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</si>
  <si>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</si>
  <si>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</si>
  <si>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</si>
  <si>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</si>
  <si>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</si>
  <si>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</si>
  <si>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</si>
  <si>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</si>
  <si>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</si>
  <si>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</si>
  <si>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</si>
  <si>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</si>
  <si>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</si>
  <si>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</si>
  <si>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</si>
  <si>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</si>
  <si>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</si>
  <si>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</si>
  <si>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</si>
  <si>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</si>
  <si>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</si>
  <si>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</si>
  <si>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</si>
  <si>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</si>
  <si>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</si>
  <si>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</si>
  <si>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</si>
  <si>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</si>
  <si>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</si>
  <si>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</si>
  <si>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</si>
  <si>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</si>
  <si>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</si>
  <si>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</si>
  <si>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</si>
  <si>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</si>
  <si>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</si>
  <si>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</si>
  <si>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</si>
  <si>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</si>
  <si>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</si>
  <si>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</si>
  <si>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</si>
  <si>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</si>
  <si>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</si>
  <si>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</si>
  <si>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</si>
  <si>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</si>
  <si>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</si>
  <si>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</si>
  <si>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</si>
  <si>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</si>
  <si>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</si>
  <si>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</si>
  <si>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</si>
  <si>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</si>
  <si>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</si>
  <si>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</si>
  <si>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</si>
  <si>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</si>
  <si>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</si>
  <si>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</si>
  <si>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</si>
  <si>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</si>
  <si>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</si>
  <si>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</si>
  <si>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</si>
  <si>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</si>
  <si>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</si>
  <si>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</si>
  <si>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</si>
  <si>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</si>
  <si>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</si>
  <si>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</si>
  <si>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</si>
  <si>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</si>
  <si>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</si>
  <si>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</si>
  <si>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</si>
  <si>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</si>
  <si>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</si>
  <si>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</si>
  <si>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</si>
  <si>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</si>
  <si>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</si>
  <si>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</si>
  <si>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</si>
  <si>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</si>
  <si>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</si>
  <si>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</si>
  <si>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</si>
  <si>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</si>
  <si>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</si>
  <si>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</si>
  <si>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</si>
  <si>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</si>
  <si>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</si>
  <si>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</si>
  <si>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</si>
  <si>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</si>
  <si>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</si>
  <si>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</si>
  <si>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</si>
  <si>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</si>
  <si>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</si>
  <si>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</si>
  <si>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</si>
  <si>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</si>
  <si>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</si>
  <si>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</si>
  <si>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</si>
  <si>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</si>
  <si>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</si>
  <si>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</si>
  <si>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</si>
  <si>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</si>
  <si>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</si>
  <si>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</si>
  <si>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</si>
  <si>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</si>
  <si>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</si>
  <si>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</si>
  <si>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</si>
  <si>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</si>
  <si>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</si>
  <si>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</si>
  <si>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</si>
  <si>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</si>
  <si>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</si>
  <si>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</si>
  <si>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</si>
  <si>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</si>
  <si>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</si>
  <si>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</si>
  <si>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</si>
  <si>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</si>
  <si>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</si>
  <si>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</si>
  <si>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</si>
  <si>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</si>
  <si>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</si>
  <si>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</si>
  <si>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</si>
  <si>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</si>
  <si>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</si>
  <si>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</si>
  <si>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</si>
  <si>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</si>
  <si>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</si>
  <si>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</si>
  <si>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</si>
  <si>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</si>
  <si>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</si>
  <si>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</si>
  <si>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</si>
  <si>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</si>
  <si>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</si>
  <si>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</si>
  <si>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</si>
  <si>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</si>
  <si>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</si>
  <si>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</si>
  <si>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</si>
  <si>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</si>
  <si>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</si>
  <si>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</si>
  <si>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</si>
  <si>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</si>
  <si>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</si>
  <si>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</si>
  <si>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</si>
  <si>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</si>
  <si>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</si>
  <si>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</si>
  <si>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</si>
  <si>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</si>
  <si>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</si>
  <si>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</si>
  <si>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</si>
  <si>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</si>
  <si>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</si>
  <si>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</si>
  <si>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</si>
  <si>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</si>
  <si>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</si>
  <si>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</si>
  <si>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</si>
  <si>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</si>
  <si>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</si>
  <si>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</si>
  <si>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</si>
  <si>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</si>
  <si>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</si>
  <si>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</si>
  <si>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</si>
  <si>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</si>
  <si>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</si>
  <si>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</si>
  <si>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</si>
  <si>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</si>
  <si>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</si>
  <si>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</si>
  <si>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</si>
  <si>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</si>
  <si>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</si>
  <si>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</si>
  <si>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</si>
  <si>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</si>
  <si>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</si>
  <si>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</si>
  <si>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</si>
  <si>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</si>
  <si>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</si>
  <si>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</si>
  <si>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</si>
  <si>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</si>
  <si>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</si>
  <si>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</si>
  <si>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</si>
  <si>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</si>
  <si>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</si>
  <si>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</si>
  <si>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</si>
  <si>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</si>
  <si>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</si>
  <si>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</si>
  <si>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</si>
  <si>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</si>
  <si>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</si>
  <si>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</si>
  <si>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</si>
  <si>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</si>
  <si>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</si>
  <si>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</si>
  <si>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</si>
  <si>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</si>
  <si>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</si>
  <si>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</si>
  <si>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</si>
  <si>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</si>
  <si>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</si>
  <si>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</si>
  <si>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</si>
  <si>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</si>
  <si>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</si>
  <si>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</si>
  <si>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</si>
  <si>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</si>
  <si>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</si>
  <si>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</si>
  <si>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</si>
  <si>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</si>
  <si>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</si>
  <si>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</si>
  <si>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</si>
  <si>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</si>
  <si>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</si>
  <si>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</si>
  <si>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</si>
  <si>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</si>
  <si>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</si>
  <si>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</si>
  <si>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</si>
  <si>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</si>
  <si>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</si>
  <si>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</si>
  <si>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</si>
  <si>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</si>
  <si>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</si>
  <si>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</si>
  <si>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</si>
  <si>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</si>
  <si>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</si>
  <si>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</si>
  <si>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</si>
  <si>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</si>
  <si>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</si>
  <si>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</si>
  <si>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</si>
  <si>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</si>
  <si>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</si>
  <si>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</si>
  <si>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</si>
  <si>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</si>
  <si>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</si>
  <si>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</si>
  <si>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</si>
  <si>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</si>
  <si>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</si>
  <si>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</si>
  <si>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</si>
  <si>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</si>
  <si>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</si>
  <si>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</si>
  <si>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</si>
  <si>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</si>
  <si>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</si>
  <si>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</si>
  <si>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</si>
  <si>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</si>
  <si>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</si>
  <si>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</si>
  <si>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</si>
  <si>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</si>
  <si>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</si>
  <si>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</si>
  <si>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</si>
  <si>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</si>
  <si>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</si>
  <si>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</si>
  <si>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</si>
  <si>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</si>
  <si>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</si>
  <si>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</si>
  <si>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</si>
  <si>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</si>
  <si>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</si>
  <si>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</si>
  <si>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</si>
  <si>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</si>
  <si>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</si>
  <si>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</si>
  <si>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</si>
  <si>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</si>
  <si>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</si>
  <si>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</si>
  <si>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</si>
  <si>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</si>
  <si>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</si>
  <si>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</si>
  <si>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</si>
  <si>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</si>
  <si>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</si>
  <si>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</si>
  <si>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</si>
  <si>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</si>
  <si>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</si>
  <si>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</si>
  <si>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</si>
  <si>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</si>
  <si>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</si>
  <si>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</si>
  <si>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</si>
  <si>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</si>
  <si>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</si>
  <si>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</si>
  <si>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</si>
  <si>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</si>
  <si>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</si>
  <si>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</si>
  <si>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</si>
  <si>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</si>
  <si>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</si>
  <si>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</si>
  <si>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</si>
  <si>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</si>
  <si>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</si>
  <si>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</si>
  <si>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</si>
  <si>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</si>
  <si>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</si>
  <si>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</si>
  <si>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</si>
  <si>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</si>
  <si>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</si>
  <si>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</si>
  <si>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</si>
  <si>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</si>
  <si>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</si>
  <si>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</si>
  <si>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</si>
  <si>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</si>
  <si>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</si>
  <si>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</si>
  <si>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</si>
  <si>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</si>
  <si>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</si>
  <si>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</si>
  <si>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</si>
  <si>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</si>
  <si>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</si>
  <si>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</si>
  <si>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</si>
  <si>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</si>
  <si>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</si>
  <si>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</si>
  <si>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</si>
  <si>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</si>
  <si>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</si>
  <si>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</si>
  <si>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</si>
  <si>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</si>
  <si>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</si>
  <si>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</si>
  <si>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</si>
  <si>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</si>
  <si>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</si>
  <si>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</si>
  <si>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</si>
  <si>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</si>
  <si>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</si>
  <si>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</si>
  <si>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</si>
  <si>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</si>
  <si>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</si>
  <si>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</si>
  <si>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</si>
  <si>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</si>
  <si>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</si>
  <si>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</si>
  <si>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</si>
  <si>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</si>
  <si>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</si>
  <si>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</si>
  <si>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</si>
  <si>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</si>
  <si>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</si>
  <si>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</si>
  <si>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</si>
  <si>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</si>
  <si>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</si>
  <si>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</si>
  <si>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</si>
  <si>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</si>
  <si>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</si>
  <si>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</si>
  <si>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</si>
  <si>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</si>
  <si>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</si>
  <si>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</si>
  <si>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</si>
  <si>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</si>
  <si>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</si>
  <si>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</si>
  <si>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</si>
  <si>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</si>
  <si>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</si>
  <si>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</si>
  <si>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</si>
  <si>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</si>
  <si>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</si>
  <si>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</si>
  <si>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</si>
  <si>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</si>
  <si>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</si>
  <si>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</si>
  <si>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</si>
  <si>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</si>
  <si>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</si>
  <si>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</si>
  <si>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</si>
  <si>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</si>
  <si>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</si>
  <si>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</si>
  <si>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</si>
  <si>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</si>
  <si>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</si>
  <si>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</si>
  <si>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</si>
  <si>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</si>
  <si>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</si>
  <si>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</si>
  <si>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</si>
  <si>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</si>
  <si>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</si>
  <si>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</si>
  <si>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</si>
  <si>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</si>
  <si>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</si>
  <si>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</si>
  <si>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</si>
  <si>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</si>
  <si>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</si>
  <si>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</si>
  <si>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</si>
  <si>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</si>
  <si>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</si>
  <si>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</si>
  <si>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</si>
  <si>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</si>
  <si>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</si>
  <si>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</si>
  <si>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</si>
  <si>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</si>
  <si>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</si>
  <si>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</si>
  <si>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</si>
  <si>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</si>
  <si>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</si>
  <si>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</si>
  <si>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</si>
  <si>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</si>
  <si>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</si>
  <si>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</si>
  <si>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</si>
  <si>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</si>
  <si>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</si>
  <si>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</si>
  <si>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</si>
  <si>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</si>
  <si>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</si>
  <si>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</si>
  <si>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</si>
  <si>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</si>
  <si>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</si>
  <si>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</si>
  <si>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</si>
  <si>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</si>
  <si>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</si>
  <si>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</si>
  <si>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</si>
  <si>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</si>
  <si>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</si>
  <si>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</si>
  <si>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</si>
  <si>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</si>
  <si>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</si>
  <si>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</si>
  <si>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</si>
  <si>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</si>
  <si>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</si>
  <si>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</si>
  <si>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</si>
  <si>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</si>
  <si>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</si>
  <si>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</si>
  <si>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</si>
  <si>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</si>
  <si>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</si>
  <si>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</si>
  <si>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</si>
  <si>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</si>
  <si>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</si>
  <si>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</si>
  <si>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</si>
  <si>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</si>
  <si>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</si>
  <si>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</si>
  <si>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</si>
  <si>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</si>
  <si>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</si>
  <si>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</si>
  <si>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</si>
  <si>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</si>
  <si>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</si>
  <si>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</si>
  <si>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</si>
  <si>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</si>
  <si>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</si>
  <si>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</si>
  <si>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</si>
  <si>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</si>
  <si>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</si>
  <si>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</si>
  <si>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</si>
  <si>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</si>
  <si>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</si>
  <si>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</si>
  <si>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</si>
  <si>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</si>
  <si>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</si>
  <si>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</si>
  <si>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</si>
  <si>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</si>
  <si>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</si>
  <si>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</si>
  <si>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</si>
  <si>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</si>
  <si>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</si>
  <si>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</si>
  <si>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</si>
  <si>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</si>
  <si>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</si>
  <si>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</si>
  <si>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</si>
  <si>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</si>
  <si>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</si>
  <si>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</si>
  <si>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</si>
  <si>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</si>
  <si>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</si>
  <si>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</si>
  <si>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</si>
  <si>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</si>
  <si>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</si>
  <si>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</si>
  <si>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</si>
  <si>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</si>
  <si>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</si>
  <si>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</si>
  <si>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</si>
  <si>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</si>
  <si>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</si>
  <si>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</si>
  <si>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</si>
  <si>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</si>
  <si>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</si>
  <si>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</si>
  <si>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</si>
  <si>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</si>
  <si>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</si>
  <si>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</si>
  <si>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</si>
  <si>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</si>
  <si>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</si>
  <si>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</si>
  <si>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</si>
  <si>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</si>
  <si>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</si>
  <si>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</si>
  <si>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</si>
  <si>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</si>
  <si>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</si>
  <si>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</si>
  <si>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</si>
  <si>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</si>
  <si>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</si>
  <si>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</si>
  <si>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</si>
  <si>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</si>
  <si>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</si>
  <si>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</si>
  <si>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</si>
  <si>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</si>
  <si>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</si>
  <si>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</si>
  <si>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</si>
  <si>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</si>
  <si>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</si>
  <si>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</si>
  <si>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</si>
  <si>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</si>
  <si>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</si>
  <si>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</si>
  <si>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</si>
  <si>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</si>
  <si>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</si>
  <si>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</si>
  <si>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</si>
  <si>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</si>
  <si>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</si>
  <si>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</si>
  <si>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</si>
  <si>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</si>
  <si>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</si>
  <si>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</si>
  <si>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</si>
  <si>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</si>
  <si>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</si>
  <si>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</si>
  <si>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</si>
  <si>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</si>
  <si>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</si>
  <si>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</si>
  <si>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</si>
  <si>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</si>
  <si>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</si>
  <si>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</si>
  <si>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</si>
  <si>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</si>
  <si>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</si>
  <si>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</si>
  <si>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</si>
  <si>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</si>
  <si>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</si>
  <si>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</si>
  <si>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</si>
  <si>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</si>
  <si>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</si>
  <si>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</si>
  <si>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</si>
  <si>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</si>
  <si>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</si>
  <si>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</si>
  <si>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</si>
  <si>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</si>
  <si>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</si>
  <si>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</si>
  <si>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</si>
  <si>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</si>
  <si>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</si>
  <si>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</si>
  <si>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</si>
  <si>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</si>
  <si>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</si>
  <si>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</si>
  <si>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</si>
  <si>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</si>
  <si>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</si>
  <si>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</si>
  <si>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</si>
  <si>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</si>
  <si>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</si>
  <si>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</si>
  <si>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</si>
  <si>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</si>
  <si>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</si>
  <si>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</si>
  <si>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</si>
  <si>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</si>
  <si>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</si>
  <si>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</si>
  <si>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</si>
  <si>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</si>
  <si>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</si>
  <si>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</si>
  <si>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</si>
  <si>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</si>
  <si>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</si>
  <si>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</si>
  <si>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</si>
  <si>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</si>
  <si>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</si>
  <si>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</si>
  <si>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</si>
  <si>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</si>
  <si>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</si>
  <si>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</si>
  <si>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</si>
  <si>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</si>
  <si>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</si>
  <si>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</si>
  <si>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</si>
  <si>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</si>
  <si>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</si>
  <si>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</si>
  <si>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</si>
  <si>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</si>
  <si>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</si>
  <si>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</si>
  <si>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</si>
  <si>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</si>
  <si>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</si>
  <si>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</si>
  <si>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</si>
  <si>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</si>
  <si>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</si>
  <si>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</si>
  <si>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</si>
  <si>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</si>
  <si>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</si>
  <si>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</si>
  <si>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</si>
  <si>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</si>
  <si>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</si>
  <si>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</si>
  <si>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</si>
  <si>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</si>
  <si>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</si>
  <si>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</si>
  <si>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</si>
  <si>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</si>
  <si>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</si>
  <si>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</si>
  <si>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</si>
  <si>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</si>
  <si>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</si>
  <si>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</si>
  <si>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</si>
  <si>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</si>
  <si>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</si>
  <si>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</si>
  <si>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</si>
  <si>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</si>
  <si>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</si>
  <si>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</si>
  <si>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</si>
  <si>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</si>
  <si>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</si>
  <si>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</si>
  <si>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</si>
  <si>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</si>
  <si>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</si>
  <si>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</si>
  <si>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</si>
  <si>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</si>
  <si>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</si>
  <si>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</si>
  <si>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</si>
  <si>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</si>
  <si>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</si>
  <si>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</si>
  <si>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</si>
  <si>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</si>
  <si>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</si>
  <si>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</si>
  <si>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</si>
  <si>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</si>
  <si>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</si>
  <si>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</si>
  <si>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</si>
  <si>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</si>
  <si>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</si>
  <si>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</si>
  <si>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</si>
  <si>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</si>
  <si>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</si>
  <si>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</si>
  <si>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</si>
  <si>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</si>
  <si>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</si>
  <si>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</si>
  <si>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</si>
  <si>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</si>
  <si>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</si>
  <si>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</si>
  <si>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</si>
  <si>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</si>
  <si>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</si>
  <si>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</si>
  <si>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</si>
  <si>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</si>
  <si>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</si>
  <si>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</si>
  <si>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</si>
  <si>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</si>
  <si>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</si>
  <si>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</si>
  <si>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</si>
  <si>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</si>
  <si>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</si>
  <si>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</si>
  <si>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</si>
  <si>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</si>
  <si>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</si>
  <si>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</si>
  <si>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</si>
  <si>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</si>
  <si>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</si>
  <si>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</si>
  <si>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</si>
  <si>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</si>
  <si>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</si>
  <si>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</si>
  <si>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</si>
  <si>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</si>
  <si>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</si>
  <si>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</si>
  <si>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</si>
  <si>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</si>
  <si>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</si>
  <si>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</si>
  <si>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</si>
  <si>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</si>
  <si>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</si>
  <si>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</si>
  <si>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</si>
  <si>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</si>
  <si>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</si>
  <si>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</si>
  <si>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</si>
  <si>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</si>
  <si>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</si>
  <si>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</si>
  <si>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</si>
  <si>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</si>
  <si>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</si>
  <si>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</si>
  <si>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</si>
  <si>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</si>
  <si>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</si>
  <si>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</si>
  <si>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</si>
  <si>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</si>
  <si>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</si>
  <si>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</si>
  <si>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</si>
  <si>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</si>
  <si>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</si>
  <si>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</si>
  <si>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</si>
  <si>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</si>
  <si>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</si>
  <si>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</si>
  <si>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</si>
  <si>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</si>
  <si>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</si>
  <si>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</si>
  <si>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</si>
  <si>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</si>
  <si>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</si>
  <si>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</si>
  <si>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</si>
  <si>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</si>
  <si>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</si>
  <si>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</si>
  <si>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</si>
  <si>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</si>
  <si>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</si>
  <si>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</si>
  <si>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</si>
  <si>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</si>
  <si>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</si>
  <si>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</si>
  <si>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</si>
  <si>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</si>
  <si>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</si>
  <si>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</si>
  <si>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</si>
  <si>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</si>
  <si>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</si>
  <si>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</si>
  <si>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</si>
  <si>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</si>
  <si>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</si>
  <si>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</si>
  <si>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</si>
  <si>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</si>
  <si>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</si>
  <si>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</si>
  <si>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</si>
  <si>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</si>
  <si>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</si>
  <si>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</si>
  <si>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</si>
  <si>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</si>
  <si>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</si>
  <si>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</si>
  <si>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</si>
  <si>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</si>
  <si>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</si>
  <si>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</si>
  <si>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</si>
  <si>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</si>
  <si>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</si>
  <si>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</si>
  <si>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</si>
  <si>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</si>
  <si>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</si>
  <si>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</si>
  <si>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</si>
  <si>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</si>
  <si>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</si>
  <si>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</si>
  <si>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</si>
  <si>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</si>
  <si>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</si>
  <si>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</si>
  <si>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</si>
  <si>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</si>
  <si>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</si>
  <si>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</si>
  <si>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</si>
  <si>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</si>
  <si>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</si>
  <si>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</si>
  <si>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</si>
  <si>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</si>
  <si>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</si>
  <si>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</si>
  <si>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</si>
  <si>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</si>
  <si>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</si>
  <si>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</si>
  <si>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</si>
  <si>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</si>
  <si>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</si>
  <si>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</si>
  <si>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</si>
  <si>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</si>
  <si>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</si>
  <si>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</si>
  <si>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</si>
  <si>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</si>
  <si>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</si>
  <si>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</si>
  <si>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</si>
  <si>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</si>
  <si>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</si>
  <si>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</si>
  <si>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</si>
  <si>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</si>
  <si>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</si>
  <si>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</si>
  <si>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</si>
  <si>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</si>
  <si>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</si>
  <si>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</si>
  <si>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</si>
  <si>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</si>
  <si>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</si>
  <si>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</si>
  <si>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</si>
  <si>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</si>
  <si>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</si>
  <si>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</si>
  <si>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</si>
  <si>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</si>
  <si>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</si>
  <si>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</si>
  <si>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</si>
  <si>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</si>
  <si>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</si>
  <si>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</si>
  <si>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</si>
  <si>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</si>
  <si>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</si>
  <si>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</si>
  <si>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</si>
  <si>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</si>
  <si>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</si>
  <si>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</si>
  <si>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</si>
  <si>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</si>
  <si>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</si>
  <si>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</si>
  <si>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</si>
  <si>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</si>
  <si>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</si>
  <si>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</si>
  <si>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</si>
  <si>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</si>
  <si>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</si>
  <si>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</si>
  <si>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</si>
  <si>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</si>
  <si>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</si>
  <si>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</si>
  <si>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</si>
  <si>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</si>
  <si>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</si>
  <si>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</si>
  <si>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</si>
  <si>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</si>
  <si>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</si>
  <si>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</si>
  <si>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</si>
  <si>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</si>
  <si>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</si>
  <si>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</si>
  <si>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</si>
  <si>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</si>
  <si>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</si>
  <si>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</si>
  <si>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</si>
  <si>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</si>
  <si>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</si>
  <si>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</si>
  <si>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</si>
  <si>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</si>
  <si>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</si>
  <si>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</si>
  <si>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</si>
  <si>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</si>
  <si>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</si>
  <si>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</si>
  <si>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</si>
  <si>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</si>
  <si>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</si>
  <si>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</si>
  <si>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</si>
  <si>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</si>
  <si>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</si>
  <si>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</si>
  <si>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</si>
  <si>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</si>
  <si>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</si>
  <si>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</si>
  <si>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</si>
  <si>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</si>
  <si>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</si>
  <si>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</si>
  <si>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</si>
  <si>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</si>
  <si>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</si>
  <si>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</si>
  <si>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</si>
  <si>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</si>
  <si>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</si>
  <si>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</si>
  <si>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</si>
  <si>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</si>
  <si>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</si>
  <si>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</si>
  <si>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</si>
  <si>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</si>
  <si>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</si>
  <si>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</si>
  <si>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</si>
  <si>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</si>
  <si>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</si>
  <si>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</si>
  <si>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</si>
  <si>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</si>
  <si>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</si>
  <si>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</si>
  <si>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</si>
  <si>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</si>
  <si>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</si>
  <si>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</si>
  <si>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</si>
  <si>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</si>
  <si>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</si>
  <si>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</si>
  <si>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</si>
  <si>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</si>
  <si>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</si>
  <si>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</si>
  <si>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</si>
  <si>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</si>
  <si>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</si>
  <si>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</si>
  <si>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</si>
  <si>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</si>
  <si>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</si>
  <si>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</si>
  <si>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</si>
  <si>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</si>
  <si>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</si>
  <si>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</si>
  <si>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</si>
  <si>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</si>
  <si>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</si>
  <si>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</si>
  <si>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</si>
  <si>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</si>
  <si>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</si>
  <si>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</si>
  <si>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</si>
  <si>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</si>
  <si>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</si>
  <si>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</si>
  <si>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</si>
  <si>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</si>
  <si>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</si>
  <si>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</si>
  <si>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</si>
  <si>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</si>
  <si>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</si>
  <si>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</si>
  <si>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</si>
  <si>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</si>
  <si>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</si>
  <si>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</si>
  <si>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</si>
  <si>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</si>
  <si>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</si>
  <si>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</si>
  <si>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</si>
  <si>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</si>
  <si>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</si>
  <si>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</si>
  <si>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</si>
  <si>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</si>
  <si>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</si>
  <si>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</si>
  <si>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</si>
  <si>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</si>
  <si>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</si>
  <si>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</si>
  <si>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</si>
  <si>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</si>
  <si>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</si>
  <si>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</si>
  <si>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</si>
  <si>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</si>
  <si>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</si>
  <si>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</si>
  <si>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</si>
  <si>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</si>
  <si>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</si>
  <si>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</si>
  <si>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</si>
  <si>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</si>
  <si>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</si>
  <si>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</si>
  <si>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</si>
  <si>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</si>
  <si>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</si>
  <si>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</si>
  <si>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</si>
  <si>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</si>
  <si>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</si>
  <si>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</si>
  <si>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</si>
  <si>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</si>
  <si>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</si>
  <si>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</si>
  <si>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</si>
  <si>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</si>
  <si>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</si>
  <si>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</si>
  <si>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</si>
  <si>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</si>
  <si>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</si>
  <si>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</si>
  <si>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</si>
  <si>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</si>
  <si>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</si>
  <si>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</si>
  <si>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</si>
  <si>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</si>
  <si>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</si>
  <si>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</si>
  <si>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</si>
  <si>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</si>
  <si>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</si>
  <si>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</si>
  <si>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</si>
  <si>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</si>
  <si>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</si>
  <si>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</si>
  <si>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</si>
  <si>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</si>
  <si>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</si>
  <si>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</si>
  <si>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</si>
  <si>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</si>
  <si>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</si>
  <si>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</si>
  <si>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</si>
  <si>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</si>
  <si>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</si>
  <si>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</si>
  <si>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</si>
  <si>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</si>
  <si>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</si>
  <si>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</si>
  <si>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</si>
  <si>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</si>
  <si>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</si>
  <si>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</si>
  <si>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</si>
  <si>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</si>
  <si>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</si>
  <si>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</si>
  <si>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</si>
  <si>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</si>
  <si>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</si>
  <si>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</si>
  <si>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</si>
  <si>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</si>
  <si>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</si>
  <si>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</si>
  <si>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</si>
  <si>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</si>
  <si>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</si>
  <si>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</si>
  <si>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</si>
  <si>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</si>
  <si>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</si>
  <si>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</si>
  <si>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</si>
  <si>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</si>
  <si>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</si>
  <si>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</si>
  <si>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</si>
  <si>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</si>
  <si>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</si>
  <si>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</si>
  <si>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</si>
  <si>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</si>
  <si>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</si>
  <si>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</si>
  <si>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</si>
  <si>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</si>
  <si>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</si>
  <si>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</si>
  <si>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</si>
  <si>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</si>
  <si>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</si>
  <si>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</si>
  <si>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</si>
  <si>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</si>
  <si>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</si>
  <si>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</si>
  <si>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</si>
  <si>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</si>
  <si>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</si>
  <si>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</si>
  <si>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</si>
  <si>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</si>
  <si>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</si>
  <si>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</si>
  <si>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</si>
  <si>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</si>
  <si>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</si>
  <si>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</si>
  <si>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</si>
  <si>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</si>
  <si>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</si>
  <si>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</si>
  <si>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</si>
  <si>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</si>
  <si>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</si>
  <si>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</si>
  <si>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</si>
  <si>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</si>
  <si>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</si>
  <si>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</si>
  <si>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</si>
  <si>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</si>
  <si>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</si>
  <si>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</si>
  <si>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</si>
  <si>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</si>
  <si>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</si>
  <si>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</si>
  <si>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</si>
  <si>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</si>
  <si>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</si>
  <si>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</si>
  <si>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</si>
  <si>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</si>
  <si>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</si>
  <si>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</si>
  <si>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</si>
  <si>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</si>
  <si>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</si>
  <si>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</si>
  <si>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</si>
  <si>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</si>
  <si>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</si>
  <si>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</si>
  <si>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</si>
  <si>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</si>
  <si>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</si>
  <si>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</si>
  <si>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</si>
  <si>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</si>
  <si>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</si>
  <si>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Grundy</t>
  </si>
  <si>
    <t>Coal City Community Unit School District #1</t>
  </si>
  <si>
    <t>550 S. Carbon Hill Road</t>
  </si>
  <si>
    <t xml:space="preserve">Coal City  </t>
  </si>
  <si>
    <t>jsmith@ccu1.net</t>
  </si>
  <si>
    <t>Dr. Kent Bugg</t>
  </si>
  <si>
    <t>(815) 634-2287</t>
  </si>
  <si>
    <t>(815) 770-2088</t>
  </si>
  <si>
    <t>Mack &amp; Associates, P.C.</t>
  </si>
  <si>
    <t>Tawnya Mack, CPA</t>
  </si>
  <si>
    <t>116 E. Washington Street, Suite One</t>
  </si>
  <si>
    <t>Morris</t>
  </si>
  <si>
    <t>IL</t>
  </si>
  <si>
    <t>(815) 942-3306</t>
  </si>
  <si>
    <t>(815) 942-9430</t>
  </si>
  <si>
    <t>tmack@mackcpas.com</t>
  </si>
  <si>
    <t>Apple Inc. c/o Apple Financial Servc.</t>
  </si>
  <si>
    <t>Arthur J Gallagher &amp; Co.</t>
  </si>
  <si>
    <t>Asset Control Solutions, Inc.</t>
  </si>
  <si>
    <t>Collective Liability Insurance Co-op</t>
  </si>
  <si>
    <t>Commercial Electronic Systems</t>
  </si>
  <si>
    <t>Computer Logic Group, Inc.</t>
  </si>
  <si>
    <t>Fatlan Trucking &amp; Excavating LTD</t>
  </si>
  <si>
    <t>Follett School Solutions, Inc.</t>
  </si>
  <si>
    <t>Frontline Technologies Group, LLC</t>
  </si>
  <si>
    <t>GovConnection, Inc.</t>
  </si>
  <si>
    <t>H.E.S.S. Caulking and Restoration, Inc.</t>
  </si>
  <si>
    <t>Harris School Solutions</t>
  </si>
  <si>
    <t>Healy Bender &amp; Associates Inc.</t>
  </si>
  <si>
    <t>Hillmann Pediatric Therapy P.C.</t>
  </si>
  <si>
    <t>iboss Inc.</t>
  </si>
  <si>
    <t>2008 G.O. Bonds</t>
  </si>
  <si>
    <t>2010 G.O. Bonds</t>
  </si>
  <si>
    <t>2016 G.O. Working Cash Bonds</t>
  </si>
  <si>
    <t>2016 G.O. Refunding Bonds</t>
  </si>
  <si>
    <t xml:space="preserve">2017 G.O. Refunding Bonds </t>
  </si>
  <si>
    <t>2018 G.O. Refunding Bonds</t>
  </si>
  <si>
    <t>10-2225-300</t>
  </si>
  <si>
    <t>10-2310-300</t>
  </si>
  <si>
    <t>80-2310-300</t>
  </si>
  <si>
    <t>20-2542-300</t>
  </si>
  <si>
    <t>20-2543-300</t>
  </si>
  <si>
    <t>10-2222-300</t>
  </si>
  <si>
    <t>10-2520-400</t>
  </si>
  <si>
    <t>10-2562-400</t>
  </si>
  <si>
    <t>20-2533-300</t>
  </si>
  <si>
    <t>60-2533-300</t>
  </si>
  <si>
    <t>60-2532-300</t>
  </si>
  <si>
    <t>10-1200-300</t>
  </si>
  <si>
    <t>40-2552-300</t>
  </si>
  <si>
    <t>Illinois Central School Bus</t>
  </si>
  <si>
    <t>10-1410-400</t>
  </si>
  <si>
    <t>JourneyEd.com, Inc.</t>
  </si>
  <si>
    <t>Kansas State Bank</t>
  </si>
  <si>
    <t>60-2535-500</t>
  </si>
  <si>
    <t>Low Voltage Solutions, Inc.</t>
  </si>
  <si>
    <t>20-2546-300</t>
  </si>
  <si>
    <t>Mack &amp; Associates P.C.</t>
  </si>
  <si>
    <t>10-2520-500</t>
  </si>
  <si>
    <t>10-1100-300</t>
  </si>
  <si>
    <t>MW Leasing</t>
  </si>
  <si>
    <t>10-2230-400</t>
  </si>
  <si>
    <t>NCS Pearson</t>
  </si>
  <si>
    <t>Pavement Systems, Inc.</t>
  </si>
  <si>
    <t>Phoenix Learning Systems</t>
  </si>
  <si>
    <t>PowerSchool Group LLC</t>
  </si>
  <si>
    <t>Precision Control Systems Inc.</t>
  </si>
  <si>
    <t>Public Consulting Group, Inc.</t>
  </si>
  <si>
    <t>10-2225-500</t>
  </si>
  <si>
    <t>Rival 5 Technologies</t>
  </si>
  <si>
    <t>S &amp; J Door Inc.</t>
  </si>
  <si>
    <t>10-2213-300</t>
  </si>
  <si>
    <t>Scharenbroich &amp; Associates</t>
  </si>
  <si>
    <t>Seeco Construction Services, Inc.</t>
  </si>
  <si>
    <t>Simplexgrinnell</t>
  </si>
  <si>
    <t>Southwest Mechanical Inc.</t>
  </si>
  <si>
    <t>Specialized Data Systems</t>
  </si>
  <si>
    <t>Stalker Sports Floors</t>
  </si>
  <si>
    <t>Transfinder Corporation</t>
  </si>
  <si>
    <t>Trinity 3 LLC</t>
  </si>
  <si>
    <t>U.S. Bank Equipment Finance</t>
  </si>
  <si>
    <t>Illinois Energy Consortium</t>
  </si>
  <si>
    <t>PMA Liquid Asset Fund</t>
  </si>
  <si>
    <t>Grundy County Special Education Cooperative</t>
  </si>
  <si>
    <t>Reed Custer District #255U; Wilmington CUSD 209U</t>
  </si>
  <si>
    <t>Grundy Area Vocational Center</t>
  </si>
  <si>
    <t>Page 10, Line 72 - Educational Fund:  Milk money.</t>
  </si>
  <si>
    <t>Page 10, Line 74 - Educational Fund:  Miscellaneous food sales.</t>
  </si>
  <si>
    <t>Page 10, Line 78 - Educational Fund:  Musical, play, and other event admissions.</t>
  </si>
  <si>
    <t>Page 11, Line 107 - Educational Fund:  Refunds, reimbursements, and miscellaneous receipts.</t>
  </si>
  <si>
    <t>Page 15, Line 41 - Educational Fund:  Resource officer and crossing guard expenditures.</t>
  </si>
  <si>
    <t>Page 16, Line 73 - Educational Fund:  Student services expenditures.</t>
  </si>
  <si>
    <t>ED-Educational Media Services-Purchased Services</t>
  </si>
  <si>
    <t>ED-Board of Education Services-Purchased Services</t>
  </si>
  <si>
    <t>O&amp;M-Operation &amp; Maintenance of Plant Services-Purchased Services</t>
  </si>
  <si>
    <t>ED-Fiscal Services-Supplies &amp; Materials</t>
  </si>
  <si>
    <t>ED-Food Services-Supplies &amp; Materials</t>
  </si>
  <si>
    <t>O&amp;M-Facilities Acquisition &amp; Construction Services-Purchased Services</t>
  </si>
  <si>
    <t>CP-Facilities Acquisition &amp; Construction Services-Purchased Services</t>
  </si>
  <si>
    <t>ED-Special Education Programs(Functions 1200-1220)-Purchased Services</t>
  </si>
  <si>
    <t>TR-Pupil Transportation Services-Purchased Services</t>
  </si>
  <si>
    <t>ED-CTE Programs-Supplies &amp; Materials</t>
  </si>
  <si>
    <t>ED-Regular Programs-Purhcased Services</t>
  </si>
  <si>
    <t>ED-Assessment &amp; Testing-Supplies &amp; Materials</t>
  </si>
  <si>
    <t>ED-Improvement of Instruction Services-Purchased Services</t>
  </si>
  <si>
    <t>O&amp;M-Operation &amp; Maintenance of Plant Services-Supplies &amp; Materials</t>
  </si>
  <si>
    <t>TR-Pupil Transportation Services-Supplies &amp; Materials</t>
  </si>
  <si>
    <t>066-005100</t>
  </si>
  <si>
    <t>kbugg@coalcityschools.org</t>
  </si>
  <si>
    <t>PDF in Opinion Page with signature</t>
  </si>
  <si>
    <t>Page 9, Line 17 - Educational Fund:  TIF reimbursements</t>
  </si>
  <si>
    <t>Page 12, Line 171 - Educational Fund:  State Library Grant</t>
  </si>
  <si>
    <t>Page 10, Line 81 - Educational Fund:  Miscellaneous fees</t>
  </si>
  <si>
    <t>Page 16, Line 57 - Educational Fund:  Staff services</t>
  </si>
  <si>
    <t>Page 18, Line 171 - Debt Services Fund:  Bond issuance costs and agent fees</t>
  </si>
  <si>
    <t>Page 24 - 2008 G.O. Bonds - Bond refunding</t>
  </si>
  <si>
    <t>x</t>
  </si>
  <si>
    <r>
      <t xml:space="preserve">The accompanying Schedule of Expenditures of Federal Awards includes the federal grant activity of </t>
    </r>
    <r>
      <rPr>
        <b/>
        <sz val="9"/>
        <rFont val="Calibri"/>
        <family val="2"/>
        <scheme val="minor"/>
      </rPr>
      <t>Coal City Community Unit School District No. 1</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</si>
  <si>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</si>
  <si>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N/A</t>
  </si>
  <si>
    <t xml:space="preserve">  US DEPT OF AGRICULTURE:</t>
  </si>
  <si>
    <t xml:space="preserve">    PASSED THROUGH ISBE:</t>
  </si>
  <si>
    <t xml:space="preserve">      NATIONAL SCHOOL LUNCH PROGRAM - 2018</t>
  </si>
  <si>
    <t>4210-2018</t>
  </si>
  <si>
    <t>CHILD NUTRITION CLUSTER (M):</t>
  </si>
  <si>
    <t xml:space="preserve">      NATIONAL SCHOOL LUNCH PROGRAM - 2017</t>
  </si>
  <si>
    <t>4210-2017</t>
  </si>
  <si>
    <t xml:space="preserve">      LANTER COMMODITIES</t>
  </si>
  <si>
    <t xml:space="preserve">      DOD FRUITS &amp; VEGETABLES</t>
  </si>
  <si>
    <t xml:space="preserve">      SPECIAL MILK PROGRAM - 2018</t>
  </si>
  <si>
    <t>4215-2018</t>
  </si>
  <si>
    <t xml:space="preserve">      SPECIAL MILK PROGRAM - 2017</t>
  </si>
  <si>
    <t>4215-2017</t>
  </si>
  <si>
    <t xml:space="preserve">      SCHOOL BREAKFAST PROGRAM - 2018</t>
  </si>
  <si>
    <t>4220-2018</t>
  </si>
  <si>
    <t xml:space="preserve">      SCHOOL BREAKFAST PROGRAM - 2017</t>
  </si>
  <si>
    <t>4220-2017</t>
  </si>
  <si>
    <t>TOTAL CHILD NUTRITION CLUSTER</t>
  </si>
  <si>
    <t>US DEPT OF EDUCATION:</t>
  </si>
  <si>
    <t xml:space="preserve">  PASSED THROUGH ISBE:</t>
  </si>
  <si>
    <t xml:space="preserve">    TITLE II - 2018</t>
  </si>
  <si>
    <t>4932-2018</t>
  </si>
  <si>
    <t xml:space="preserve">    TITLE I - 2018</t>
  </si>
  <si>
    <t>4300-2018</t>
  </si>
  <si>
    <t xml:space="preserve">    TITLE I - 2017</t>
  </si>
  <si>
    <t>4300-2017</t>
  </si>
  <si>
    <t xml:space="preserve">    TITLE IVA - 2018</t>
  </si>
  <si>
    <t>4400-2018</t>
  </si>
  <si>
    <t xml:space="preserve">  TOTAL PASSED THROUGH ISBE</t>
  </si>
  <si>
    <t xml:space="preserve">  PASSED THROUGH GRUNDY CO SP ED COOP:</t>
  </si>
  <si>
    <t xml:space="preserve">    IDEA FLOW-THROUGH (M)</t>
  </si>
  <si>
    <t>TOTAL US DEPT OF EDUCATION</t>
  </si>
  <si>
    <t>US DEPT OF HEALTH &amp; HUMAN SERVICES:</t>
  </si>
  <si>
    <t xml:space="preserve">  PASSED THROUGH IL DEPT OF HEALTHCARE &amp; FAMILY SERVICES:</t>
  </si>
  <si>
    <t xml:space="preserve">    MEDICAL ASSISTANCE PROGRAM - 2018</t>
  </si>
  <si>
    <t>4991-2018</t>
  </si>
  <si>
    <t xml:space="preserve">    MEDICAL ASSISTANCE PROGRAM - 2017</t>
  </si>
  <si>
    <t>4991-2017</t>
  </si>
  <si>
    <t>TOTAL US DEPT OF HEALTH &amp; HUMAN SERVICES</t>
  </si>
  <si>
    <t>TOTAL FEDERAL AWARDS</t>
  </si>
  <si>
    <t>Unmodified</t>
  </si>
  <si>
    <t>10.555 / 10.556 / 10.553</t>
  </si>
  <si>
    <t>CHILD NUTRITION CLUSTER</t>
  </si>
  <si>
    <t>SPECIAL EDUCATION (IDEA) CLUSTER</t>
  </si>
  <si>
    <t>A control deficiency exists when the design or operation of a control does not allow management or employees, in the normal course of performing their assigned functions, to prevent or detect misstatements on a timely basis.</t>
  </si>
  <si>
    <t>During the course of the audit, we identified misstatements requiring audit adjustments to be posted. These adjustments had a significant effect on the District’s financial statements, and were primarily related to issuance of and refunding of long-term debt.</t>
  </si>
  <si>
    <t>The adjustments primarily related to adjusting cash balances and recording debt issuance transactions.</t>
  </si>
  <si>
    <t>Certain book balances were misstated at year-end, and significant audit adjustments were required to correct the balances.</t>
  </si>
  <si>
    <t>Debt issuance is a complex and infrequent transaction, and cash flows were not properly recorded.</t>
  </si>
  <si>
    <t>Month-end, or year-end adjustments should be made to record any transactions that occur outside of the District’s normal operating accounts.</t>
  </si>
  <si>
    <t>Management is aware of this condition, and has begun to implement the necessary policies and procedures.</t>
  </si>
  <si>
    <r>
      <t xml:space="preserve">Of the federal expenditures presented in the schedule, </t>
    </r>
    <r>
      <rPr>
        <b/>
        <sz val="9"/>
        <rFont val="Calibri"/>
        <family val="2"/>
        <scheme val="minor"/>
      </rPr>
      <t>Coal City Community Unit School District No. 1</t>
    </r>
    <r>
      <rPr>
        <sz val="9"/>
        <rFont val="Calibri"/>
        <family val="2"/>
        <scheme val="minor"/>
      </rPr>
      <t xml:space="preserve"> provided federal awards to subrecipients as follows:</t>
    </r>
  </si>
  <si>
    <t>10-1000-300</t>
  </si>
  <si>
    <t>10-2200-300</t>
  </si>
  <si>
    <t>20-2540-300</t>
  </si>
  <si>
    <t>40-2550-400</t>
  </si>
  <si>
    <t>20-2540-400</t>
  </si>
  <si>
    <t>20-2530-300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</si>
</sst>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center"/>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790575</xdr:colOff>
          <xdr:row>9</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790575</xdr:colOff>
          <xdr:row>14</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0</xdr:row>
          <xdr:rowOff>0</xdr:rowOff>
        </xdr:from>
        <xdr:to>
          <xdr:col>1</xdr:col>
          <xdr:colOff>1800225</xdr:colOff>
          <xdr:row>4</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792D620B-CDB4-4F1F-8915-CA15D51C56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2075</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2075</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24032001026</v>
      </c>
      <c r="B13" s="2034"/>
      <c r="C13" s="2034"/>
      <c r="D13" s="2034"/>
      <c r="E13" s="2034"/>
      <c r="F13" s="2034"/>
      <c r="G13" s="2034"/>
      <c r="H13" s="2035"/>
      <c r="I13" s="31"/>
      <c r="J13" s="30"/>
      <c r="K13" s="28"/>
      <c r="L13" s="30"/>
      <c r="M13" s="30"/>
      <c r="N13" s="30"/>
      <c r="O13" s="30"/>
      <c r="P13" s="30"/>
      <c r="Q13" s="30"/>
      <c r="R13" s="30"/>
      <c r="S13" s="30"/>
      <c r="T13" s="2038" t="s">
        <v>2084</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2076</v>
      </c>
      <c r="B15" s="2036"/>
      <c r="C15" s="2036"/>
      <c r="D15" s="2036"/>
      <c r="E15" s="2036"/>
      <c r="F15" s="2036"/>
      <c r="G15" s="2036"/>
      <c r="H15" s="2037"/>
      <c r="T15" s="2042" t="s">
        <v>2085</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2077</v>
      </c>
      <c r="B17" s="1993"/>
      <c r="C17" s="1993"/>
      <c r="D17" s="1993"/>
      <c r="E17" s="1993"/>
      <c r="F17" s="1993"/>
      <c r="G17" s="1993"/>
      <c r="H17" s="2018"/>
      <c r="T17" s="2049" t="s">
        <v>2086</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2078</v>
      </c>
      <c r="B19" s="1978"/>
      <c r="C19" s="1978"/>
      <c r="D19" s="1978"/>
      <c r="E19" s="1978"/>
      <c r="F19" s="1978"/>
      <c r="G19" s="1978"/>
      <c r="H19" s="1958"/>
      <c r="I19" s="30"/>
      <c r="J19" s="99"/>
      <c r="K19" s="40"/>
      <c r="L19" s="38"/>
      <c r="M19" s="112" t="s">
        <v>333</v>
      </c>
      <c r="P19" s="27"/>
      <c r="Q19" s="27"/>
      <c r="R19" s="27"/>
      <c r="S19" s="31"/>
      <c r="T19" s="2032" t="s">
        <v>2087</v>
      </c>
      <c r="U19" s="1957"/>
      <c r="V19" s="1957"/>
      <c r="W19" s="1958"/>
      <c r="X19" s="2047" t="s">
        <v>2088</v>
      </c>
      <c r="Y19" s="2048"/>
      <c r="Z19" s="2045">
        <v>60450</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2079</v>
      </c>
      <c r="B21" s="1957"/>
      <c r="C21" s="1957"/>
      <c r="D21" s="1957"/>
      <c r="E21" s="1957"/>
      <c r="F21" s="1957"/>
      <c r="G21" s="1957"/>
      <c r="H21" s="1958"/>
      <c r="I21" s="2012" t="s">
        <v>699</v>
      </c>
      <c r="J21" s="2007"/>
      <c r="K21" s="2007"/>
      <c r="L21" s="2007"/>
      <c r="M21" s="2007"/>
      <c r="N21" s="2007"/>
      <c r="O21" s="2007"/>
      <c r="P21" s="2007"/>
      <c r="Q21" s="2007"/>
      <c r="R21" s="2007"/>
      <c r="S21" s="2013"/>
      <c r="T21" s="2056" t="s">
        <v>2089</v>
      </c>
      <c r="U21" s="2057"/>
      <c r="V21" s="2057"/>
      <c r="W21" s="2057"/>
      <c r="X21" s="2062" t="s">
        <v>2090</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2080</v>
      </c>
      <c r="B23" s="2010"/>
      <c r="C23" s="2010"/>
      <c r="D23" s="2010"/>
      <c r="E23" s="2010"/>
      <c r="F23" s="2010"/>
      <c r="G23" s="2010"/>
      <c r="H23" s="2011"/>
      <c r="T23" s="1992" t="s">
        <v>2183</v>
      </c>
      <c r="U23" s="2055"/>
      <c r="V23" s="2055"/>
      <c r="W23" s="2055"/>
      <c r="X23" s="2059">
        <v>43434</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60416</v>
      </c>
      <c r="B25" s="1957"/>
      <c r="C25" s="1957"/>
      <c r="D25" s="1957"/>
      <c r="E25" s="1957"/>
      <c r="F25" s="1957"/>
      <c r="G25" s="1957"/>
      <c r="H25" s="1958"/>
      <c r="I25" s="113"/>
      <c r="J25" s="1981"/>
      <c r="K25" s="1981"/>
      <c r="L25" s="1981"/>
      <c r="M25" s="1981"/>
      <c r="N25" s="1981"/>
      <c r="O25" s="1981"/>
      <c r="P25" s="1981"/>
      <c r="Q25" s="1981"/>
      <c r="R25" s="1981"/>
      <c r="S25" s="1982"/>
      <c r="T25" s="2052" t="s">
        <v>2091</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2075</v>
      </c>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2075</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2081</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2184</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2082</v>
      </c>
      <c r="B42" s="1976"/>
      <c r="C42" s="1977"/>
      <c r="D42" s="1975" t="s">
        <v>2083</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2185</v>
      </c>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786052900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1.9873999999999999E-2</v>
      </c>
      <c r="E10" s="356" t="s">
        <v>1062</v>
      </c>
      <c r="F10" s="355">
        <v>4.2290000000000001E-3</v>
      </c>
      <c r="G10" s="356" t="s">
        <v>1062</v>
      </c>
      <c r="H10" s="355">
        <v>1.799E-3</v>
      </c>
      <c r="I10" s="356" t="s">
        <v>1063</v>
      </c>
      <c r="J10" s="1752">
        <f>ROUND(D10+F10+H10,5)</f>
        <v>2.5899999999999999E-2</v>
      </c>
      <c r="K10" s="222"/>
      <c r="L10" s="355">
        <v>2.8499999999999999E-4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26933486</v>
      </c>
      <c r="E16" s="356"/>
      <c r="F16" s="1753">
        <f>SUM('Acct Summary 7-8'!C17,'Acct Summary 7-8'!D17,'Acct Summary 7-8'!F17)</f>
        <v>26645829</v>
      </c>
      <c r="G16" s="356"/>
      <c r="H16" s="1753">
        <f>SUM(D16-F16)</f>
        <v>287657</v>
      </c>
      <c r="I16" s="222"/>
      <c r="J16" s="1753">
        <f>SUM('Acct Summary 7-8'!C81,'Acct Summary 7-8'!D81,'Acct Summary 7-8'!F81,'Acct Summary 7-8'!I81)</f>
        <v>16530005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108475300.2</v>
      </c>
      <c r="I31" s="368"/>
      <c r="J31" s="222"/>
      <c r="K31" s="222"/>
      <c r="L31" s="222"/>
      <c r="M31" s="222"/>
    </row>
    <row r="32" spans="1:13" ht="13.35" customHeight="1" x14ac:dyDescent="0.2">
      <c r="B32" s="369" t="s">
        <v>2075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34550000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Coal City Community Unit School District #1</v>
      </c>
      <c r="E7" s="391"/>
      <c r="G7" s="252"/>
      <c r="H7" s="387"/>
      <c r="I7" s="387"/>
      <c r="J7" s="387"/>
      <c r="K7" s="387"/>
      <c r="L7" s="329"/>
      <c r="M7" s="329"/>
      <c r="N7" s="329"/>
      <c r="O7" s="329"/>
      <c r="P7" s="329"/>
    </row>
    <row r="8" spans="1:18" ht="12.75" x14ac:dyDescent="0.2">
      <c r="A8" s="329"/>
      <c r="B8" s="329"/>
      <c r="C8" s="389" t="s">
        <v>1187</v>
      </c>
      <c r="D8" s="392">
        <f>COVER!A13</f>
        <v>24032001026</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16530005</v>
      </c>
      <c r="I12" s="404"/>
      <c r="J12" s="404"/>
      <c r="K12" s="405">
        <f>TRUNC((H12/H13*100000),5)/100000</f>
        <v>0.61373433050000004</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26933486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26645829</v>
      </c>
      <c r="I17" s="404"/>
      <c r="J17" s="416"/>
      <c r="K17" s="405">
        <f>TRUNC((H17/H18*100000),5)/100000</f>
        <v>0.98931972630000009</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26933486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17067336</v>
      </c>
      <c r="I24" s="422"/>
      <c r="J24" s="422"/>
      <c r="K24" s="423">
        <f>TRUNC(((H24/H25*100000)/100000),2)</f>
        <v>230.58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74016.19167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17304954.593499999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34550000</v>
      </c>
      <c r="I32" s="420"/>
      <c r="J32" s="420"/>
      <c r="K32" s="423">
        <f>TRUNC(100-((((H32/H33*100))*100)/100),2)</f>
        <v>68.14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108475300.2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1"/>
      <c r="D3" s="1582"/>
      <c r="E3" s="1582"/>
      <c r="F3" s="1582"/>
      <c r="G3" s="1582"/>
      <c r="H3" s="1582"/>
      <c r="I3" s="1582"/>
      <c r="J3" s="1582"/>
      <c r="K3" s="1582"/>
      <c r="L3" s="1582"/>
      <c r="M3" s="1583"/>
      <c r="N3" s="1584"/>
    </row>
    <row r="4" spans="1:14" ht="13.5" customHeight="1" x14ac:dyDescent="0.2">
      <c r="A4" s="463" t="s">
        <v>1750</v>
      </c>
      <c r="B4" s="464"/>
      <c r="C4" s="465">
        <v>1633378</v>
      </c>
      <c r="D4" s="466">
        <v>401342</v>
      </c>
      <c r="E4" s="466">
        <v>3848</v>
      </c>
      <c r="F4" s="466"/>
      <c r="G4" s="466"/>
      <c r="H4" s="466">
        <v>1004872</v>
      </c>
      <c r="I4" s="466">
        <v>801</v>
      </c>
      <c r="J4" s="467"/>
      <c r="K4" s="466">
        <v>83646</v>
      </c>
      <c r="L4" s="466">
        <v>815793</v>
      </c>
      <c r="M4" s="468"/>
      <c r="N4" s="469"/>
    </row>
    <row r="5" spans="1:14" x14ac:dyDescent="0.2">
      <c r="A5" s="463" t="s">
        <v>1049</v>
      </c>
      <c r="B5" s="470">
        <v>120</v>
      </c>
      <c r="C5" s="465">
        <v>10956222</v>
      </c>
      <c r="D5" s="466">
        <v>816950</v>
      </c>
      <c r="E5" s="466">
        <v>86109</v>
      </c>
      <c r="F5" s="466">
        <v>2380443</v>
      </c>
      <c r="G5" s="466">
        <v>371773</v>
      </c>
      <c r="H5" s="466"/>
      <c r="I5" s="466">
        <v>878200</v>
      </c>
      <c r="J5" s="467">
        <v>400066</v>
      </c>
      <c r="K5" s="471">
        <v>303385</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12589600</v>
      </c>
      <c r="D13" s="1757">
        <f t="shared" ref="D13:L13" si="0">SUM(D4:D12)</f>
        <v>1218292</v>
      </c>
      <c r="E13" s="1757">
        <f t="shared" si="0"/>
        <v>89957</v>
      </c>
      <c r="F13" s="1757">
        <f t="shared" si="0"/>
        <v>2380443</v>
      </c>
      <c r="G13" s="1757">
        <f t="shared" si="0"/>
        <v>371773</v>
      </c>
      <c r="H13" s="1757">
        <f t="shared" si="0"/>
        <v>1004872</v>
      </c>
      <c r="I13" s="1757">
        <f t="shared" si="0"/>
        <v>879001</v>
      </c>
      <c r="J13" s="1757">
        <f t="shared" si="0"/>
        <v>400066</v>
      </c>
      <c r="K13" s="1757">
        <f t="shared" si="0"/>
        <v>387031</v>
      </c>
      <c r="L13" s="1757">
        <f t="shared" si="0"/>
        <v>815793</v>
      </c>
      <c r="M13" s="468"/>
      <c r="N13" s="469"/>
    </row>
    <row r="14" spans="1:14" ht="18" customHeight="1" thickTop="1" x14ac:dyDescent="0.2">
      <c r="A14" s="2125" t="s">
        <v>149</v>
      </c>
      <c r="B14" s="212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6186420</v>
      </c>
      <c r="N16" s="484"/>
    </row>
    <row r="17" spans="1:14" s="485" customFormat="1" ht="12.75" customHeight="1" x14ac:dyDescent="0.2">
      <c r="A17" s="482" t="s">
        <v>1470</v>
      </c>
      <c r="B17" s="483">
        <v>230</v>
      </c>
      <c r="C17" s="477"/>
      <c r="D17" s="477"/>
      <c r="E17" s="477"/>
      <c r="F17" s="477"/>
      <c r="G17" s="477"/>
      <c r="H17" s="477"/>
      <c r="I17" s="477"/>
      <c r="J17" s="477"/>
      <c r="K17" s="477"/>
      <c r="L17" s="477"/>
      <c r="M17" s="467">
        <v>53388784</v>
      </c>
      <c r="N17" s="484"/>
    </row>
    <row r="18" spans="1:14" s="485" customFormat="1" ht="12.75" customHeight="1" x14ac:dyDescent="0.2">
      <c r="A18" s="482" t="s">
        <v>1471</v>
      </c>
      <c r="B18" s="483">
        <v>240</v>
      </c>
      <c r="C18" s="477"/>
      <c r="D18" s="477"/>
      <c r="E18" s="477"/>
      <c r="F18" s="477"/>
      <c r="G18" s="477"/>
      <c r="H18" s="477"/>
      <c r="I18" s="477"/>
      <c r="J18" s="477"/>
      <c r="K18" s="477"/>
      <c r="L18" s="477"/>
      <c r="M18" s="467">
        <v>1526011</v>
      </c>
      <c r="N18" s="484"/>
    </row>
    <row r="19" spans="1:14" s="485" customFormat="1" ht="12.75" customHeight="1" x14ac:dyDescent="0.2">
      <c r="A19" s="482" t="s">
        <v>1472</v>
      </c>
      <c r="B19" s="483">
        <v>250</v>
      </c>
      <c r="C19" s="477"/>
      <c r="D19" s="477"/>
      <c r="E19" s="477"/>
      <c r="F19" s="477"/>
      <c r="G19" s="477"/>
      <c r="H19" s="477"/>
      <c r="I19" s="477"/>
      <c r="J19" s="477"/>
      <c r="K19" s="477"/>
      <c r="L19" s="477"/>
      <c r="M19" s="467">
        <v>558948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89957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34460043</v>
      </c>
    </row>
    <row r="23" spans="1:14" ht="13.5" customHeight="1" thickBot="1" x14ac:dyDescent="0.25">
      <c r="A23" s="1756" t="s">
        <v>664</v>
      </c>
      <c r="B23" s="1761"/>
      <c r="C23" s="468"/>
      <c r="D23" s="468"/>
      <c r="E23" s="468"/>
      <c r="F23" s="468"/>
      <c r="G23" s="468"/>
      <c r="H23" s="468"/>
      <c r="I23" s="468"/>
      <c r="J23" s="468"/>
      <c r="K23" s="468"/>
      <c r="L23" s="468"/>
      <c r="M23" s="1708">
        <f>SUM(M15:M22)</f>
        <v>61660163</v>
      </c>
      <c r="N23" s="1708">
        <f>SUM(N21:N22)</f>
        <v>34550000</v>
      </c>
    </row>
    <row r="24" spans="1:14" ht="18" customHeight="1" thickTop="1" x14ac:dyDescent="0.2">
      <c r="A24" s="2127" t="s">
        <v>619</v>
      </c>
      <c r="B24" s="212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v>136243</v>
      </c>
      <c r="G27" s="467">
        <v>163686</v>
      </c>
      <c r="H27" s="467">
        <v>195658</v>
      </c>
      <c r="I27" s="467"/>
      <c r="J27" s="467">
        <v>9203</v>
      </c>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392575</v>
      </c>
      <c r="D31" s="467">
        <v>8513</v>
      </c>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815793</v>
      </c>
      <c r="M33" s="468"/>
      <c r="N33" s="469"/>
    </row>
    <row r="34" spans="1:14" ht="13.5" customHeight="1" thickBot="1" x14ac:dyDescent="0.25">
      <c r="A34" s="1758" t="s">
        <v>675</v>
      </c>
      <c r="B34" s="1759"/>
      <c r="C34" s="1760">
        <f>SUM(C25:C33)</f>
        <v>392575</v>
      </c>
      <c r="D34" s="1760">
        <f t="shared" ref="D34:K34" si="1">SUM(D25:D33)</f>
        <v>8513</v>
      </c>
      <c r="E34" s="1760">
        <f t="shared" si="1"/>
        <v>0</v>
      </c>
      <c r="F34" s="1760">
        <f t="shared" si="1"/>
        <v>136243</v>
      </c>
      <c r="G34" s="1760">
        <f t="shared" si="1"/>
        <v>163686</v>
      </c>
      <c r="H34" s="1760">
        <f t="shared" si="1"/>
        <v>195658</v>
      </c>
      <c r="I34" s="1760">
        <f t="shared" si="1"/>
        <v>0</v>
      </c>
      <c r="J34" s="1760">
        <f t="shared" si="1"/>
        <v>9203</v>
      </c>
      <c r="K34" s="1760">
        <f t="shared" si="1"/>
        <v>0</v>
      </c>
      <c r="L34" s="1741">
        <f>SUM(L33)</f>
        <v>815793</v>
      </c>
      <c r="M34" s="468"/>
      <c r="N34" s="480"/>
    </row>
    <row r="35" spans="1:14" ht="18" customHeight="1" thickTop="1" x14ac:dyDescent="0.2">
      <c r="A35" s="2129" t="s">
        <v>550</v>
      </c>
      <c r="B35" s="213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34550000</v>
      </c>
    </row>
    <row r="37" spans="1:14" ht="13.5" thickBot="1" x14ac:dyDescent="0.25">
      <c r="A37" s="1756" t="s">
        <v>674</v>
      </c>
      <c r="B37" s="1761"/>
      <c r="C37" s="477"/>
      <c r="D37" s="477"/>
      <c r="E37" s="477"/>
      <c r="F37" s="477"/>
      <c r="G37" s="477"/>
      <c r="H37" s="477"/>
      <c r="I37" s="477"/>
      <c r="J37" s="477"/>
      <c r="K37" s="477"/>
      <c r="L37" s="480"/>
      <c r="M37" s="468"/>
      <c r="N37" s="1708">
        <f>SUM(N36:N36)</f>
        <v>34550000</v>
      </c>
    </row>
    <row r="38" spans="1:14" s="329" customFormat="1" ht="13.5" customHeight="1" thickTop="1" x14ac:dyDescent="0.2">
      <c r="A38" s="496" t="s">
        <v>440</v>
      </c>
      <c r="B38" s="483">
        <v>714</v>
      </c>
      <c r="C38" s="466">
        <v>1270597</v>
      </c>
      <c r="D38" s="466"/>
      <c r="E38" s="466"/>
      <c r="F38" s="466"/>
      <c r="G38" s="466">
        <v>11340</v>
      </c>
      <c r="H38" s="466"/>
      <c r="I38" s="466"/>
      <c r="J38" s="467"/>
      <c r="K38" s="466"/>
      <c r="L38" s="481"/>
      <c r="M38" s="497"/>
      <c r="N38" s="497"/>
    </row>
    <row r="39" spans="1:14" s="329" customFormat="1" ht="13.5" customHeight="1" x14ac:dyDescent="0.2">
      <c r="A39" s="496" t="s">
        <v>360</v>
      </c>
      <c r="B39" s="483">
        <v>730</v>
      </c>
      <c r="C39" s="466">
        <v>10926428</v>
      </c>
      <c r="D39" s="466">
        <v>1209779</v>
      </c>
      <c r="E39" s="466">
        <v>89957</v>
      </c>
      <c r="F39" s="466">
        <v>2244200</v>
      </c>
      <c r="G39" s="466">
        <v>196747</v>
      </c>
      <c r="H39" s="466">
        <v>809214</v>
      </c>
      <c r="I39" s="466">
        <v>879001</v>
      </c>
      <c r="J39" s="467">
        <v>390863</v>
      </c>
      <c r="K39" s="466">
        <v>387031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61660163</v>
      </c>
      <c r="N40" s="497"/>
    </row>
    <row r="41" spans="1:14" ht="13.5" customHeight="1" thickBot="1" x14ac:dyDescent="0.25">
      <c r="A41" s="1756" t="s">
        <v>676</v>
      </c>
      <c r="B41" s="1726"/>
      <c r="C41" s="1708">
        <f>(SUM(C34,C37,C38,C39))</f>
        <v>12589600</v>
      </c>
      <c r="D41" s="1708">
        <f t="shared" ref="D41:L41" si="2">SUM(D34,D37,D38:D39)</f>
        <v>1218292</v>
      </c>
      <c r="E41" s="1708">
        <f t="shared" si="2"/>
        <v>89957</v>
      </c>
      <c r="F41" s="1708">
        <f t="shared" si="2"/>
        <v>2380443</v>
      </c>
      <c r="G41" s="1708">
        <f t="shared" si="2"/>
        <v>371773</v>
      </c>
      <c r="H41" s="1708">
        <f t="shared" si="2"/>
        <v>1004872</v>
      </c>
      <c r="I41" s="1708">
        <f t="shared" si="2"/>
        <v>879001</v>
      </c>
      <c r="J41" s="1708">
        <f t="shared" si="2"/>
        <v>400066</v>
      </c>
      <c r="K41" s="1708">
        <f t="shared" si="2"/>
        <v>387031</v>
      </c>
      <c r="L41" s="1708">
        <f t="shared" si="2"/>
        <v>815793</v>
      </c>
      <c r="M41" s="1708">
        <f>SUM(M40)</f>
        <v>61660163</v>
      </c>
      <c r="N41" s="1708">
        <f>SUM(N37)</f>
        <v>34550000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E76" sqref="E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5"/>
      <c r="D3" s="1596"/>
      <c r="E3" s="1596"/>
      <c r="F3" s="1596"/>
      <c r="G3" s="1596"/>
      <c r="H3" s="1596"/>
      <c r="I3" s="1596"/>
      <c r="J3" s="1596"/>
      <c r="K3" s="1597"/>
      <c r="L3" s="506"/>
    </row>
    <row r="4" spans="1:13" ht="15.75" customHeight="1" x14ac:dyDescent="0.2">
      <c r="A4" s="1950" t="s">
        <v>1579</v>
      </c>
      <c r="B4" s="1951">
        <v>1000</v>
      </c>
      <c r="C4" s="1762">
        <f>'Revenues 9-14'!C109</f>
        <v>18528729</v>
      </c>
      <c r="D4" s="1762">
        <f>'Revenues 9-14'!D109</f>
        <v>3265855</v>
      </c>
      <c r="E4" s="1762">
        <f>'Revenues 9-14'!E109</f>
        <v>3404483</v>
      </c>
      <c r="F4" s="1762">
        <f>'Revenues 9-14'!F109</f>
        <v>1226568</v>
      </c>
      <c r="G4" s="1762">
        <f>'Revenues 9-14'!G109</f>
        <v>689236</v>
      </c>
      <c r="H4" s="1762">
        <f>'Revenues 9-14'!H109</f>
        <v>43554</v>
      </c>
      <c r="I4" s="1762">
        <f>'Revenues 9-14'!I109</f>
        <v>193663</v>
      </c>
      <c r="J4" s="1762">
        <f>'Revenues 9-14'!J109</f>
        <v>228915</v>
      </c>
      <c r="K4" s="1762">
        <f>'Revenues 9-14'!K109</f>
        <v>76330</v>
      </c>
      <c r="L4" s="347"/>
    </row>
    <row r="5" spans="1:13" ht="15.75" customHeight="1" x14ac:dyDescent="0.2">
      <c r="A5" s="1598" t="s">
        <v>1580</v>
      </c>
      <c r="B5" s="1599">
        <v>2000</v>
      </c>
      <c r="C5" s="1763">
        <f>'Revenues 9-14'!C114</f>
        <v>26055</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1910879</v>
      </c>
      <c r="D6" s="1763">
        <f>'Revenues 9-14'!D173</f>
        <v>0</v>
      </c>
      <c r="E6" s="1763">
        <f>'Revenues 9-14'!E173</f>
        <v>0</v>
      </c>
      <c r="F6" s="1763">
        <f>'Revenues 9-14'!F173</f>
        <v>921461</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860276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21325939</v>
      </c>
      <c r="D8" s="1708">
        <f t="shared" ref="D8:K8" si="0">SUM(D4:D7)</f>
        <v>3265855</v>
      </c>
      <c r="E8" s="1708">
        <f t="shared" si="0"/>
        <v>3404483</v>
      </c>
      <c r="F8" s="1708">
        <f t="shared" si="0"/>
        <v>2148029</v>
      </c>
      <c r="G8" s="1708">
        <f t="shared" si="0"/>
        <v>689236</v>
      </c>
      <c r="H8" s="1708">
        <f t="shared" si="0"/>
        <v>43554</v>
      </c>
      <c r="I8" s="1708">
        <f t="shared" si="0"/>
        <v>193663</v>
      </c>
      <c r="J8" s="1708">
        <f t="shared" si="0"/>
        <v>228915</v>
      </c>
      <c r="K8" s="1708">
        <f t="shared" si="0"/>
        <v>76330</v>
      </c>
      <c r="L8" s="347"/>
    </row>
    <row r="9" spans="1:13" ht="15.75" thickTop="1" x14ac:dyDescent="0.2">
      <c r="A9" s="514" t="s">
        <v>1752</v>
      </c>
      <c r="B9" s="515">
        <v>3998</v>
      </c>
      <c r="C9" s="481">
        <v>1496573</v>
      </c>
      <c r="D9" s="516"/>
      <c r="E9" s="481"/>
      <c r="F9" s="481"/>
      <c r="G9" s="517"/>
      <c r="H9" s="481"/>
      <c r="I9" s="509" t="s">
        <v>1231</v>
      </c>
      <c r="J9" s="478"/>
      <c r="K9" s="481"/>
      <c r="L9" s="347"/>
    </row>
    <row r="10" spans="1:13" s="519" customFormat="1" ht="13.5" thickBot="1" x14ac:dyDescent="0.25">
      <c r="A10" s="1756" t="s">
        <v>1235</v>
      </c>
      <c r="B10" s="1729"/>
      <c r="C10" s="1708">
        <f>SUM(C8:C9)</f>
        <v>22822512</v>
      </c>
      <c r="D10" s="1708">
        <f t="shared" ref="D10:K10" si="1">SUM(D8:D9)</f>
        <v>3265855</v>
      </c>
      <c r="E10" s="1708">
        <f t="shared" si="1"/>
        <v>3404483</v>
      </c>
      <c r="F10" s="1708">
        <f t="shared" si="1"/>
        <v>2148029</v>
      </c>
      <c r="G10" s="1708">
        <f t="shared" si="1"/>
        <v>689236</v>
      </c>
      <c r="H10" s="1708">
        <f t="shared" si="1"/>
        <v>43554</v>
      </c>
      <c r="I10" s="1708">
        <f t="shared" si="1"/>
        <v>193663</v>
      </c>
      <c r="J10" s="1708">
        <f t="shared" si="1"/>
        <v>228915</v>
      </c>
      <c r="K10" s="1708">
        <f t="shared" si="1"/>
        <v>76330</v>
      </c>
      <c r="L10" s="518"/>
    </row>
    <row r="11" spans="1:13" s="519" customFormat="1" ht="16.7" customHeight="1" thickTop="1" x14ac:dyDescent="0.2">
      <c r="A11" s="2125" t="s">
        <v>1238</v>
      </c>
      <c r="B11" s="2126"/>
      <c r="C11" s="1592"/>
      <c r="D11" s="1593"/>
      <c r="E11" s="1593"/>
      <c r="F11" s="1593"/>
      <c r="G11" s="1593"/>
      <c r="H11" s="1593"/>
      <c r="I11" s="1593"/>
      <c r="J11" s="1593"/>
      <c r="K11" s="1594"/>
      <c r="L11" s="518"/>
    </row>
    <row r="12" spans="1:13" ht="15.75" customHeight="1" x14ac:dyDescent="0.2">
      <c r="A12" s="1598" t="s">
        <v>476</v>
      </c>
      <c r="B12" s="1600">
        <v>1000</v>
      </c>
      <c r="C12" s="1762">
        <f>'Expenditures 15-22'!K33</f>
        <v>15134260</v>
      </c>
      <c r="D12" s="520" t="s">
        <v>1231</v>
      </c>
      <c r="E12" s="468" t="s">
        <v>1231</v>
      </c>
      <c r="F12" s="468" t="s">
        <v>1231</v>
      </c>
      <c r="G12" s="1762">
        <f>'Expenditures 15-22'!K229</f>
        <v>277398</v>
      </c>
      <c r="H12" s="521"/>
      <c r="I12" s="468" t="s">
        <v>1231</v>
      </c>
      <c r="J12" s="468" t="s">
        <v>1231</v>
      </c>
      <c r="K12" s="521" t="s">
        <v>1231</v>
      </c>
      <c r="L12" s="347"/>
    </row>
    <row r="13" spans="1:13" ht="15.75" customHeight="1" x14ac:dyDescent="0.2">
      <c r="A13" s="1598" t="s">
        <v>477</v>
      </c>
      <c r="B13" s="1600">
        <v>2000</v>
      </c>
      <c r="C13" s="1763">
        <f>'Expenditures 15-22'!K74</f>
        <v>5588915</v>
      </c>
      <c r="D13" s="1763">
        <f>'Expenditures 15-22'!K129</f>
        <v>2949722</v>
      </c>
      <c r="E13" s="469" t="s">
        <v>1231</v>
      </c>
      <c r="F13" s="1763">
        <f>'Expenditures 15-22'!K184</f>
        <v>2036499</v>
      </c>
      <c r="G13" s="1763">
        <f>'Expenditures 15-22'!K279</f>
        <v>432755</v>
      </c>
      <c r="H13" s="1763">
        <f>'Expenditures 15-22'!K303</f>
        <v>2580820</v>
      </c>
      <c r="I13" s="468" t="s">
        <v>1231</v>
      </c>
      <c r="J13" s="1763">
        <f>'Expenditures 15-22'!K330</f>
        <v>97186</v>
      </c>
      <c r="K13" s="1767">
        <f>'Expenditures 15-22'!K352</f>
        <v>0</v>
      </c>
      <c r="L13" s="347"/>
    </row>
    <row r="14" spans="1:13" ht="15.75" customHeight="1" x14ac:dyDescent="0.2">
      <c r="A14" s="1598" t="s">
        <v>469</v>
      </c>
      <c r="B14" s="1600">
        <v>3000</v>
      </c>
      <c r="C14" s="1763">
        <f>'Expenditures 15-22'!K75</f>
        <v>6162</v>
      </c>
      <c r="D14" s="1763">
        <f>'Expenditures 15-22'!K130</f>
        <v>0</v>
      </c>
      <c r="E14" s="520" t="s">
        <v>1231</v>
      </c>
      <c r="F14" s="1763">
        <f>'Expenditures 15-22'!K185</f>
        <v>0</v>
      </c>
      <c r="G14" s="1763">
        <f>'Expenditures 15-22'!K280</f>
        <v>468</v>
      </c>
      <c r="H14" s="512"/>
      <c r="I14" s="468" t="s">
        <v>1231</v>
      </c>
      <c r="J14" s="468" t="s">
        <v>1231</v>
      </c>
      <c r="K14" s="512" t="s">
        <v>1231</v>
      </c>
      <c r="L14" s="347"/>
    </row>
    <row r="15" spans="1:13" ht="15.75" customHeight="1" x14ac:dyDescent="0.2">
      <c r="A15" s="1598" t="s">
        <v>109</v>
      </c>
      <c r="B15" s="1600">
        <v>4000</v>
      </c>
      <c r="C15" s="1763">
        <f>'Expenditures 15-22'!K102</f>
        <v>707785</v>
      </c>
      <c r="D15" s="1763">
        <f>'Expenditures 15-22'!K139</f>
        <v>222486</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3110511</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21437122</v>
      </c>
      <c r="D17" s="1708">
        <f t="shared" si="2"/>
        <v>3172208</v>
      </c>
      <c r="E17" s="1708">
        <f t="shared" si="2"/>
        <v>3110511</v>
      </c>
      <c r="F17" s="1708">
        <f t="shared" si="2"/>
        <v>2036499</v>
      </c>
      <c r="G17" s="1708">
        <f t="shared" si="2"/>
        <v>710621</v>
      </c>
      <c r="H17" s="1708">
        <f t="shared" si="2"/>
        <v>2580820</v>
      </c>
      <c r="I17" s="468"/>
      <c r="J17" s="1708">
        <f>SUM(J12:J16)</f>
        <v>97186</v>
      </c>
      <c r="K17" s="1708">
        <f>SUM(K12:K16)</f>
        <v>0</v>
      </c>
      <c r="L17" s="347"/>
    </row>
    <row r="18" spans="1:12" ht="15" customHeight="1" thickTop="1" x14ac:dyDescent="0.2">
      <c r="A18" s="1764" t="s">
        <v>1753</v>
      </c>
      <c r="B18" s="1765">
        <v>4180</v>
      </c>
      <c r="C18" s="1762">
        <f t="shared" ref="C18:H18" si="3">C9</f>
        <v>1496573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22933695</v>
      </c>
      <c r="D19" s="1708">
        <f t="shared" si="4"/>
        <v>3172208</v>
      </c>
      <c r="E19" s="1708">
        <f t="shared" si="4"/>
        <v>3110511</v>
      </c>
      <c r="F19" s="1708">
        <f t="shared" si="4"/>
        <v>2036499</v>
      </c>
      <c r="G19" s="1708">
        <f t="shared" si="4"/>
        <v>710621</v>
      </c>
      <c r="H19" s="1708">
        <f t="shared" si="4"/>
        <v>2580820</v>
      </c>
      <c r="I19" s="468"/>
      <c r="J19" s="1708">
        <f>SUM(J17:J18)</f>
        <v>97186</v>
      </c>
      <c r="K19" s="1708">
        <f>SUM(K17:K18)</f>
        <v>0</v>
      </c>
      <c r="L19" s="347"/>
    </row>
    <row r="20" spans="1:12" ht="16.5" thickTop="1" thickBot="1" x14ac:dyDescent="0.25">
      <c r="A20" s="2141" t="s">
        <v>1754</v>
      </c>
      <c r="B20" s="2142"/>
      <c r="C20" s="1766">
        <f>C8-C17</f>
        <v>-111183</v>
      </c>
      <c r="D20" s="1766">
        <f t="shared" ref="D20:K20" si="5">D8-D17</f>
        <v>93647</v>
      </c>
      <c r="E20" s="1766">
        <f t="shared" si="5"/>
        <v>293972</v>
      </c>
      <c r="F20" s="1766">
        <f t="shared" si="5"/>
        <v>111530</v>
      </c>
      <c r="G20" s="1766">
        <f t="shared" si="5"/>
        <v>-21385</v>
      </c>
      <c r="H20" s="1766">
        <f t="shared" si="5"/>
        <v>-2537266</v>
      </c>
      <c r="I20" s="1766">
        <f t="shared" si="5"/>
        <v>193663</v>
      </c>
      <c r="J20" s="1766">
        <f t="shared" si="5"/>
        <v>131729</v>
      </c>
      <c r="K20" s="1766">
        <f t="shared" si="5"/>
        <v>76330</v>
      </c>
      <c r="L20" s="347"/>
    </row>
    <row r="21" spans="1:12" ht="16.7" customHeight="1" thickTop="1" x14ac:dyDescent="0.2">
      <c r="A21" s="2153" t="s">
        <v>616</v>
      </c>
      <c r="B21" s="2154"/>
      <c r="C21" s="1592"/>
      <c r="D21" s="1593"/>
      <c r="E21" s="1593"/>
      <c r="F21" s="1593"/>
      <c r="G21" s="1593"/>
      <c r="H21" s="1593"/>
      <c r="I21" s="1593"/>
      <c r="J21" s="1593"/>
      <c r="K21" s="1594"/>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500000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1" t="s">
        <v>432</v>
      </c>
      <c r="B33" s="525">
        <v>7210</v>
      </c>
      <c r="C33" s="467"/>
      <c r="D33" s="467"/>
      <c r="E33" s="467">
        <v>28105000</v>
      </c>
      <c r="F33" s="467"/>
      <c r="G33" s="477"/>
      <c r="H33" s="467"/>
      <c r="I33" s="467"/>
      <c r="J33" s="467"/>
      <c r="K33" s="467"/>
      <c r="L33" s="524"/>
    </row>
    <row r="34" spans="1:12" s="485" customFormat="1" x14ac:dyDescent="0.2">
      <c r="A34" s="1511" t="s">
        <v>1058</v>
      </c>
      <c r="B34" s="525">
        <v>7220</v>
      </c>
      <c r="C34" s="467"/>
      <c r="D34" s="467"/>
      <c r="E34" s="467">
        <v>2436721</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500000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5" t="s">
        <v>392</v>
      </c>
      <c r="B44" s="2156"/>
      <c r="C44" s="1723">
        <f>SUM(C24:C43)</f>
        <v>0</v>
      </c>
      <c r="D44" s="1723">
        <f t="shared" ref="D44:K44" si="6">SUM(D24:D43)</f>
        <v>500000</v>
      </c>
      <c r="E44" s="1723">
        <f t="shared" si="6"/>
        <v>30541721</v>
      </c>
      <c r="F44" s="1723">
        <f t="shared" si="6"/>
        <v>0</v>
      </c>
      <c r="G44" s="1723">
        <f t="shared" si="6"/>
        <v>0</v>
      </c>
      <c r="H44" s="1723">
        <f t="shared" si="6"/>
        <v>500000</v>
      </c>
      <c r="I44" s="1723">
        <f t="shared" si="6"/>
        <v>0</v>
      </c>
      <c r="J44" s="1723">
        <f t="shared" si="6"/>
        <v>0</v>
      </c>
      <c r="K44" s="1723">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500000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3">
        <f>D30</f>
        <v>0</v>
      </c>
      <c r="L52" s="524"/>
    </row>
    <row r="53" spans="1:12" s="485" customFormat="1" ht="26.25" x14ac:dyDescent="0.2">
      <c r="A53" s="1512" t="s">
        <v>1897</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v>500000</v>
      </c>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f>29110000+1764428</f>
        <v>30874428</v>
      </c>
      <c r="F75" s="532"/>
      <c r="G75" s="532"/>
      <c r="H75" s="532"/>
      <c r="I75" s="530"/>
      <c r="J75" s="530"/>
      <c r="K75" s="532"/>
      <c r="L75" s="524"/>
    </row>
    <row r="76" spans="1:12" s="485" customFormat="1" ht="14.25" thickTop="1" thickBot="1" x14ac:dyDescent="0.25">
      <c r="A76" s="2131" t="s">
        <v>460</v>
      </c>
      <c r="B76" s="2132"/>
      <c r="C76" s="1723">
        <f t="shared" ref="C76:K76" si="7">SUM(C47:C75)</f>
        <v>0</v>
      </c>
      <c r="D76" s="1723">
        <f t="shared" si="7"/>
        <v>500000</v>
      </c>
      <c r="E76" s="1723">
        <f t="shared" si="7"/>
        <v>30874428</v>
      </c>
      <c r="F76" s="1723">
        <f t="shared" si="7"/>
        <v>0</v>
      </c>
      <c r="G76" s="1723">
        <f t="shared" si="7"/>
        <v>0</v>
      </c>
      <c r="H76" s="1723">
        <f t="shared" si="7"/>
        <v>0</v>
      </c>
      <c r="I76" s="1723">
        <f t="shared" si="7"/>
        <v>500000</v>
      </c>
      <c r="J76" s="1723">
        <f t="shared" si="7"/>
        <v>0</v>
      </c>
      <c r="K76" s="1723">
        <f t="shared" si="7"/>
        <v>0</v>
      </c>
      <c r="L76" s="524"/>
    </row>
    <row r="77" spans="1:12" ht="14.25" thickTop="1" thickBot="1" x14ac:dyDescent="0.25">
      <c r="A77" s="2133" t="s">
        <v>1239</v>
      </c>
      <c r="B77" s="2134"/>
      <c r="C77" s="1723">
        <f t="shared" ref="C77:K77" si="8">C44-C76</f>
        <v>0</v>
      </c>
      <c r="D77" s="1723">
        <f t="shared" si="8"/>
        <v>0</v>
      </c>
      <c r="E77" s="1723">
        <f t="shared" si="8"/>
        <v>-332707</v>
      </c>
      <c r="F77" s="1723">
        <f t="shared" si="8"/>
        <v>0</v>
      </c>
      <c r="G77" s="1723">
        <f t="shared" si="8"/>
        <v>0</v>
      </c>
      <c r="H77" s="1723">
        <f t="shared" si="8"/>
        <v>500000</v>
      </c>
      <c r="I77" s="1723">
        <f t="shared" si="8"/>
        <v>-500000</v>
      </c>
      <c r="J77" s="1723">
        <f t="shared" si="8"/>
        <v>0</v>
      </c>
      <c r="K77" s="1723">
        <f t="shared" si="8"/>
        <v>0</v>
      </c>
      <c r="L77" s="347"/>
    </row>
    <row r="78" spans="1:12" ht="21.75" customHeight="1" thickTop="1" thickBot="1" x14ac:dyDescent="0.25">
      <c r="A78" s="2137" t="s">
        <v>618</v>
      </c>
      <c r="B78" s="2138"/>
      <c r="C78" s="1722">
        <f t="shared" ref="C78:K78" si="9">C20+C77</f>
        <v>-111183</v>
      </c>
      <c r="D78" s="1722">
        <f t="shared" si="9"/>
        <v>93647</v>
      </c>
      <c r="E78" s="1722">
        <f t="shared" si="9"/>
        <v>-38735</v>
      </c>
      <c r="F78" s="1722">
        <f t="shared" si="9"/>
        <v>111530</v>
      </c>
      <c r="G78" s="1722">
        <f t="shared" si="9"/>
        <v>-21385</v>
      </c>
      <c r="H78" s="1722">
        <f t="shared" si="9"/>
        <v>-2037266</v>
      </c>
      <c r="I78" s="1722">
        <f t="shared" si="9"/>
        <v>-306337</v>
      </c>
      <c r="J78" s="1722">
        <f t="shared" si="9"/>
        <v>131729</v>
      </c>
      <c r="K78" s="1722">
        <f t="shared" si="9"/>
        <v>76330</v>
      </c>
      <c r="L78" s="533"/>
    </row>
    <row r="79" spans="1:12" ht="13.5" thickTop="1" x14ac:dyDescent="0.2">
      <c r="A79" s="1516" t="s">
        <v>2069</v>
      </c>
      <c r="B79" s="534"/>
      <c r="C79" s="478">
        <v>12308208</v>
      </c>
      <c r="D79" s="535">
        <v>1116132</v>
      </c>
      <c r="E79" s="535">
        <v>128692</v>
      </c>
      <c r="F79" s="535">
        <v>2132670</v>
      </c>
      <c r="G79" s="535">
        <v>229472</v>
      </c>
      <c r="H79" s="535">
        <v>2846480</v>
      </c>
      <c r="I79" s="535">
        <v>1185338</v>
      </c>
      <c r="J79" s="535">
        <v>259134</v>
      </c>
      <c r="K79" s="535">
        <v>310701</v>
      </c>
      <c r="L79" s="347"/>
    </row>
    <row r="80" spans="1:12" x14ac:dyDescent="0.2">
      <c r="A80" s="2143" t="s">
        <v>1896</v>
      </c>
      <c r="B80" s="2144"/>
      <c r="C80" s="467"/>
      <c r="D80" s="467"/>
      <c r="E80" s="467"/>
      <c r="F80" s="467"/>
      <c r="G80" s="467"/>
      <c r="H80" s="467"/>
      <c r="I80" s="467"/>
      <c r="J80" s="467"/>
      <c r="K80" s="467"/>
      <c r="L80" s="347"/>
    </row>
    <row r="81" spans="1:12" ht="13.5" thickBot="1" x14ac:dyDescent="0.25">
      <c r="A81" s="2135" t="s">
        <v>2070</v>
      </c>
      <c r="B81" s="2136"/>
      <c r="C81" s="1708">
        <f>(SUM(C78:C80))</f>
        <v>12197025</v>
      </c>
      <c r="D81" s="1708">
        <f>SUM(D78:D80)</f>
        <v>1209779</v>
      </c>
      <c r="E81" s="1708">
        <f t="shared" ref="E81:K81" si="10">SUM(E78:E80)</f>
        <v>89957</v>
      </c>
      <c r="F81" s="1708">
        <f t="shared" si="10"/>
        <v>2244200</v>
      </c>
      <c r="G81" s="1708">
        <f t="shared" si="10"/>
        <v>208087</v>
      </c>
      <c r="H81" s="1708">
        <f t="shared" si="10"/>
        <v>809214</v>
      </c>
      <c r="I81" s="1708">
        <f t="shared" si="10"/>
        <v>879001</v>
      </c>
      <c r="J81" s="1708">
        <f t="shared" si="10"/>
        <v>390863</v>
      </c>
      <c r="K81" s="1708">
        <f t="shared" si="10"/>
        <v>387031</v>
      </c>
      <c r="L81" s="347"/>
    </row>
    <row r="82" spans="1:12" ht="0.75" customHeight="1" thickTop="1" thickBot="1" x14ac:dyDescent="0.25">
      <c r="A82" s="536" t="s">
        <v>361</v>
      </c>
      <c r="B82" s="537"/>
      <c r="C82" s="538">
        <f>(C81-C79)</f>
        <v>-111183</v>
      </c>
      <c r="D82" s="538">
        <f t="shared" ref="D82:K82" si="11">(D81-D79)</f>
        <v>93647</v>
      </c>
      <c r="E82" s="538">
        <f t="shared" si="11"/>
        <v>-38735</v>
      </c>
      <c r="F82" s="538">
        <f t="shared" si="11"/>
        <v>111530</v>
      </c>
      <c r="G82" s="538">
        <f t="shared" si="11"/>
        <v>-21385</v>
      </c>
      <c r="H82" s="538">
        <f t="shared" si="11"/>
        <v>-2037266</v>
      </c>
      <c r="I82" s="538">
        <f t="shared" si="11"/>
        <v>-306337</v>
      </c>
      <c r="J82" s="538">
        <f t="shared" si="11"/>
        <v>131729</v>
      </c>
      <c r="K82" s="538">
        <f t="shared" si="11"/>
        <v>76330</v>
      </c>
    </row>
    <row r="83" spans="1:12" ht="14.25" hidden="1" thickTop="1" thickBot="1" x14ac:dyDescent="0.25">
      <c r="A83" s="539" t="s">
        <v>362</v>
      </c>
      <c r="B83" s="464"/>
      <c r="C83" s="540">
        <f>C82/C81</f>
        <v>-9.1155835131927661E-3</v>
      </c>
      <c r="D83" s="540">
        <f t="shared" ref="D83:K83" si="12">D82/D81</f>
        <v>7.7408353095896026E-2</v>
      </c>
      <c r="E83" s="540">
        <f t="shared" si="12"/>
        <v>-0.43059461742832689</v>
      </c>
      <c r="F83" s="540">
        <f t="shared" si="12"/>
        <v>4.9696996702611178E-2</v>
      </c>
      <c r="G83" s="540">
        <f t="shared" si="12"/>
        <v>-0.10276951467415071</v>
      </c>
      <c r="H83" s="540">
        <f t="shared" si="12"/>
        <v>-2.5175862009307797</v>
      </c>
      <c r="I83" s="540">
        <f t="shared" si="12"/>
        <v>-0.34850586063042022</v>
      </c>
      <c r="J83" s="540">
        <f t="shared" si="12"/>
        <v>0.33702089990610523</v>
      </c>
      <c r="K83" s="540">
        <f t="shared" si="12"/>
        <v>0.19721934418689976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172" sqref="C1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1903</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f>15476950-C6</f>
        <v>15246276</v>
      </c>
      <c r="D5" s="481">
        <v>3242774</v>
      </c>
      <c r="E5" s="466">
        <v>3401035</v>
      </c>
      <c r="F5" s="548">
        <v>1220824</v>
      </c>
      <c r="G5" s="466">
        <v>297573</v>
      </c>
      <c r="H5" s="466"/>
      <c r="I5" s="466">
        <v>152661</v>
      </c>
      <c r="J5" s="467">
        <v>228915</v>
      </c>
      <c r="K5" s="466">
        <v>76330</v>
      </c>
    </row>
    <row r="6" spans="1:12" ht="15" x14ac:dyDescent="0.2">
      <c r="A6" s="463" t="s">
        <v>1761</v>
      </c>
      <c r="B6" s="470">
        <v>1130</v>
      </c>
      <c r="C6" s="466">
        <v>230674</v>
      </c>
      <c r="D6" s="466"/>
      <c r="E6" s="475"/>
      <c r="F6" s="475"/>
      <c r="G6" s="468"/>
      <c r="H6" s="468"/>
      <c r="I6" s="468"/>
      <c r="J6" s="468"/>
      <c r="K6" s="468"/>
    </row>
    <row r="7" spans="1:12" x14ac:dyDescent="0.2">
      <c r="A7" s="463" t="s">
        <v>112</v>
      </c>
      <c r="B7" s="549">
        <v>1140</v>
      </c>
      <c r="C7" s="466">
        <v>305245</v>
      </c>
      <c r="D7" s="466"/>
      <c r="E7" s="468"/>
      <c r="F7" s="467"/>
      <c r="G7" s="467"/>
      <c r="H7" s="467"/>
      <c r="I7" s="468"/>
      <c r="J7" s="468"/>
      <c r="K7" s="468"/>
    </row>
    <row r="8" spans="1:12" x14ac:dyDescent="0.2">
      <c r="A8" s="463" t="s">
        <v>433</v>
      </c>
      <c r="B8" s="470">
        <v>1150</v>
      </c>
      <c r="C8" s="475"/>
      <c r="D8" s="475"/>
      <c r="E8" s="477"/>
      <c r="F8" s="477"/>
      <c r="G8" s="481">
        <v>335778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15782195</v>
      </c>
      <c r="D12" s="1727">
        <f t="shared" si="0"/>
        <v>3242774</v>
      </c>
      <c r="E12" s="1727">
        <f t="shared" si="0"/>
        <v>3401035</v>
      </c>
      <c r="F12" s="1727">
        <f t="shared" si="0"/>
        <v>1220824</v>
      </c>
      <c r="G12" s="1727">
        <f t="shared" si="0"/>
        <v>633351</v>
      </c>
      <c r="H12" s="1727">
        <f t="shared" si="0"/>
        <v>0</v>
      </c>
      <c r="I12" s="1727">
        <f t="shared" si="0"/>
        <v>152661</v>
      </c>
      <c r="J12" s="1727">
        <f t="shared" si="0"/>
        <v>228915</v>
      </c>
      <c r="K12" s="1708">
        <f t="shared" si="0"/>
        <v>76330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1267292</v>
      </c>
      <c r="D16" s="466"/>
      <c r="E16" s="466"/>
      <c r="F16" s="466"/>
      <c r="G16" s="466">
        <v>55885</v>
      </c>
      <c r="H16" s="466"/>
      <c r="I16" s="466"/>
      <c r="J16" s="467"/>
      <c r="K16" s="466"/>
    </row>
    <row r="17" spans="1:11" ht="12.75" customHeight="1" x14ac:dyDescent="0.2">
      <c r="A17" s="463" t="s">
        <v>840</v>
      </c>
      <c r="B17" s="470">
        <v>1290</v>
      </c>
      <c r="C17" s="551">
        <v>25968</v>
      </c>
      <c r="D17" s="466"/>
      <c r="E17" s="466"/>
      <c r="F17" s="466"/>
      <c r="G17" s="466"/>
      <c r="H17" s="466"/>
      <c r="I17" s="466"/>
      <c r="J17" s="467"/>
      <c r="K17" s="466"/>
    </row>
    <row r="18" spans="1:11" ht="12.75" customHeight="1" thickBot="1" x14ac:dyDescent="0.25">
      <c r="A18" s="1728" t="s">
        <v>558</v>
      </c>
      <c r="B18" s="1729"/>
      <c r="C18" s="1730">
        <f>SUM(C14:C17)</f>
        <v>1293260</v>
      </c>
      <c r="D18" s="1730">
        <f t="shared" ref="D18:K18" si="1">SUM(D14:D17)</f>
        <v>0</v>
      </c>
      <c r="E18" s="1730">
        <f t="shared" si="1"/>
        <v>0</v>
      </c>
      <c r="F18" s="1730">
        <f t="shared" si="1"/>
        <v>0</v>
      </c>
      <c r="G18" s="1730">
        <f t="shared" si="1"/>
        <v>55885</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6481</v>
      </c>
      <c r="D20" s="468"/>
      <c r="E20" s="468"/>
      <c r="F20" s="468"/>
      <c r="G20" s="468"/>
      <c r="H20" s="468"/>
      <c r="I20" s="468"/>
      <c r="J20" s="468"/>
      <c r="K20" s="468"/>
    </row>
    <row r="21" spans="1:11" ht="12.75" customHeight="1" x14ac:dyDescent="0.2">
      <c r="A21" s="463" t="s">
        <v>887</v>
      </c>
      <c r="B21" s="470">
        <v>1312</v>
      </c>
      <c r="C21" s="551">
        <v>6837</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2885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v>25970</v>
      </c>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42173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5744</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5744</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260551</v>
      </c>
      <c r="D65" s="466"/>
      <c r="E65" s="466"/>
      <c r="F65" s="467"/>
      <c r="G65" s="466"/>
      <c r="H65" s="466"/>
      <c r="I65" s="466">
        <v>41002</v>
      </c>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260551</v>
      </c>
      <c r="D67" s="1708">
        <f t="shared" ref="D67:K67" si="2">SUM(D65:D66)</f>
        <v>0</v>
      </c>
      <c r="E67" s="1708">
        <f t="shared" si="2"/>
        <v>0</v>
      </c>
      <c r="F67" s="1708">
        <f t="shared" si="2"/>
        <v>0</v>
      </c>
      <c r="G67" s="1708">
        <f t="shared" si="2"/>
        <v>0</v>
      </c>
      <c r="H67" s="1708">
        <f t="shared" si="2"/>
        <v>0</v>
      </c>
      <c r="I67" s="1708">
        <f t="shared" si="2"/>
        <v>41002</v>
      </c>
      <c r="J67" s="1708">
        <f t="shared" si="2"/>
        <v>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489375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4175</v>
      </c>
      <c r="D72" s="468"/>
      <c r="E72" s="468"/>
      <c r="F72" s="468"/>
      <c r="G72" s="468"/>
      <c r="H72" s="468"/>
      <c r="I72" s="468"/>
      <c r="J72" s="468"/>
      <c r="K72" s="468"/>
    </row>
    <row r="73" spans="1:11" ht="12.75" customHeight="1" x14ac:dyDescent="0.2">
      <c r="A73" s="463" t="s">
        <v>1055</v>
      </c>
      <c r="B73" s="470">
        <v>1620</v>
      </c>
      <c r="C73" s="551">
        <v>10363</v>
      </c>
      <c r="D73" s="468"/>
      <c r="E73" s="468"/>
      <c r="F73" s="468"/>
      <c r="G73" s="468"/>
      <c r="H73" s="468"/>
      <c r="I73" s="468"/>
      <c r="J73" s="468"/>
      <c r="K73" s="468"/>
    </row>
    <row r="74" spans="1:11" ht="12.75" customHeight="1" x14ac:dyDescent="0.2">
      <c r="A74" s="463" t="s">
        <v>25</v>
      </c>
      <c r="B74" s="470">
        <v>1690</v>
      </c>
      <c r="C74" s="551">
        <v>18653</v>
      </c>
      <c r="D74" s="468"/>
      <c r="E74" s="468"/>
      <c r="F74" s="468"/>
      <c r="G74" s="468"/>
      <c r="H74" s="468"/>
      <c r="I74" s="468"/>
      <c r="J74" s="468"/>
      <c r="K74" s="468"/>
    </row>
    <row r="75" spans="1:11" ht="12.75" customHeight="1" thickBot="1" x14ac:dyDescent="0.25">
      <c r="A75" s="1728" t="s">
        <v>569</v>
      </c>
      <c r="B75" s="1729"/>
      <c r="C75" s="1708">
        <f>SUM(C69:C74)</f>
        <v>522566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11033</v>
      </c>
      <c r="D77" s="466"/>
      <c r="E77" s="468"/>
      <c r="F77" s="468"/>
      <c r="G77" s="468"/>
      <c r="H77" s="468"/>
      <c r="I77" s="468"/>
      <c r="J77" s="468"/>
      <c r="K77" s="468"/>
    </row>
    <row r="78" spans="1:11" ht="12.75" customHeight="1" x14ac:dyDescent="0.2">
      <c r="A78" s="463" t="s">
        <v>78</v>
      </c>
      <c r="B78" s="470">
        <v>1719</v>
      </c>
      <c r="C78" s="551">
        <v>68065</v>
      </c>
      <c r="D78" s="466"/>
      <c r="E78" s="468"/>
      <c r="F78" s="468"/>
      <c r="G78" s="468"/>
      <c r="H78" s="468"/>
      <c r="I78" s="468"/>
      <c r="J78" s="468"/>
      <c r="K78" s="468"/>
    </row>
    <row r="79" spans="1:11" ht="12.75" customHeight="1" x14ac:dyDescent="0.2">
      <c r="A79" s="463" t="s">
        <v>571</v>
      </c>
      <c r="B79" s="470">
        <v>1720</v>
      </c>
      <c r="C79" s="551">
        <v>8608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313</v>
      </c>
      <c r="D81" s="466"/>
      <c r="E81" s="468"/>
      <c r="F81" s="468"/>
      <c r="G81" s="468"/>
      <c r="H81" s="468"/>
      <c r="I81" s="468"/>
      <c r="J81" s="468"/>
      <c r="K81" s="468"/>
    </row>
    <row r="82" spans="1:11" ht="12.75" customHeight="1" thickBot="1" x14ac:dyDescent="0.25">
      <c r="A82" s="1728" t="s">
        <v>259</v>
      </c>
      <c r="B82" s="1729"/>
      <c r="C82" s="1727">
        <f>SUM(C77:C81)</f>
        <v>88019</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79138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79138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23081</v>
      </c>
      <c r="E95" s="521"/>
      <c r="F95" s="521"/>
      <c r="G95" s="521"/>
      <c r="H95" s="521"/>
      <c r="I95" s="521"/>
      <c r="J95" s="521"/>
      <c r="K95" s="521"/>
    </row>
    <row r="96" spans="1:11" ht="12.75" customHeight="1" x14ac:dyDescent="0.2">
      <c r="A96" s="463" t="s">
        <v>409</v>
      </c>
      <c r="B96" s="470">
        <v>1920</v>
      </c>
      <c r="C96" s="551">
        <v>555</v>
      </c>
      <c r="D96" s="551"/>
      <c r="E96" s="479"/>
      <c r="F96" s="478"/>
      <c r="G96" s="478"/>
      <c r="H96" s="478"/>
      <c r="I96" s="478"/>
      <c r="J96" s="478"/>
      <c r="K96" s="478"/>
    </row>
    <row r="97" spans="1:12" ht="12.75" customHeight="1" x14ac:dyDescent="0.2">
      <c r="A97" s="1517" t="s">
        <v>262</v>
      </c>
      <c r="B97" s="559">
        <v>1930</v>
      </c>
      <c r="C97" s="489"/>
      <c r="D97" s="467"/>
      <c r="E97" s="474"/>
      <c r="F97" s="467"/>
      <c r="G97" s="467"/>
      <c r="H97" s="467">
        <v>43554</v>
      </c>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301515</v>
      </c>
      <c r="D99" s="466"/>
      <c r="E99" s="466">
        <v>3448</v>
      </c>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18505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140252</v>
      </c>
      <c r="D107" s="466"/>
      <c r="E107" s="466"/>
      <c r="F107" s="466"/>
      <c r="G107" s="466"/>
      <c r="H107" s="466"/>
      <c r="I107" s="466"/>
      <c r="J107" s="467"/>
      <c r="K107" s="466"/>
    </row>
    <row r="108" spans="1:12" ht="12.75" customHeight="1" thickBot="1" x14ac:dyDescent="0.25">
      <c r="A108" s="1728" t="s">
        <v>508</v>
      </c>
      <c r="B108" s="1732"/>
      <c r="C108" s="1727">
        <f>SUM(C95:C107)</f>
        <v>460827</v>
      </c>
      <c r="D108" s="1727">
        <f t="shared" ref="D108:K108" si="3">SUM(D95:D107)</f>
        <v>23081</v>
      </c>
      <c r="E108" s="1727">
        <f t="shared" si="3"/>
        <v>3448</v>
      </c>
      <c r="F108" s="1727">
        <f t="shared" si="3"/>
        <v>0</v>
      </c>
      <c r="G108" s="1727">
        <f t="shared" si="3"/>
        <v>0</v>
      </c>
      <c r="H108" s="1727">
        <f t="shared" si="3"/>
        <v>43554</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18528729</v>
      </c>
      <c r="D109" s="1735">
        <f t="shared" si="4"/>
        <v>3265855</v>
      </c>
      <c r="E109" s="1735">
        <f t="shared" si="4"/>
        <v>3404483</v>
      </c>
      <c r="F109" s="1735">
        <f t="shared" si="4"/>
        <v>1226568</v>
      </c>
      <c r="G109" s="1735">
        <f t="shared" si="4"/>
        <v>689236</v>
      </c>
      <c r="H109" s="1735">
        <f t="shared" si="4"/>
        <v>43554</v>
      </c>
      <c r="I109" s="1735">
        <f t="shared" si="4"/>
        <v>193663</v>
      </c>
      <c r="J109" s="1735">
        <f t="shared" si="4"/>
        <v>228915</v>
      </c>
      <c r="K109" s="1722">
        <f t="shared" si="4"/>
        <v>76330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26055</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26055</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1342287</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1342287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104495</v>
      </c>
      <c r="D124" s="561"/>
      <c r="E124" s="468"/>
      <c r="F124" s="548"/>
      <c r="G124" s="468"/>
      <c r="H124" s="468"/>
      <c r="I124" s="468"/>
      <c r="J124" s="468"/>
      <c r="K124" s="468"/>
    </row>
    <row r="125" spans="1:11" ht="12.75" customHeight="1" x14ac:dyDescent="0.2">
      <c r="A125" s="463" t="s">
        <v>1521</v>
      </c>
      <c r="B125" s="562">
        <v>3105</v>
      </c>
      <c r="C125" s="466">
        <v>133389</v>
      </c>
      <c r="D125" s="561"/>
      <c r="E125" s="468"/>
      <c r="F125" s="466"/>
      <c r="G125" s="468"/>
      <c r="H125" s="468"/>
      <c r="I125" s="468"/>
      <c r="J125" s="468"/>
      <c r="K125" s="468"/>
    </row>
    <row r="126" spans="1:11" ht="12.75" customHeight="1" x14ac:dyDescent="0.2">
      <c r="A126" s="463" t="s">
        <v>922</v>
      </c>
      <c r="B126" s="562">
        <v>3110</v>
      </c>
      <c r="C126" s="551">
        <v>174281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385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412550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3816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28912</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334436</v>
      </c>
      <c r="G151" s="467"/>
      <c r="H151" s="468"/>
      <c r="I151" s="468"/>
      <c r="J151" s="468"/>
      <c r="K151" s="468"/>
    </row>
    <row r="152" spans="1:11" ht="12.75" customHeight="1" x14ac:dyDescent="0.2">
      <c r="A152" s="463" t="s">
        <v>1117</v>
      </c>
      <c r="B152" s="562">
        <v>3510</v>
      </c>
      <c r="C152" s="551"/>
      <c r="D152" s="466"/>
      <c r="E152" s="561"/>
      <c r="F152" s="466">
        <v>587025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921461</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115840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7474</v>
      </c>
      <c r="D171" s="580"/>
      <c r="E171" s="580"/>
      <c r="F171" s="580"/>
      <c r="G171" s="581"/>
      <c r="H171" s="582"/>
      <c r="I171" s="581"/>
      <c r="J171" s="581"/>
      <c r="K171" s="582"/>
    </row>
    <row r="172" spans="1:11" ht="12.75" customHeight="1" thickTop="1" thickBot="1" x14ac:dyDescent="0.25">
      <c r="A172" s="2159" t="s">
        <v>418</v>
      </c>
      <c r="B172" s="2160"/>
      <c r="C172" s="1742">
        <f t="shared" ref="C172:K172" si="6">SUM(C131,C140,C144,C145:C149,C154,C155:C170,C171)</f>
        <v>568592</v>
      </c>
      <c r="D172" s="1742">
        <f t="shared" si="6"/>
        <v>0</v>
      </c>
      <c r="E172" s="1742">
        <f t="shared" si="6"/>
        <v>0</v>
      </c>
      <c r="F172" s="1742">
        <f t="shared" si="6"/>
        <v>921461</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1910879</v>
      </c>
      <c r="D173" s="1735">
        <f>SUM(D121,D172)</f>
        <v>0</v>
      </c>
      <c r="E173" s="1735">
        <f>SUM(E121,E172)</f>
        <v>0</v>
      </c>
      <c r="F173" s="1735">
        <f t="shared" ref="F173:K173" si="7">SUM(F121,F172)</f>
        <v>921461</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5" t="s">
        <v>1764</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7" t="s">
        <v>818</v>
      </c>
      <c r="B184" s="216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3" t="s">
        <v>1904</v>
      </c>
      <c r="B185" s="216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265962</v>
      </c>
      <c r="D194" s="468"/>
      <c r="E194" s="561"/>
      <c r="F194" s="468"/>
      <c r="G194" s="585"/>
      <c r="H194" s="468"/>
      <c r="I194" s="468"/>
      <c r="J194" s="468"/>
      <c r="K194" s="468"/>
    </row>
    <row r="195" spans="1:11" ht="12.75" customHeight="1" x14ac:dyDescent="0.2">
      <c r="A195" s="463" t="s">
        <v>1107</v>
      </c>
      <c r="B195" s="470">
        <v>4215</v>
      </c>
      <c r="C195" s="551">
        <v>3082</v>
      </c>
      <c r="D195" s="468"/>
      <c r="E195" s="561"/>
      <c r="F195" s="468"/>
      <c r="G195" s="585"/>
      <c r="H195" s="468"/>
      <c r="I195" s="468"/>
      <c r="J195" s="468"/>
      <c r="K195" s="468"/>
    </row>
    <row r="196" spans="1:11" ht="12.75" customHeight="1" x14ac:dyDescent="0.2">
      <c r="A196" s="463" t="s">
        <v>1119</v>
      </c>
      <c r="B196" s="470">
        <v>4220</v>
      </c>
      <c r="C196" s="551">
        <v>30768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299812</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262567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262567</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4762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4762</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194318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194318</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308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35287</v>
      </c>
      <c r="D270" s="576"/>
      <c r="E270" s="468"/>
      <c r="F270" s="576"/>
      <c r="G270" s="576"/>
      <c r="H270" s="468"/>
      <c r="I270" s="468"/>
      <c r="J270" s="468"/>
      <c r="K270" s="468"/>
    </row>
    <row r="271" spans="1:11" ht="12.75" customHeight="1" thickTop="1" thickBot="1" x14ac:dyDescent="0.25">
      <c r="A271" s="463" t="s">
        <v>395</v>
      </c>
      <c r="B271" s="470">
        <v>4992</v>
      </c>
      <c r="C271" s="575">
        <v>63222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860276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860276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21325939</v>
      </c>
      <c r="D275" s="1735">
        <f t="shared" si="12"/>
        <v>3265855</v>
      </c>
      <c r="E275" s="1735">
        <f t="shared" si="12"/>
        <v>3404483</v>
      </c>
      <c r="F275" s="1735">
        <f t="shared" si="12"/>
        <v>2148029</v>
      </c>
      <c r="G275" s="1735">
        <f t="shared" si="12"/>
        <v>689236</v>
      </c>
      <c r="H275" s="1735">
        <f t="shared" si="12"/>
        <v>43554</v>
      </c>
      <c r="I275" s="1735">
        <f t="shared" si="12"/>
        <v>193663</v>
      </c>
      <c r="J275" s="1735">
        <f t="shared" si="12"/>
        <v>228915</v>
      </c>
      <c r="K275" s="1722">
        <f t="shared" si="12"/>
        <v>76330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9" activePane="bottomLeft" state="frozen"/>
      <selection activeCell="A47" sqref="A47"/>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9"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8040302</v>
      </c>
      <c r="D5" s="466">
        <v>1855634</v>
      </c>
      <c r="E5" s="466">
        <v>85877</v>
      </c>
      <c r="F5" s="466">
        <v>414137</v>
      </c>
      <c r="G5" s="466">
        <v>37495</v>
      </c>
      <c r="H5" s="466"/>
      <c r="I5" s="467"/>
      <c r="J5" s="467"/>
      <c r="K5" s="1691">
        <f>SUM(C5:J5)</f>
        <v>10433445</v>
      </c>
      <c r="L5" s="466">
        <v>10348336</v>
      </c>
    </row>
    <row r="6" spans="1:14" x14ac:dyDescent="0.2">
      <c r="A6" s="1526" t="s">
        <v>1508</v>
      </c>
      <c r="B6" s="615" t="s">
        <v>1506</v>
      </c>
      <c r="C6" s="477"/>
      <c r="D6" s="477"/>
      <c r="E6" s="466"/>
      <c r="F6" s="477"/>
      <c r="G6" s="477"/>
      <c r="H6" s="477"/>
      <c r="I6" s="477"/>
      <c r="J6" s="477"/>
      <c r="K6" s="1691">
        <f>SUM(C6,E6)</f>
        <v>0</v>
      </c>
      <c r="L6" s="466">
        <v>29500</v>
      </c>
    </row>
    <row r="7" spans="1:14" x14ac:dyDescent="0.2">
      <c r="A7" s="1526" t="s">
        <v>165</v>
      </c>
      <c r="B7" s="615" t="s">
        <v>1024</v>
      </c>
      <c r="C7" s="467">
        <v>365961</v>
      </c>
      <c r="D7" s="467">
        <v>65545</v>
      </c>
      <c r="E7" s="467"/>
      <c r="F7" s="467">
        <v>187</v>
      </c>
      <c r="G7" s="467"/>
      <c r="H7" s="467"/>
      <c r="I7" s="467"/>
      <c r="J7" s="467"/>
      <c r="K7" s="1691">
        <f t="shared" ref="K7:K32" si="0">SUM(C7:J7)</f>
        <v>431693</v>
      </c>
      <c r="L7" s="466">
        <v>231609</v>
      </c>
    </row>
    <row r="8" spans="1:14" x14ac:dyDescent="0.2">
      <c r="A8" s="1526" t="s">
        <v>166</v>
      </c>
      <c r="B8" s="615">
        <v>1200</v>
      </c>
      <c r="C8" s="466">
        <v>1758249</v>
      </c>
      <c r="D8" s="466">
        <v>374229</v>
      </c>
      <c r="E8" s="466">
        <v>63309</v>
      </c>
      <c r="F8" s="466">
        <v>35900</v>
      </c>
      <c r="G8" s="466">
        <v>8130</v>
      </c>
      <c r="H8" s="466">
        <v>374394</v>
      </c>
      <c r="I8" s="467"/>
      <c r="J8" s="467"/>
      <c r="K8" s="1691">
        <f t="shared" si="0"/>
        <v>2614211</v>
      </c>
      <c r="L8" s="466">
        <v>2445453</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88343</v>
      </c>
      <c r="D10" s="466"/>
      <c r="E10" s="466">
        <v>1348</v>
      </c>
      <c r="F10" s="466">
        <v>26884</v>
      </c>
      <c r="G10" s="466">
        <v>220582</v>
      </c>
      <c r="H10" s="466"/>
      <c r="I10" s="467"/>
      <c r="J10" s="467"/>
      <c r="K10" s="1691">
        <f t="shared" si="0"/>
        <v>337157</v>
      </c>
      <c r="L10" s="466">
        <v>276200</v>
      </c>
    </row>
    <row r="11" spans="1:14" x14ac:dyDescent="0.2">
      <c r="A11" s="1526" t="s">
        <v>1192</v>
      </c>
      <c r="B11" s="615" t="s">
        <v>163</v>
      </c>
      <c r="C11" s="467"/>
      <c r="D11" s="467"/>
      <c r="E11" s="467"/>
      <c r="F11" s="467"/>
      <c r="G11" s="467"/>
      <c r="H11" s="467"/>
      <c r="I11" s="467"/>
      <c r="J11" s="467"/>
      <c r="K11" s="1691">
        <f t="shared" si="0"/>
        <v>0</v>
      </c>
      <c r="L11" s="466">
        <v>164952</v>
      </c>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v>315448</v>
      </c>
      <c r="D13" s="466">
        <v>59392</v>
      </c>
      <c r="E13" s="466">
        <v>2579</v>
      </c>
      <c r="F13" s="466">
        <v>22000</v>
      </c>
      <c r="G13" s="466">
        <v>2508</v>
      </c>
      <c r="H13" s="466"/>
      <c r="I13" s="467"/>
      <c r="J13" s="467"/>
      <c r="K13" s="1691">
        <f t="shared" si="0"/>
        <v>401927</v>
      </c>
      <c r="L13" s="466">
        <v>415170</v>
      </c>
    </row>
    <row r="14" spans="1:14" x14ac:dyDescent="0.2">
      <c r="A14" s="1526" t="s">
        <v>1020</v>
      </c>
      <c r="B14" s="615">
        <v>1500</v>
      </c>
      <c r="C14" s="466">
        <v>555504</v>
      </c>
      <c r="D14" s="466">
        <v>124056</v>
      </c>
      <c r="E14" s="466">
        <v>90927</v>
      </c>
      <c r="F14" s="466">
        <v>50198</v>
      </c>
      <c r="G14" s="466">
        <v>27574</v>
      </c>
      <c r="H14" s="466">
        <v>32864</v>
      </c>
      <c r="I14" s="467"/>
      <c r="J14" s="467"/>
      <c r="K14" s="1691">
        <f t="shared" si="0"/>
        <v>881123</v>
      </c>
      <c r="L14" s="466">
        <v>929250</v>
      </c>
    </row>
    <row r="15" spans="1:14" x14ac:dyDescent="0.2">
      <c r="A15" s="1526" t="s">
        <v>1021</v>
      </c>
      <c r="B15" s="615">
        <v>1600</v>
      </c>
      <c r="C15" s="466">
        <v>18851</v>
      </c>
      <c r="D15" s="466">
        <v>3061</v>
      </c>
      <c r="E15" s="466">
        <v>1282</v>
      </c>
      <c r="F15" s="466">
        <v>11510</v>
      </c>
      <c r="G15" s="466"/>
      <c r="H15" s="466"/>
      <c r="I15" s="467"/>
      <c r="J15" s="467"/>
      <c r="K15" s="1691">
        <f t="shared" si="0"/>
        <v>34704</v>
      </c>
      <c r="L15" s="466">
        <v>42500</v>
      </c>
    </row>
    <row r="16" spans="1:14" x14ac:dyDescent="0.2">
      <c r="A16" s="1526" t="s">
        <v>1044</v>
      </c>
      <c r="B16" s="615" t="s">
        <v>444</v>
      </c>
      <c r="C16" s="466"/>
      <c r="D16" s="466"/>
      <c r="E16" s="466"/>
      <c r="F16" s="466"/>
      <c r="G16" s="466"/>
      <c r="H16" s="466"/>
      <c r="I16" s="467"/>
      <c r="J16" s="467"/>
      <c r="K16" s="1691">
        <f t="shared" si="0"/>
        <v>0</v>
      </c>
      <c r="L16" s="466"/>
    </row>
    <row r="17" spans="1:12" x14ac:dyDescent="0.2">
      <c r="A17" s="1526" t="s">
        <v>748</v>
      </c>
      <c r="B17" s="615" t="s">
        <v>164</v>
      </c>
      <c r="C17" s="467"/>
      <c r="D17" s="467"/>
      <c r="E17" s="467"/>
      <c r="F17" s="467"/>
      <c r="G17" s="467"/>
      <c r="H17" s="467"/>
      <c r="I17" s="467"/>
      <c r="J17" s="467"/>
      <c r="K17" s="1691">
        <f t="shared" si="0"/>
        <v>0</v>
      </c>
      <c r="L17" s="466"/>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11142658</v>
      </c>
      <c r="D33" s="1690">
        <f t="shared" ref="D33:L33" si="1">SUM(D5:D32)</f>
        <v>2481917</v>
      </c>
      <c r="E33" s="1690">
        <f t="shared" si="1"/>
        <v>245322</v>
      </c>
      <c r="F33" s="1690">
        <f t="shared" si="1"/>
        <v>560816</v>
      </c>
      <c r="G33" s="1690">
        <f t="shared" si="1"/>
        <v>296289</v>
      </c>
      <c r="H33" s="1690">
        <f t="shared" si="1"/>
        <v>407258</v>
      </c>
      <c r="I33" s="1690">
        <f t="shared" si="1"/>
        <v>0</v>
      </c>
      <c r="J33" s="1690">
        <f t="shared" si="1"/>
        <v>0</v>
      </c>
      <c r="K33" s="1690">
        <f t="shared" si="1"/>
        <v>15134260</v>
      </c>
      <c r="L33" s="1690">
        <f t="shared" si="1"/>
        <v>14882970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234942</v>
      </c>
      <c r="D36" s="481">
        <v>54931</v>
      </c>
      <c r="E36" s="481"/>
      <c r="F36" s="481">
        <v>1456</v>
      </c>
      <c r="G36" s="481"/>
      <c r="H36" s="481"/>
      <c r="I36" s="467"/>
      <c r="J36" s="467"/>
      <c r="K36" s="1691">
        <f t="shared" ref="K36:K41" si="2">SUM(C36:J36)</f>
        <v>291329</v>
      </c>
      <c r="L36" s="466">
        <v>298115</v>
      </c>
    </row>
    <row r="37" spans="1:14" x14ac:dyDescent="0.2">
      <c r="A37" s="1526" t="s">
        <v>1151</v>
      </c>
      <c r="B37" s="615">
        <v>2120</v>
      </c>
      <c r="C37" s="466">
        <v>218607</v>
      </c>
      <c r="D37" s="466">
        <v>75367</v>
      </c>
      <c r="E37" s="466"/>
      <c r="F37" s="466"/>
      <c r="G37" s="466"/>
      <c r="H37" s="466"/>
      <c r="I37" s="467"/>
      <c r="J37" s="467"/>
      <c r="K37" s="1691">
        <f t="shared" si="2"/>
        <v>293974</v>
      </c>
      <c r="L37" s="466">
        <v>284792</v>
      </c>
    </row>
    <row r="38" spans="1:14" x14ac:dyDescent="0.2">
      <c r="A38" s="1526" t="s">
        <v>207</v>
      </c>
      <c r="B38" s="615">
        <v>2130</v>
      </c>
      <c r="C38" s="466">
        <v>101841</v>
      </c>
      <c r="D38" s="466">
        <v>22229</v>
      </c>
      <c r="E38" s="466">
        <v>387</v>
      </c>
      <c r="F38" s="466">
        <v>2202</v>
      </c>
      <c r="G38" s="466">
        <v>14471</v>
      </c>
      <c r="H38" s="466"/>
      <c r="I38" s="467"/>
      <c r="J38" s="467"/>
      <c r="K38" s="1691">
        <f t="shared" si="2"/>
        <v>141130</v>
      </c>
      <c r="L38" s="466">
        <v>125115</v>
      </c>
    </row>
    <row r="39" spans="1:14" x14ac:dyDescent="0.2">
      <c r="A39" s="1526" t="s">
        <v>208</v>
      </c>
      <c r="B39" s="615">
        <v>2140</v>
      </c>
      <c r="C39" s="466">
        <v>130202</v>
      </c>
      <c r="D39" s="466">
        <v>29501</v>
      </c>
      <c r="E39" s="466"/>
      <c r="F39" s="466"/>
      <c r="G39" s="466"/>
      <c r="H39" s="466"/>
      <c r="I39" s="467"/>
      <c r="J39" s="467"/>
      <c r="K39" s="1691">
        <f t="shared" si="2"/>
        <v>159703</v>
      </c>
      <c r="L39" s="466">
        <v>163000</v>
      </c>
    </row>
    <row r="40" spans="1:14" x14ac:dyDescent="0.2">
      <c r="A40" s="1526" t="s">
        <v>209</v>
      </c>
      <c r="B40" s="615">
        <v>2150</v>
      </c>
      <c r="C40" s="466">
        <v>227484</v>
      </c>
      <c r="D40" s="466">
        <v>34679</v>
      </c>
      <c r="E40" s="466"/>
      <c r="F40" s="466">
        <v>233</v>
      </c>
      <c r="G40" s="466"/>
      <c r="H40" s="466"/>
      <c r="I40" s="467"/>
      <c r="J40" s="467"/>
      <c r="K40" s="1691">
        <f t="shared" si="2"/>
        <v>262396</v>
      </c>
      <c r="L40" s="466">
        <v>217000</v>
      </c>
    </row>
    <row r="41" spans="1:14" x14ac:dyDescent="0.2">
      <c r="A41" s="1526" t="s">
        <v>1768</v>
      </c>
      <c r="B41" s="615">
        <v>2190</v>
      </c>
      <c r="C41" s="466"/>
      <c r="D41" s="466"/>
      <c r="E41" s="466">
        <v>73437</v>
      </c>
      <c r="F41" s="466">
        <v>8579</v>
      </c>
      <c r="G41" s="466"/>
      <c r="H41" s="466"/>
      <c r="I41" s="467"/>
      <c r="J41" s="467"/>
      <c r="K41" s="1691">
        <f t="shared" si="2"/>
        <v>82016</v>
      </c>
      <c r="L41" s="466">
        <v>87700</v>
      </c>
    </row>
    <row r="42" spans="1:14" ht="12.75" customHeight="1" thickBot="1" x14ac:dyDescent="0.25">
      <c r="A42" s="1688" t="s">
        <v>581</v>
      </c>
      <c r="B42" s="1689" t="s">
        <v>740</v>
      </c>
      <c r="C42" s="1690">
        <f>SUM(C36:C41)</f>
        <v>913076</v>
      </c>
      <c r="D42" s="1690">
        <f t="shared" ref="D42:L42" si="3">SUM(D36:D41)</f>
        <v>216707</v>
      </c>
      <c r="E42" s="1690">
        <f t="shared" si="3"/>
        <v>73824</v>
      </c>
      <c r="F42" s="1690">
        <f t="shared" si="3"/>
        <v>12470</v>
      </c>
      <c r="G42" s="1690">
        <f t="shared" si="3"/>
        <v>14471</v>
      </c>
      <c r="H42" s="1690">
        <f t="shared" si="3"/>
        <v>0</v>
      </c>
      <c r="I42" s="1690">
        <f t="shared" si="3"/>
        <v>0</v>
      </c>
      <c r="J42" s="1690">
        <f t="shared" si="3"/>
        <v>0</v>
      </c>
      <c r="K42" s="1690">
        <f t="shared" si="3"/>
        <v>1230548</v>
      </c>
      <c r="L42" s="1690">
        <f t="shared" si="3"/>
        <v>1175722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199632</v>
      </c>
      <c r="D44" s="481">
        <v>67821</v>
      </c>
      <c r="E44" s="481">
        <v>107619</v>
      </c>
      <c r="F44" s="481">
        <v>6206</v>
      </c>
      <c r="G44" s="481"/>
      <c r="H44" s="481">
        <v>358</v>
      </c>
      <c r="I44" s="467"/>
      <c r="J44" s="467"/>
      <c r="K44" s="1692">
        <f>SUM(C44:J44)</f>
        <v>381636</v>
      </c>
      <c r="L44" s="481">
        <v>426000</v>
      </c>
    </row>
    <row r="45" spans="1:14" x14ac:dyDescent="0.2">
      <c r="A45" s="1526" t="s">
        <v>869</v>
      </c>
      <c r="B45" s="615">
        <v>2220</v>
      </c>
      <c r="C45" s="466">
        <v>367644</v>
      </c>
      <c r="D45" s="466">
        <v>74309</v>
      </c>
      <c r="E45" s="466">
        <v>471480</v>
      </c>
      <c r="F45" s="466">
        <v>27865</v>
      </c>
      <c r="G45" s="466">
        <v>84826</v>
      </c>
      <c r="H45" s="466"/>
      <c r="I45" s="467"/>
      <c r="J45" s="467"/>
      <c r="K45" s="1692">
        <f>SUM(C45:J45)</f>
        <v>1026124</v>
      </c>
      <c r="L45" s="466">
        <v>1095140</v>
      </c>
    </row>
    <row r="46" spans="1:14" x14ac:dyDescent="0.2">
      <c r="A46" s="1526" t="s">
        <v>870</v>
      </c>
      <c r="B46" s="615">
        <v>2230</v>
      </c>
      <c r="C46" s="466"/>
      <c r="D46" s="466"/>
      <c r="E46" s="466">
        <v>3741</v>
      </c>
      <c r="F46" s="466">
        <v>49900</v>
      </c>
      <c r="G46" s="466"/>
      <c r="H46" s="466"/>
      <c r="I46" s="467"/>
      <c r="J46" s="467"/>
      <c r="K46" s="1692">
        <f>SUM(C46:J46)</f>
        <v>53641</v>
      </c>
      <c r="L46" s="466">
        <v>66200</v>
      </c>
    </row>
    <row r="47" spans="1:14" ht="12.75" customHeight="1" thickBot="1" x14ac:dyDescent="0.25">
      <c r="A47" s="1688" t="s">
        <v>582</v>
      </c>
      <c r="B47" s="1689" t="s">
        <v>32</v>
      </c>
      <c r="C47" s="1690">
        <f>SUM(C44:C46)</f>
        <v>567276</v>
      </c>
      <c r="D47" s="1690">
        <f t="shared" ref="D47:K47" si="4">SUM(D44:D46)</f>
        <v>142130</v>
      </c>
      <c r="E47" s="1690">
        <f t="shared" si="4"/>
        <v>582840</v>
      </c>
      <c r="F47" s="1690">
        <f t="shared" si="4"/>
        <v>83971</v>
      </c>
      <c r="G47" s="1690">
        <f t="shared" si="4"/>
        <v>84826</v>
      </c>
      <c r="H47" s="1690">
        <f t="shared" si="4"/>
        <v>358</v>
      </c>
      <c r="I47" s="1690">
        <f t="shared" si="4"/>
        <v>0</v>
      </c>
      <c r="J47" s="1690">
        <f t="shared" si="4"/>
        <v>0</v>
      </c>
      <c r="K47" s="1690">
        <f t="shared" si="4"/>
        <v>1461401</v>
      </c>
      <c r="L47" s="1690">
        <f>SUM(L44:L46)</f>
        <v>1587340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7323</v>
      </c>
      <c r="D49" s="481"/>
      <c r="E49" s="481">
        <v>412966</v>
      </c>
      <c r="F49" s="481">
        <v>11702</v>
      </c>
      <c r="G49" s="481">
        <v>11251</v>
      </c>
      <c r="H49" s="481">
        <v>17440</v>
      </c>
      <c r="I49" s="467"/>
      <c r="J49" s="467"/>
      <c r="K49" s="1692">
        <f>SUM(C49:J49)</f>
        <v>460682</v>
      </c>
      <c r="L49" s="481">
        <v>773500</v>
      </c>
    </row>
    <row r="50" spans="1:14" x14ac:dyDescent="0.2">
      <c r="A50" s="1526" t="s">
        <v>872</v>
      </c>
      <c r="B50" s="615">
        <v>2320</v>
      </c>
      <c r="C50" s="466">
        <v>229968</v>
      </c>
      <c r="D50" s="466">
        <v>56855</v>
      </c>
      <c r="E50" s="466">
        <v>3688</v>
      </c>
      <c r="F50" s="466">
        <v>361</v>
      </c>
      <c r="G50" s="466"/>
      <c r="H50" s="466">
        <v>2204</v>
      </c>
      <c r="I50" s="467"/>
      <c r="J50" s="467"/>
      <c r="K50" s="1692">
        <f>SUM(C50:J50)</f>
        <v>293076</v>
      </c>
      <c r="L50" s="466">
        <v>291500</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237291</v>
      </c>
      <c r="D53" s="1690">
        <f t="shared" ref="D53:L53" si="5">SUM(D49:D52)</f>
        <v>56855</v>
      </c>
      <c r="E53" s="1690">
        <f t="shared" si="5"/>
        <v>416654</v>
      </c>
      <c r="F53" s="1690">
        <f t="shared" si="5"/>
        <v>12063</v>
      </c>
      <c r="G53" s="1690">
        <f t="shared" si="5"/>
        <v>11251</v>
      </c>
      <c r="H53" s="1690">
        <f t="shared" si="5"/>
        <v>19644</v>
      </c>
      <c r="I53" s="1690">
        <f t="shared" si="5"/>
        <v>0</v>
      </c>
      <c r="J53" s="1690">
        <f t="shared" si="5"/>
        <v>0</v>
      </c>
      <c r="K53" s="1690">
        <f t="shared" si="5"/>
        <v>753758</v>
      </c>
      <c r="L53" s="1690">
        <f t="shared" si="5"/>
        <v>1065000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829342</v>
      </c>
      <c r="D55" s="481">
        <v>234193</v>
      </c>
      <c r="E55" s="481">
        <v>7686</v>
      </c>
      <c r="F55" s="481">
        <v>24870</v>
      </c>
      <c r="G55" s="481"/>
      <c r="H55" s="481">
        <v>2293</v>
      </c>
      <c r="I55" s="467"/>
      <c r="J55" s="467"/>
      <c r="K55" s="1692">
        <f>SUM(C55:J55)</f>
        <v>1098384</v>
      </c>
      <c r="L55" s="481">
        <v>1158114</v>
      </c>
    </row>
    <row r="56" spans="1:14" ht="12.75" customHeight="1" x14ac:dyDescent="0.2">
      <c r="A56" s="1530" t="s">
        <v>394</v>
      </c>
      <c r="B56" s="629">
        <v>2490</v>
      </c>
      <c r="C56" s="466"/>
      <c r="D56" s="466"/>
      <c r="E56" s="466">
        <v>2560</v>
      </c>
      <c r="F56" s="466"/>
      <c r="G56" s="466"/>
      <c r="H56" s="466"/>
      <c r="I56" s="467"/>
      <c r="J56" s="467"/>
      <c r="K56" s="1692">
        <f>SUM(C56:J56)</f>
        <v>2560</v>
      </c>
      <c r="L56" s="466">
        <v>3000</v>
      </c>
    </row>
    <row r="57" spans="1:14" s="343" customFormat="1" ht="12.75" customHeight="1" thickBot="1" x14ac:dyDescent="0.25">
      <c r="A57" s="1688" t="s">
        <v>281</v>
      </c>
      <c r="B57" s="1693" t="s">
        <v>34</v>
      </c>
      <c r="C57" s="1694">
        <f>SUM(C55:C56)</f>
        <v>829342</v>
      </c>
      <c r="D57" s="1694">
        <f t="shared" ref="D57:K57" si="6">SUM(D55:D56)</f>
        <v>234193</v>
      </c>
      <c r="E57" s="1694">
        <f t="shared" si="6"/>
        <v>10246</v>
      </c>
      <c r="F57" s="1694">
        <f t="shared" si="6"/>
        <v>24870</v>
      </c>
      <c r="G57" s="1694">
        <f t="shared" si="6"/>
        <v>0</v>
      </c>
      <c r="H57" s="1694">
        <f t="shared" si="6"/>
        <v>2293</v>
      </c>
      <c r="I57" s="1694">
        <f t="shared" si="6"/>
        <v>0</v>
      </c>
      <c r="J57" s="1694">
        <f t="shared" si="6"/>
        <v>0</v>
      </c>
      <c r="K57" s="1694">
        <f t="shared" si="6"/>
        <v>1100944</v>
      </c>
      <c r="L57" s="1690">
        <f>SUM(L55:L56)</f>
        <v>1161114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54562</v>
      </c>
      <c r="D59" s="481">
        <v>17932</v>
      </c>
      <c r="E59" s="481">
        <v>1727</v>
      </c>
      <c r="F59" s="481">
        <v>2628</v>
      </c>
      <c r="G59" s="481"/>
      <c r="H59" s="481">
        <v>1273</v>
      </c>
      <c r="I59" s="467"/>
      <c r="J59" s="467"/>
      <c r="K59" s="1692">
        <f t="shared" ref="K59:K64" si="7">SUM(C59:J59)</f>
        <v>78122</v>
      </c>
      <c r="L59" s="481">
        <v>83200</v>
      </c>
      <c r="M59" s="610"/>
      <c r="N59" s="610"/>
    </row>
    <row r="60" spans="1:14" s="343" customFormat="1" x14ac:dyDescent="0.2">
      <c r="A60" s="1526" t="s">
        <v>483</v>
      </c>
      <c r="B60" s="615">
        <v>2520</v>
      </c>
      <c r="C60" s="466">
        <v>134430</v>
      </c>
      <c r="D60" s="466">
        <v>23253</v>
      </c>
      <c r="E60" s="466">
        <v>1101</v>
      </c>
      <c r="F60" s="466">
        <v>31445</v>
      </c>
      <c r="G60" s="466">
        <v>5113</v>
      </c>
      <c r="H60" s="466">
        <v>5163</v>
      </c>
      <c r="I60" s="467"/>
      <c r="J60" s="467"/>
      <c r="K60" s="1692">
        <f t="shared" si="7"/>
        <v>200505</v>
      </c>
      <c r="L60" s="466">
        <v>199250</v>
      </c>
      <c r="M60" s="610"/>
      <c r="N60" s="610"/>
    </row>
    <row r="61" spans="1:14" s="343" customFormat="1" x14ac:dyDescent="0.2">
      <c r="A61" s="1526" t="s">
        <v>206</v>
      </c>
      <c r="B61" s="615">
        <v>2540</v>
      </c>
      <c r="C61" s="466"/>
      <c r="D61" s="466"/>
      <c r="E61" s="466"/>
      <c r="F61" s="466">
        <v>3427</v>
      </c>
      <c r="G61" s="466"/>
      <c r="H61" s="466"/>
      <c r="I61" s="467"/>
      <c r="J61" s="467"/>
      <c r="K61" s="1692">
        <f t="shared" si="7"/>
        <v>3427</v>
      </c>
      <c r="L61" s="466">
        <v>5000</v>
      </c>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315910</v>
      </c>
      <c r="D63" s="466">
        <v>26813</v>
      </c>
      <c r="E63" s="466">
        <v>10232</v>
      </c>
      <c r="F63" s="466">
        <v>367413</v>
      </c>
      <c r="G63" s="466">
        <v>31773</v>
      </c>
      <c r="H63" s="466"/>
      <c r="I63" s="467"/>
      <c r="J63" s="467"/>
      <c r="K63" s="1692">
        <f t="shared" si="7"/>
        <v>752141</v>
      </c>
      <c r="L63" s="466">
        <v>866250</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504902</v>
      </c>
      <c r="D65" s="1690">
        <f t="shared" ref="D65:L65" si="8">SUM(D59:D64)</f>
        <v>67998</v>
      </c>
      <c r="E65" s="1690">
        <f t="shared" si="8"/>
        <v>13060</v>
      </c>
      <c r="F65" s="1690">
        <f t="shared" si="8"/>
        <v>404913</v>
      </c>
      <c r="G65" s="1690">
        <f t="shared" si="8"/>
        <v>36886</v>
      </c>
      <c r="H65" s="1690">
        <f t="shared" si="8"/>
        <v>6436</v>
      </c>
      <c r="I65" s="1690">
        <f t="shared" si="8"/>
        <v>0</v>
      </c>
      <c r="J65" s="1690">
        <f t="shared" si="8"/>
        <v>0</v>
      </c>
      <c r="K65" s="1690">
        <f t="shared" si="8"/>
        <v>1034195</v>
      </c>
      <c r="L65" s="1690">
        <f t="shared" si="8"/>
        <v>1153700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v>4823</v>
      </c>
      <c r="F69" s="466"/>
      <c r="G69" s="466"/>
      <c r="H69" s="466"/>
      <c r="I69" s="467"/>
      <c r="J69" s="467"/>
      <c r="K69" s="1692">
        <f>SUM(C69:J69)</f>
        <v>4823</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4823</v>
      </c>
      <c r="F72" s="1690">
        <f t="shared" si="9"/>
        <v>0</v>
      </c>
      <c r="G72" s="1690">
        <f t="shared" si="9"/>
        <v>0</v>
      </c>
      <c r="H72" s="1690">
        <f t="shared" si="9"/>
        <v>0</v>
      </c>
      <c r="I72" s="1690">
        <f t="shared" si="9"/>
        <v>0</v>
      </c>
      <c r="J72" s="1690">
        <f t="shared" si="9"/>
        <v>0</v>
      </c>
      <c r="K72" s="1690">
        <f t="shared" si="9"/>
        <v>4823</v>
      </c>
      <c r="L72" s="1690">
        <f>SUM(L67:L71)</f>
        <v>0</v>
      </c>
      <c r="M72" s="610"/>
      <c r="N72" s="610"/>
    </row>
    <row r="73" spans="1:14" s="343" customFormat="1" ht="14.25" thickTop="1" thickBot="1" x14ac:dyDescent="0.25">
      <c r="A73" s="1532" t="s">
        <v>1037</v>
      </c>
      <c r="B73" s="633" t="s">
        <v>595</v>
      </c>
      <c r="C73" s="573"/>
      <c r="D73" s="573"/>
      <c r="E73" s="573"/>
      <c r="F73" s="573">
        <v>3246</v>
      </c>
      <c r="G73" s="573"/>
      <c r="H73" s="573"/>
      <c r="I73" s="531"/>
      <c r="J73" s="531"/>
      <c r="K73" s="1690">
        <f>SUM(C73:J73)</f>
        <v>3246</v>
      </c>
      <c r="L73" s="576">
        <v>2500</v>
      </c>
      <c r="M73" s="610"/>
      <c r="N73" s="610"/>
    </row>
    <row r="74" spans="1:14" ht="12.75" customHeight="1" thickTop="1" thickBot="1" x14ac:dyDescent="0.25">
      <c r="A74" s="1688" t="s">
        <v>865</v>
      </c>
      <c r="B74" s="1696">
        <v>2000</v>
      </c>
      <c r="C74" s="1697">
        <f>SUM(C42,C47,C53,C57,C65,C72,C73)</f>
        <v>3051887</v>
      </c>
      <c r="D74" s="1697">
        <f t="shared" ref="D74:K74" si="10">SUM(D42,D47,D53,D57,D65,D72,D73)</f>
        <v>717883</v>
      </c>
      <c r="E74" s="1697">
        <f t="shared" si="10"/>
        <v>1101447</v>
      </c>
      <c r="F74" s="1697">
        <f t="shared" si="10"/>
        <v>541533</v>
      </c>
      <c r="G74" s="1697">
        <f t="shared" si="10"/>
        <v>147434</v>
      </c>
      <c r="H74" s="1697">
        <f t="shared" si="10"/>
        <v>28731</v>
      </c>
      <c r="I74" s="1697">
        <f t="shared" si="10"/>
        <v>0</v>
      </c>
      <c r="J74" s="1697">
        <f t="shared" si="10"/>
        <v>0</v>
      </c>
      <c r="K74" s="1697">
        <f t="shared" si="10"/>
        <v>5588915</v>
      </c>
      <c r="L74" s="1697">
        <f>SUM(L42,L47,L53,L57,L65,L72,L73)</f>
        <v>6145376</v>
      </c>
    </row>
    <row r="75" spans="1:14" s="259" customFormat="1" ht="15.75" customHeight="1" thickTop="1" thickBot="1" x14ac:dyDescent="0.25">
      <c r="A75" s="1632" t="s">
        <v>49</v>
      </c>
      <c r="B75" s="1633" t="s">
        <v>596</v>
      </c>
      <c r="C75" s="573">
        <v>6115</v>
      </c>
      <c r="D75" s="573"/>
      <c r="E75" s="573"/>
      <c r="F75" s="573">
        <v>47</v>
      </c>
      <c r="G75" s="573"/>
      <c r="H75" s="573"/>
      <c r="I75" s="531"/>
      <c r="J75" s="531"/>
      <c r="K75" s="1690">
        <f>SUM(C75:J75)</f>
        <v>6162</v>
      </c>
      <c r="L75" s="576">
        <v>15200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15551</v>
      </c>
      <c r="I78" s="477"/>
      <c r="J78" s="477"/>
      <c r="K78" s="1691">
        <f t="shared" ref="K78:K83" si="11">SUM(C78:J78)</f>
        <v>15551</v>
      </c>
      <c r="L78" s="481">
        <v>25000</v>
      </c>
    </row>
    <row r="79" spans="1:14" x14ac:dyDescent="0.2">
      <c r="A79" s="1526" t="s">
        <v>322</v>
      </c>
      <c r="B79" s="615">
        <v>4120</v>
      </c>
      <c r="C79" s="617"/>
      <c r="D79" s="617"/>
      <c r="E79" s="466"/>
      <c r="F79" s="617"/>
      <c r="G79" s="617"/>
      <c r="H79" s="466">
        <v>23336</v>
      </c>
      <c r="I79" s="477"/>
      <c r="J79" s="477"/>
      <c r="K79" s="1691">
        <f t="shared" si="11"/>
        <v>23336</v>
      </c>
      <c r="L79" s="466"/>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0</v>
      </c>
      <c r="F84" s="617"/>
      <c r="G84" s="617"/>
      <c r="H84" s="1690">
        <f>SUM(H78:H83)</f>
        <v>38887</v>
      </c>
      <c r="I84" s="477"/>
      <c r="J84" s="477"/>
      <c r="K84" s="1690">
        <f>SUM(K78:K83)</f>
        <v>38887</v>
      </c>
      <c r="L84" s="1690">
        <f>SUM(L78:L83)</f>
        <v>25000</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v>354239</v>
      </c>
      <c r="I86" s="477"/>
      <c r="J86" s="477"/>
      <c r="K86" s="1697">
        <f t="shared" ref="K86:K98" si="12">H86</f>
        <v>354239</v>
      </c>
      <c r="L86" s="530">
        <v>383000</v>
      </c>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v>314659</v>
      </c>
      <c r="I88" s="477"/>
      <c r="J88" s="477"/>
      <c r="K88" s="1697">
        <f t="shared" si="12"/>
        <v>314659</v>
      </c>
      <c r="L88" s="530">
        <v>280000</v>
      </c>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668898</v>
      </c>
      <c r="I92" s="477"/>
      <c r="J92" s="477"/>
      <c r="K92" s="1697">
        <f t="shared" si="12"/>
        <v>668898</v>
      </c>
      <c r="L92" s="1690">
        <f>SUM(L85:L91)</f>
        <v>663000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0</v>
      </c>
      <c r="F102" s="617"/>
      <c r="G102" s="617"/>
      <c r="H102" s="1697">
        <f>SUM(H84,H92,H100,H101)</f>
        <v>707785</v>
      </c>
      <c r="I102" s="477"/>
      <c r="J102" s="477"/>
      <c r="K102" s="1697">
        <f>SUM(K84,K92,K100,K101)</f>
        <v>707785</v>
      </c>
      <c r="L102" s="1697">
        <f>SUM(L84,L92,L100,L101)</f>
        <v>688000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14200660</v>
      </c>
      <c r="D114" s="1690">
        <f t="shared" ref="D114:K114" si="13">SUM(D33,D74,D75,D102,D112,D113)</f>
        <v>3199800</v>
      </c>
      <c r="E114" s="1690">
        <f t="shared" si="13"/>
        <v>1346769</v>
      </c>
      <c r="F114" s="1690">
        <f t="shared" si="13"/>
        <v>1102396</v>
      </c>
      <c r="G114" s="1690">
        <f t="shared" si="13"/>
        <v>443723</v>
      </c>
      <c r="H114" s="1690">
        <f>SUM(H33,H74,H75,H102,H112,H113)</f>
        <v>1143774</v>
      </c>
      <c r="I114" s="1690">
        <f t="shared" si="13"/>
        <v>0</v>
      </c>
      <c r="J114" s="1690">
        <f t="shared" si="13"/>
        <v>0</v>
      </c>
      <c r="K114" s="1690">
        <f t="shared" si="13"/>
        <v>21437122</v>
      </c>
      <c r="L114" s="1690">
        <f>SUM(L33,L74,L75,L102,L112,L113)</f>
        <v>21731546</v>
      </c>
    </row>
    <row r="115" spans="1:14" ht="13.5" thickTop="1" x14ac:dyDescent="0.2">
      <c r="A115" s="2171" t="s">
        <v>1053</v>
      </c>
      <c r="B115" s="2172"/>
      <c r="C115" s="619"/>
      <c r="D115" s="619"/>
      <c r="E115" s="619"/>
      <c r="F115" s="619"/>
      <c r="G115" s="619"/>
      <c r="H115" s="619"/>
      <c r="I115" s="619"/>
      <c r="J115" s="619"/>
      <c r="K115" s="1704">
        <f>'Revenues 9-14'!C275-'Expenditures 15-22'!K114</f>
        <v>-111183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v>6794</v>
      </c>
      <c r="F123" s="466"/>
      <c r="G123" s="466"/>
      <c r="H123" s="466"/>
      <c r="I123" s="467"/>
      <c r="J123" s="467"/>
      <c r="K123" s="1690">
        <f>SUM(C123:J123)</f>
        <v>6794</v>
      </c>
      <c r="L123" s="466">
        <v>120000</v>
      </c>
    </row>
    <row r="124" spans="1:14" ht="14.25" thickTop="1" thickBot="1" x14ac:dyDescent="0.25">
      <c r="A124" s="1526" t="s">
        <v>206</v>
      </c>
      <c r="B124" s="615">
        <v>2540</v>
      </c>
      <c r="C124" s="466">
        <v>1126746</v>
      </c>
      <c r="D124" s="466">
        <v>202091</v>
      </c>
      <c r="E124" s="466">
        <v>578634</v>
      </c>
      <c r="F124" s="466">
        <v>837278</v>
      </c>
      <c r="G124" s="466">
        <v>197044</v>
      </c>
      <c r="H124" s="466">
        <v>1135</v>
      </c>
      <c r="I124" s="467"/>
      <c r="J124" s="467"/>
      <c r="K124" s="1690">
        <f>SUM(C124:J124)</f>
        <v>2942928</v>
      </c>
      <c r="L124" s="466">
        <v>3172750</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1126746</v>
      </c>
      <c r="D127" s="1690">
        <f t="shared" ref="D127:L127" si="14">SUM(D122:D126)</f>
        <v>202091</v>
      </c>
      <c r="E127" s="1690">
        <f t="shared" si="14"/>
        <v>585428</v>
      </c>
      <c r="F127" s="1690">
        <f t="shared" si="14"/>
        <v>837278</v>
      </c>
      <c r="G127" s="1690">
        <f t="shared" si="14"/>
        <v>197044</v>
      </c>
      <c r="H127" s="1690">
        <f t="shared" si="14"/>
        <v>1135</v>
      </c>
      <c r="I127" s="1690">
        <f t="shared" si="14"/>
        <v>0</v>
      </c>
      <c r="J127" s="1690">
        <f t="shared" si="14"/>
        <v>0</v>
      </c>
      <c r="K127" s="1690">
        <f t="shared" si="14"/>
        <v>2949722</v>
      </c>
      <c r="L127" s="1690">
        <f t="shared" si="14"/>
        <v>3292750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1126746</v>
      </c>
      <c r="D129" s="1697">
        <f t="shared" ref="D129:L129" si="15">SUM(D120,D127,D128)</f>
        <v>202091</v>
      </c>
      <c r="E129" s="1697">
        <f t="shared" si="15"/>
        <v>585428</v>
      </c>
      <c r="F129" s="1697">
        <f t="shared" si="15"/>
        <v>837278</v>
      </c>
      <c r="G129" s="1697">
        <f t="shared" si="15"/>
        <v>197044</v>
      </c>
      <c r="H129" s="1697">
        <f t="shared" si="15"/>
        <v>1135</v>
      </c>
      <c r="I129" s="1697">
        <f t="shared" si="15"/>
        <v>0</v>
      </c>
      <c r="J129" s="1697">
        <f t="shared" si="15"/>
        <v>0</v>
      </c>
      <c r="K129" s="1697">
        <f t="shared" si="15"/>
        <v>2949722</v>
      </c>
      <c r="L129" s="1697">
        <f t="shared" si="15"/>
        <v>3292750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1954</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v>222486</v>
      </c>
      <c r="I135" s="477"/>
      <c r="J135" s="617"/>
      <c r="K135" s="1692">
        <f>SUM(E135,H135)</f>
        <v>222486</v>
      </c>
      <c r="L135" s="466">
        <v>250000</v>
      </c>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222486</v>
      </c>
      <c r="I137" s="477"/>
      <c r="J137" s="617"/>
      <c r="K137" s="1690">
        <f>SUM(K133:K136)</f>
        <v>222486</v>
      </c>
      <c r="L137" s="1690">
        <f>SUM(L133:L136)</f>
        <v>250000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222486</v>
      </c>
      <c r="I139" s="477"/>
      <c r="J139" s="617"/>
      <c r="K139" s="1692">
        <f>SUM(K137,K138)</f>
        <v>222486</v>
      </c>
      <c r="L139" s="1699">
        <f>SUM(L137,L138)</f>
        <v>250000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50000</v>
      </c>
    </row>
    <row r="151" spans="1:14" ht="12.75" customHeight="1" thickTop="1" thickBot="1" x14ac:dyDescent="0.25">
      <c r="A151" s="2188" t="s">
        <v>641</v>
      </c>
      <c r="B151" s="2168"/>
      <c r="C151" s="1690">
        <f>SUM(C129,C130,C139,C149,C150)</f>
        <v>1126746</v>
      </c>
      <c r="D151" s="1690">
        <f t="shared" ref="D151:K151" si="16">SUM(D129,D130,D139,D149,D150)</f>
        <v>202091</v>
      </c>
      <c r="E151" s="1690">
        <f t="shared" si="16"/>
        <v>585428</v>
      </c>
      <c r="F151" s="1690">
        <f t="shared" si="16"/>
        <v>837278</v>
      </c>
      <c r="G151" s="1690">
        <f t="shared" si="16"/>
        <v>197044</v>
      </c>
      <c r="H151" s="1690">
        <f t="shared" si="16"/>
        <v>223621</v>
      </c>
      <c r="I151" s="1690">
        <f t="shared" si="16"/>
        <v>0</v>
      </c>
      <c r="J151" s="1690">
        <f t="shared" si="16"/>
        <v>0</v>
      </c>
      <c r="K151" s="1690">
        <f t="shared" si="16"/>
        <v>3172208</v>
      </c>
      <c r="L151" s="1690">
        <f>SUM(L129,L130,L139,L149,L150)</f>
        <v>3592750</v>
      </c>
    </row>
    <row r="152" spans="1:14" ht="12.75" customHeight="1" thickTop="1" x14ac:dyDescent="0.2">
      <c r="A152" s="2191" t="s">
        <v>1240</v>
      </c>
      <c r="B152" s="2192"/>
      <c r="C152" s="619"/>
      <c r="D152" s="619"/>
      <c r="E152" s="619"/>
      <c r="F152" s="619"/>
      <c r="G152" s="619"/>
      <c r="H152" s="619"/>
      <c r="I152" s="619"/>
      <c r="J152" s="617"/>
      <c r="K152" s="1704">
        <f>'Revenues 9-14'!D275-'Expenditures 15-22'!K151</f>
        <v>93647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1955</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1954</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1956</v>
      </c>
      <c r="C158" s="617"/>
      <c r="D158" s="617"/>
      <c r="E158" s="617"/>
      <c r="F158" s="617"/>
      <c r="G158" s="617"/>
      <c r="H158" s="467"/>
      <c r="I158" s="617"/>
      <c r="J158" s="617"/>
      <c r="K158" s="1691">
        <f>H158</f>
        <v>0</v>
      </c>
      <c r="L158" s="467"/>
      <c r="M158" s="620"/>
      <c r="N158" s="620"/>
    </row>
    <row r="159" spans="1:14" s="621" customFormat="1" ht="12" x14ac:dyDescent="0.2">
      <c r="A159" s="1847" t="s">
        <v>1957</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1238491</v>
      </c>
      <c r="I169" s="617"/>
      <c r="J169" s="617"/>
      <c r="K169" s="1691">
        <f>SUM(C169:H169)</f>
        <v>1238491</v>
      </c>
      <c r="L169" s="657">
        <v>1425000</v>
      </c>
    </row>
    <row r="170" spans="1:14" ht="33.75" customHeight="1" x14ac:dyDescent="0.2">
      <c r="A170" s="670" t="s">
        <v>1769</v>
      </c>
      <c r="B170" s="672" t="s">
        <v>31</v>
      </c>
      <c r="C170" s="617"/>
      <c r="D170" s="617"/>
      <c r="E170" s="617"/>
      <c r="F170" s="617"/>
      <c r="G170" s="617"/>
      <c r="H170" s="569">
        <v>1425000</v>
      </c>
      <c r="I170" s="617"/>
      <c r="J170" s="617"/>
      <c r="K170" s="1691">
        <f>SUM(C170:J170)</f>
        <v>1425000</v>
      </c>
      <c r="L170" s="569">
        <v>2016794</v>
      </c>
    </row>
    <row r="171" spans="1:14" ht="15.75" customHeight="1" x14ac:dyDescent="0.2">
      <c r="A171" s="622" t="s">
        <v>790</v>
      </c>
      <c r="B171" s="673" t="s">
        <v>86</v>
      </c>
      <c r="C171" s="617"/>
      <c r="D171" s="617"/>
      <c r="E171" s="466">
        <v>445595</v>
      </c>
      <c r="F171" s="617"/>
      <c r="G171" s="617"/>
      <c r="H171" s="569">
        <v>1425</v>
      </c>
      <c r="I171" s="477"/>
      <c r="J171" s="617"/>
      <c r="K171" s="1691">
        <f>SUM(C171:J171)</f>
        <v>447020</v>
      </c>
      <c r="L171" s="569">
        <v>2500</v>
      </c>
    </row>
    <row r="172" spans="1:14" ht="12.75" customHeight="1" thickBot="1" x14ac:dyDescent="0.25">
      <c r="A172" s="1688" t="s">
        <v>659</v>
      </c>
      <c r="B172" s="1689" t="s">
        <v>513</v>
      </c>
      <c r="C172" s="617"/>
      <c r="D172" s="617"/>
      <c r="E172" s="1697">
        <f>SUM(E168,E169,E170,E171)</f>
        <v>445595</v>
      </c>
      <c r="F172" s="617"/>
      <c r="G172" s="617"/>
      <c r="H172" s="1697">
        <f>SUM(H168,H169,H170,H171)</f>
        <v>2664916</v>
      </c>
      <c r="I172" s="639"/>
      <c r="J172" s="617"/>
      <c r="K172" s="1697">
        <f>SUM(K168,K169,K170,K171)</f>
        <v>3110511</v>
      </c>
      <c r="L172" s="1697">
        <f>SUM(L168,L169,L170,L171)</f>
        <v>3444294</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445595</v>
      </c>
      <c r="F174" s="617"/>
      <c r="G174" s="617"/>
      <c r="H174" s="1697">
        <f>SUM(H160,H172,H173)</f>
        <v>2664916</v>
      </c>
      <c r="I174" s="639"/>
      <c r="J174" s="617"/>
      <c r="K174" s="1697">
        <f>SUM(K160,K172,K173)</f>
        <v>3110511</v>
      </c>
      <c r="L174" s="1697">
        <f>SUM(L160,L172,L173)</f>
        <v>3444294</v>
      </c>
    </row>
    <row r="175" spans="1:14" ht="13.5" thickTop="1" x14ac:dyDescent="0.2">
      <c r="A175" s="2171" t="s">
        <v>1053</v>
      </c>
      <c r="B175" s="2172"/>
      <c r="C175" s="617"/>
      <c r="D175" s="617"/>
      <c r="E175" s="617"/>
      <c r="F175" s="617"/>
      <c r="G175" s="617"/>
      <c r="H175" s="619"/>
      <c r="I175" s="617"/>
      <c r="J175" s="617"/>
      <c r="K175" s="1704">
        <f>'Revenues 9-14'!E275-'Expenditures 15-22'!K174</f>
        <v>293972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2036229</v>
      </c>
      <c r="F182" s="466">
        <v>270</v>
      </c>
      <c r="G182" s="466"/>
      <c r="H182" s="466"/>
      <c r="I182" s="467"/>
      <c r="J182" s="467"/>
      <c r="K182" s="1691">
        <f>SUM(C182:J182)</f>
        <v>2036499</v>
      </c>
      <c r="L182" s="466">
        <v>2089500</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0</v>
      </c>
      <c r="D184" s="1697">
        <f t="shared" ref="D184:J184" si="17">SUM(D180,D182,D183)</f>
        <v>0</v>
      </c>
      <c r="E184" s="1697">
        <f t="shared" si="17"/>
        <v>2036229</v>
      </c>
      <c r="F184" s="1697">
        <f t="shared" si="17"/>
        <v>270</v>
      </c>
      <c r="G184" s="1697">
        <f t="shared" si="17"/>
        <v>0</v>
      </c>
      <c r="H184" s="1697">
        <f t="shared" si="17"/>
        <v>0</v>
      </c>
      <c r="I184" s="1697">
        <f t="shared" si="17"/>
        <v>0</v>
      </c>
      <c r="J184" s="1697">
        <f t="shared" si="17"/>
        <v>0</v>
      </c>
      <c r="K184" s="1697">
        <f>SUM(K180,K182,K183)</f>
        <v>2036499</v>
      </c>
      <c r="L184" s="1697">
        <f>SUM(L180, L182:L183)</f>
        <v>2089500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50000</v>
      </c>
    </row>
    <row r="210" spans="1:14" ht="12.75" customHeight="1" thickTop="1" thickBot="1" x14ac:dyDescent="0.25">
      <c r="A210" s="1712" t="s">
        <v>295</v>
      </c>
      <c r="B210" s="1713"/>
      <c r="C210" s="1690">
        <f>SUM(C184,C185)</f>
        <v>0</v>
      </c>
      <c r="D210" s="1690">
        <f>SUM(D184,D185)</f>
        <v>0</v>
      </c>
      <c r="E210" s="1690">
        <f>SUM(E184,E185,E196)</f>
        <v>2036229</v>
      </c>
      <c r="F210" s="1690">
        <f>SUM(F184,F185)</f>
        <v>270</v>
      </c>
      <c r="G210" s="1690">
        <f>SUM(G184,G185)</f>
        <v>0</v>
      </c>
      <c r="H210" s="1690">
        <f>SUM(H184,H185,H196,H208,H209)</f>
        <v>0</v>
      </c>
      <c r="I210" s="1690">
        <f>SUM(I184,I185)</f>
        <v>0</v>
      </c>
      <c r="J210" s="1690">
        <f>SUM(J184,J185)</f>
        <v>0</v>
      </c>
      <c r="K210" s="1691">
        <f>SUM(K184,K185,K196,K208,K209)</f>
        <v>2036499</v>
      </c>
      <c r="L210" s="1690">
        <f>SUM(L184,L185,L196,L208,L209)</f>
        <v>2139500</v>
      </c>
    </row>
    <row r="211" spans="1:14" ht="13.5" thickTop="1" x14ac:dyDescent="0.2">
      <c r="A211" s="2171" t="s">
        <v>1053</v>
      </c>
      <c r="B211" s="2172"/>
      <c r="C211" s="619"/>
      <c r="D211" s="619"/>
      <c r="E211" s="619"/>
      <c r="F211" s="619"/>
      <c r="G211" s="619"/>
      <c r="H211" s="619"/>
      <c r="I211" s="617"/>
      <c r="J211" s="617"/>
      <c r="K211" s="1704">
        <f>'Revenues 9-14'!F275-'Expenditures 15-22'!K210</f>
        <v>111530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120730</v>
      </c>
      <c r="E215" s="617"/>
      <c r="F215" s="617"/>
      <c r="G215" s="617"/>
      <c r="H215" s="617"/>
      <c r="I215" s="617"/>
      <c r="J215" s="617"/>
      <c r="K215" s="1691">
        <f>D215</f>
        <v>120730</v>
      </c>
      <c r="L215" s="466">
        <v>97050</v>
      </c>
    </row>
    <row r="216" spans="1:14" x14ac:dyDescent="0.2">
      <c r="A216" s="1526" t="s">
        <v>165</v>
      </c>
      <c r="B216" s="615" t="s">
        <v>1024</v>
      </c>
      <c r="C216" s="617"/>
      <c r="D216" s="467">
        <v>21586</v>
      </c>
      <c r="E216" s="617"/>
      <c r="F216" s="617"/>
      <c r="G216" s="617"/>
      <c r="H216" s="617"/>
      <c r="I216" s="617"/>
      <c r="J216" s="617"/>
      <c r="K216" s="1691">
        <f t="shared" ref="K216:K228" si="19">D216</f>
        <v>21586</v>
      </c>
      <c r="L216" s="466">
        <v>27150</v>
      </c>
    </row>
    <row r="217" spans="1:14" x14ac:dyDescent="0.2">
      <c r="A217" s="1526" t="s">
        <v>166</v>
      </c>
      <c r="B217" s="615">
        <v>1200</v>
      </c>
      <c r="C217" s="617"/>
      <c r="D217" s="466">
        <v>110356</v>
      </c>
      <c r="E217" s="617"/>
      <c r="F217" s="617"/>
      <c r="G217" s="617"/>
      <c r="H217" s="617"/>
      <c r="I217" s="617"/>
      <c r="J217" s="617"/>
      <c r="K217" s="1691">
        <f t="shared" si="19"/>
        <v>110356</v>
      </c>
      <c r="L217" s="466">
        <v>113100</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6758</v>
      </c>
      <c r="E219" s="617"/>
      <c r="F219" s="617"/>
      <c r="G219" s="617"/>
      <c r="H219" s="617"/>
      <c r="I219" s="617"/>
      <c r="J219" s="617"/>
      <c r="K219" s="1691">
        <f t="shared" si="19"/>
        <v>6758</v>
      </c>
      <c r="L219" s="466">
        <v>8500</v>
      </c>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v>4490</v>
      </c>
      <c r="E222" s="617"/>
      <c r="F222" s="617"/>
      <c r="G222" s="617"/>
      <c r="H222" s="617"/>
      <c r="I222" s="617"/>
      <c r="J222" s="617"/>
      <c r="K222" s="1691">
        <f t="shared" si="19"/>
        <v>4490</v>
      </c>
      <c r="L222" s="466">
        <v>4800</v>
      </c>
    </row>
    <row r="223" spans="1:14" x14ac:dyDescent="0.2">
      <c r="A223" s="1526" t="s">
        <v>1020</v>
      </c>
      <c r="B223" s="615">
        <v>1500</v>
      </c>
      <c r="C223" s="617"/>
      <c r="D223" s="466">
        <v>13148</v>
      </c>
      <c r="E223" s="617"/>
      <c r="F223" s="617"/>
      <c r="G223" s="617"/>
      <c r="H223" s="617"/>
      <c r="I223" s="617"/>
      <c r="J223" s="617"/>
      <c r="K223" s="1691">
        <f t="shared" si="19"/>
        <v>13148</v>
      </c>
      <c r="L223" s="466">
        <v>12850</v>
      </c>
    </row>
    <row r="224" spans="1:14" x14ac:dyDescent="0.2">
      <c r="A224" s="1526" t="s">
        <v>1021</v>
      </c>
      <c r="B224" s="615">
        <v>1600</v>
      </c>
      <c r="C224" s="617"/>
      <c r="D224" s="466">
        <v>330</v>
      </c>
      <c r="E224" s="617"/>
      <c r="F224" s="617"/>
      <c r="G224" s="617"/>
      <c r="H224" s="617"/>
      <c r="I224" s="617"/>
      <c r="J224" s="617"/>
      <c r="K224" s="1691">
        <f t="shared" si="19"/>
        <v>330</v>
      </c>
      <c r="L224" s="466"/>
    </row>
    <row r="225" spans="1:12" x14ac:dyDescent="0.2">
      <c r="A225" s="1526" t="s">
        <v>1044</v>
      </c>
      <c r="B225" s="615">
        <v>1650</v>
      </c>
      <c r="C225" s="617"/>
      <c r="D225" s="466"/>
      <c r="E225" s="617"/>
      <c r="F225" s="617"/>
      <c r="G225" s="617"/>
      <c r="H225" s="617"/>
      <c r="I225" s="617"/>
      <c r="J225" s="617"/>
      <c r="K225" s="1691">
        <f t="shared" si="19"/>
        <v>0</v>
      </c>
      <c r="L225" s="466"/>
    </row>
    <row r="226" spans="1:12" x14ac:dyDescent="0.2">
      <c r="A226" s="1526" t="s">
        <v>748</v>
      </c>
      <c r="B226" s="615" t="s">
        <v>164</v>
      </c>
      <c r="C226" s="617"/>
      <c r="D226" s="467"/>
      <c r="E226" s="617"/>
      <c r="F226" s="617"/>
      <c r="G226" s="617"/>
      <c r="H226" s="617"/>
      <c r="I226" s="617"/>
      <c r="J226" s="617"/>
      <c r="K226" s="1691">
        <f t="shared" si="19"/>
        <v>0</v>
      </c>
      <c r="L226" s="466"/>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277398</v>
      </c>
      <c r="E229" s="617"/>
      <c r="F229" s="617"/>
      <c r="G229" s="617"/>
      <c r="H229" s="617"/>
      <c r="I229" s="617"/>
      <c r="J229" s="617"/>
      <c r="K229" s="1690">
        <f>SUM(K215:K228)</f>
        <v>277398</v>
      </c>
      <c r="L229" s="1690">
        <f>SUM(L215:L228)</f>
        <v>263450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3337</v>
      </c>
      <c r="E232" s="617"/>
      <c r="F232" s="617"/>
      <c r="G232" s="617"/>
      <c r="H232" s="617"/>
      <c r="I232" s="617"/>
      <c r="J232" s="617"/>
      <c r="K232" s="1691">
        <f t="shared" ref="K232:K237" si="20">D232</f>
        <v>3337</v>
      </c>
      <c r="L232" s="466">
        <v>3500</v>
      </c>
    </row>
    <row r="233" spans="1:12" x14ac:dyDescent="0.2">
      <c r="A233" s="1526" t="s">
        <v>1151</v>
      </c>
      <c r="B233" s="615">
        <v>2120</v>
      </c>
      <c r="C233" s="617"/>
      <c r="D233" s="466">
        <v>3000</v>
      </c>
      <c r="E233" s="617"/>
      <c r="F233" s="617"/>
      <c r="G233" s="617"/>
      <c r="H233" s="617"/>
      <c r="I233" s="617"/>
      <c r="J233" s="617"/>
      <c r="K233" s="1691">
        <f t="shared" si="20"/>
        <v>3000</v>
      </c>
      <c r="L233" s="466">
        <v>3000</v>
      </c>
    </row>
    <row r="234" spans="1:12" x14ac:dyDescent="0.2">
      <c r="A234" s="1526" t="s">
        <v>207</v>
      </c>
      <c r="B234" s="615">
        <v>2130</v>
      </c>
      <c r="C234" s="617"/>
      <c r="D234" s="466">
        <v>17580</v>
      </c>
      <c r="E234" s="617"/>
      <c r="F234" s="617"/>
      <c r="G234" s="617"/>
      <c r="H234" s="617"/>
      <c r="I234" s="617"/>
      <c r="J234" s="617"/>
      <c r="K234" s="1691">
        <f t="shared" si="20"/>
        <v>17580</v>
      </c>
      <c r="L234" s="466">
        <v>19400</v>
      </c>
    </row>
    <row r="235" spans="1:12" x14ac:dyDescent="0.2">
      <c r="A235" s="1526" t="s">
        <v>208</v>
      </c>
      <c r="B235" s="615">
        <v>2140</v>
      </c>
      <c r="C235" s="617"/>
      <c r="D235" s="466">
        <v>1829</v>
      </c>
      <c r="E235" s="617"/>
      <c r="F235" s="617"/>
      <c r="G235" s="617"/>
      <c r="H235" s="617"/>
      <c r="I235" s="617"/>
      <c r="J235" s="617"/>
      <c r="K235" s="1691">
        <f t="shared" si="20"/>
        <v>1829</v>
      </c>
      <c r="L235" s="466">
        <v>1900</v>
      </c>
    </row>
    <row r="236" spans="1:12" x14ac:dyDescent="0.2">
      <c r="A236" s="1526" t="s">
        <v>209</v>
      </c>
      <c r="B236" s="615">
        <v>2150</v>
      </c>
      <c r="C236" s="617"/>
      <c r="D236" s="466">
        <v>3280</v>
      </c>
      <c r="E236" s="617"/>
      <c r="F236" s="617"/>
      <c r="G236" s="617"/>
      <c r="H236" s="617"/>
      <c r="I236" s="617"/>
      <c r="J236" s="617"/>
      <c r="K236" s="1691">
        <f t="shared" si="20"/>
        <v>3280</v>
      </c>
      <c r="L236" s="466">
        <v>2800</v>
      </c>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29026</v>
      </c>
      <c r="E238" s="617"/>
      <c r="F238" s="617"/>
      <c r="G238" s="617"/>
      <c r="H238" s="617"/>
      <c r="I238" s="617"/>
      <c r="J238" s="617"/>
      <c r="K238" s="1690">
        <f>SUM(K232:K237)</f>
        <v>29026</v>
      </c>
      <c r="L238" s="1690">
        <f>SUM(L232:L237)</f>
        <v>30600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10943</v>
      </c>
      <c r="E240" s="617"/>
      <c r="F240" s="617"/>
      <c r="G240" s="617"/>
      <c r="H240" s="617"/>
      <c r="I240" s="617"/>
      <c r="J240" s="617"/>
      <c r="K240" s="1692">
        <f>D240</f>
        <v>10943</v>
      </c>
      <c r="L240" s="481">
        <v>11000</v>
      </c>
    </row>
    <row r="241" spans="1:12" x14ac:dyDescent="0.2">
      <c r="A241" s="1526" t="s">
        <v>869</v>
      </c>
      <c r="B241" s="615">
        <v>2220</v>
      </c>
      <c r="C241" s="617"/>
      <c r="D241" s="466">
        <v>47253</v>
      </c>
      <c r="E241" s="617"/>
      <c r="F241" s="617"/>
      <c r="G241" s="617"/>
      <c r="H241" s="617"/>
      <c r="I241" s="617"/>
      <c r="J241" s="617"/>
      <c r="K241" s="1692">
        <f>D241</f>
        <v>47253</v>
      </c>
      <c r="L241" s="466">
        <v>49400</v>
      </c>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58196</v>
      </c>
      <c r="E243" s="617"/>
      <c r="F243" s="617"/>
      <c r="G243" s="617"/>
      <c r="H243" s="617"/>
      <c r="I243" s="617"/>
      <c r="J243" s="617"/>
      <c r="K243" s="1690">
        <f>SUM(K240:K242)</f>
        <v>58196</v>
      </c>
      <c r="L243" s="1690">
        <f>SUM(L240:L242)</f>
        <v>60400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row>
    <row r="246" spans="1:12" x14ac:dyDescent="0.2">
      <c r="A246" s="1526" t="s">
        <v>872</v>
      </c>
      <c r="B246" s="615">
        <v>2320</v>
      </c>
      <c r="C246" s="617"/>
      <c r="D246" s="466">
        <v>13652</v>
      </c>
      <c r="E246" s="617"/>
      <c r="F246" s="617"/>
      <c r="G246" s="617"/>
      <c r="H246" s="617"/>
      <c r="I246" s="617"/>
      <c r="J246" s="617"/>
      <c r="K246" s="1692">
        <f t="shared" ref="K246:K256" si="21">D246</f>
        <v>13652</v>
      </c>
      <c r="L246" s="466">
        <v>17200</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1906</v>
      </c>
      <c r="B249" s="684" t="s">
        <v>300</v>
      </c>
      <c r="C249" s="617"/>
      <c r="D249" s="474"/>
      <c r="E249" s="617"/>
      <c r="F249" s="617"/>
      <c r="G249" s="617"/>
      <c r="H249" s="617"/>
      <c r="I249" s="617"/>
      <c r="J249" s="617"/>
      <c r="K249" s="1692">
        <f t="shared" si="21"/>
        <v>0</v>
      </c>
      <c r="L249" s="466"/>
    </row>
    <row r="250" spans="1:12" x14ac:dyDescent="0.2">
      <c r="A250" s="1527" t="s">
        <v>1907</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13652</v>
      </c>
      <c r="E257" s="617"/>
      <c r="F257" s="617"/>
      <c r="G257" s="617"/>
      <c r="H257" s="617"/>
      <c r="I257" s="617"/>
      <c r="J257" s="617"/>
      <c r="K257" s="1690">
        <f>SUM(K245:K256)</f>
        <v>13652</v>
      </c>
      <c r="L257" s="1690">
        <f>SUM(L245:L256)</f>
        <v>17200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47049</v>
      </c>
      <c r="E259" s="617"/>
      <c r="F259" s="617"/>
      <c r="G259" s="617"/>
      <c r="H259" s="617"/>
      <c r="I259" s="617"/>
      <c r="J259" s="617"/>
      <c r="K259" s="1692">
        <f>D259</f>
        <v>47049</v>
      </c>
      <c r="L259" s="481">
        <v>51600</v>
      </c>
    </row>
    <row r="260" spans="1:14" s="598" customFormat="1" x14ac:dyDescent="0.2">
      <c r="A260" s="1544" t="s">
        <v>1905</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47049</v>
      </c>
      <c r="E261" s="617"/>
      <c r="F261" s="617"/>
      <c r="G261" s="617"/>
      <c r="H261" s="617"/>
      <c r="I261" s="617"/>
      <c r="J261" s="617"/>
      <c r="K261" s="1690">
        <f>SUM(K259:K260)</f>
        <v>47049</v>
      </c>
      <c r="L261" s="1690">
        <f>SUM(L259:L260)</f>
        <v>51600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791</v>
      </c>
      <c r="E263" s="617"/>
      <c r="F263" s="617"/>
      <c r="G263" s="617"/>
      <c r="H263" s="617"/>
      <c r="I263" s="617"/>
      <c r="J263" s="617"/>
      <c r="K263" s="1692">
        <f>D263</f>
        <v>791</v>
      </c>
      <c r="L263" s="481">
        <v>1000</v>
      </c>
    </row>
    <row r="264" spans="1:14" x14ac:dyDescent="0.2">
      <c r="A264" s="1526" t="s">
        <v>483</v>
      </c>
      <c r="B264" s="686">
        <v>2520</v>
      </c>
      <c r="C264" s="617"/>
      <c r="D264" s="466">
        <v>26484</v>
      </c>
      <c r="E264" s="617"/>
      <c r="F264" s="617"/>
      <c r="G264" s="617"/>
      <c r="H264" s="617"/>
      <c r="I264" s="617"/>
      <c r="J264" s="617"/>
      <c r="K264" s="1692">
        <f t="shared" ref="K264:K269" si="22">D264</f>
        <v>26484</v>
      </c>
      <c r="L264" s="466">
        <v>24800</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209433</v>
      </c>
      <c r="E266" s="617"/>
      <c r="F266" s="617"/>
      <c r="G266" s="617"/>
      <c r="H266" s="617"/>
      <c r="I266" s="617"/>
      <c r="J266" s="617"/>
      <c r="K266" s="1692">
        <f t="shared" si="22"/>
        <v>209433</v>
      </c>
      <c r="L266" s="466">
        <v>237100</v>
      </c>
    </row>
    <row r="267" spans="1:14" x14ac:dyDescent="0.2">
      <c r="A267" s="1526" t="s">
        <v>1010</v>
      </c>
      <c r="B267" s="615">
        <v>2550</v>
      </c>
      <c r="C267" s="617"/>
      <c r="D267" s="466"/>
      <c r="E267" s="617"/>
      <c r="F267" s="617"/>
      <c r="G267" s="617"/>
      <c r="H267" s="617"/>
      <c r="I267" s="617"/>
      <c r="J267" s="617"/>
      <c r="K267" s="1692">
        <f t="shared" si="22"/>
        <v>0</v>
      </c>
      <c r="L267" s="466"/>
    </row>
    <row r="268" spans="1:14" x14ac:dyDescent="0.2">
      <c r="A268" s="1526" t="s">
        <v>102</v>
      </c>
      <c r="B268" s="615">
        <v>2560</v>
      </c>
      <c r="C268" s="617"/>
      <c r="D268" s="466">
        <v>48124</v>
      </c>
      <c r="E268" s="617"/>
      <c r="F268" s="617"/>
      <c r="G268" s="617"/>
      <c r="H268" s="617"/>
      <c r="I268" s="617"/>
      <c r="J268" s="617"/>
      <c r="K268" s="1692">
        <f t="shared" si="22"/>
        <v>48124</v>
      </c>
      <c r="L268" s="466">
        <v>56400</v>
      </c>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284832</v>
      </c>
      <c r="E270" s="617"/>
      <c r="F270" s="617"/>
      <c r="G270" s="617"/>
      <c r="H270" s="617"/>
      <c r="I270" s="617"/>
      <c r="J270" s="617"/>
      <c r="K270" s="1690">
        <f>SUM(K263:K269)</f>
        <v>284832</v>
      </c>
      <c r="L270" s="1690">
        <f>SUM(L263:L269)</f>
        <v>319300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9250</v>
      </c>
    </row>
    <row r="279" spans="1:12" ht="12.75" customHeight="1" thickBot="1" x14ac:dyDescent="0.25">
      <c r="A279" s="1718" t="s">
        <v>865</v>
      </c>
      <c r="B279" s="1701">
        <v>2000</v>
      </c>
      <c r="C279" s="617"/>
      <c r="D279" s="1697">
        <f>SUM(D238,D243,D257,D261,D270,D277,D278)</f>
        <v>432755</v>
      </c>
      <c r="E279" s="617"/>
      <c r="F279" s="617"/>
      <c r="G279" s="617"/>
      <c r="H279" s="617"/>
      <c r="I279" s="617"/>
      <c r="J279" s="617"/>
      <c r="K279" s="1697">
        <f>SUM(K238,K243,K257,K261,K270,K277,K278)</f>
        <v>432755</v>
      </c>
      <c r="L279" s="1697">
        <f>SUM(L238,L243,L257,L261,L270,L277,L278)</f>
        <v>488350</v>
      </c>
    </row>
    <row r="280" spans="1:12" ht="15.75" customHeight="1" thickTop="1" thickBot="1" x14ac:dyDescent="0.25">
      <c r="A280" s="1646" t="s">
        <v>930</v>
      </c>
      <c r="B280" s="1635">
        <v>3000</v>
      </c>
      <c r="C280" s="617"/>
      <c r="D280" s="576">
        <v>468</v>
      </c>
      <c r="E280" s="617"/>
      <c r="F280" s="617"/>
      <c r="G280" s="617"/>
      <c r="H280" s="617"/>
      <c r="I280" s="617"/>
      <c r="J280" s="617"/>
      <c r="K280" s="1699">
        <f>D280</f>
        <v>468</v>
      </c>
      <c r="L280" s="576">
        <v>1300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1954</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0">
        <f>SUM(D229,D279,D280,D285)</f>
        <v>710621</v>
      </c>
      <c r="E295" s="617"/>
      <c r="F295" s="617"/>
      <c r="G295" s="617"/>
      <c r="H295" s="1690">
        <f>H293</f>
        <v>0</v>
      </c>
      <c r="I295" s="617"/>
      <c r="J295" s="617"/>
      <c r="K295" s="1690">
        <f>SUM(K229,K279,K280,K285,K293,K294)</f>
        <v>710621</v>
      </c>
      <c r="L295" s="1690">
        <f>SUM(L229,L279,L280,L285,L293,L294)</f>
        <v>753100</v>
      </c>
    </row>
    <row r="296" spans="1:14" ht="13.5" thickTop="1" x14ac:dyDescent="0.2">
      <c r="A296" s="2171" t="s">
        <v>1053</v>
      </c>
      <c r="B296" s="2172"/>
      <c r="C296" s="617"/>
      <c r="D296" s="619"/>
      <c r="E296" s="617"/>
      <c r="F296" s="617"/>
      <c r="G296" s="617"/>
      <c r="H296" s="688"/>
      <c r="I296" s="617"/>
      <c r="J296" s="617"/>
      <c r="K296" s="1704">
        <f>'Revenues 9-14'!G275-'Expenditures 15-22'!K295</f>
        <v>-21385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119012</v>
      </c>
      <c r="F301" s="466"/>
      <c r="G301" s="466">
        <v>2461808</v>
      </c>
      <c r="H301" s="466"/>
      <c r="I301" s="467"/>
      <c r="J301" s="467"/>
      <c r="K301" s="1691">
        <f>SUM(C301:J301)</f>
        <v>2580820</v>
      </c>
      <c r="L301" s="467">
        <v>2780000</v>
      </c>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119012</v>
      </c>
      <c r="F303" s="1697">
        <f t="shared" si="23"/>
        <v>0</v>
      </c>
      <c r="G303" s="1697">
        <f t="shared" si="23"/>
        <v>2461808</v>
      </c>
      <c r="H303" s="1697">
        <f t="shared" si="23"/>
        <v>0</v>
      </c>
      <c r="I303" s="1697">
        <f t="shared" si="23"/>
        <v>0</v>
      </c>
      <c r="J303" s="1697">
        <f t="shared" si="23"/>
        <v>0</v>
      </c>
      <c r="K303" s="1697">
        <f t="shared" si="23"/>
        <v>2580820</v>
      </c>
      <c r="L303" s="1697">
        <f t="shared" si="23"/>
        <v>2780000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0">
        <f>SUM(C303)</f>
        <v>0</v>
      </c>
      <c r="D312" s="1690">
        <f>SUM(D303)</f>
        <v>0</v>
      </c>
      <c r="E312" s="1690">
        <f>SUM(E303,E310)</f>
        <v>119012</v>
      </c>
      <c r="F312" s="1690">
        <f>SUM(F303)</f>
        <v>0</v>
      </c>
      <c r="G312" s="1690">
        <f>SUM(G303)</f>
        <v>2461808</v>
      </c>
      <c r="H312" s="1690">
        <f>SUM(H303,H310)</f>
        <v>0</v>
      </c>
      <c r="I312" s="1690">
        <f>SUM(I303)</f>
        <v>0</v>
      </c>
      <c r="J312" s="1690">
        <f>SUM(J303)</f>
        <v>0</v>
      </c>
      <c r="K312" s="1690">
        <f>SUM(K303,K310,K311)</f>
        <v>2580820</v>
      </c>
      <c r="L312" s="1690">
        <f>SUM(L303,L310,L311)</f>
        <v>2780000</v>
      </c>
      <c r="M312" s="666"/>
      <c r="N312" s="666"/>
    </row>
    <row r="313" spans="1:14" ht="13.5" thickTop="1" x14ac:dyDescent="0.2">
      <c r="A313" s="2182" t="s">
        <v>1053</v>
      </c>
      <c r="B313" s="2183"/>
      <c r="C313" s="627"/>
      <c r="D313" s="627"/>
      <c r="E313" s="627"/>
      <c r="F313" s="627"/>
      <c r="G313" s="627"/>
      <c r="H313" s="627"/>
      <c r="I313" s="627"/>
      <c r="J313" s="627"/>
      <c r="K313" s="1705">
        <f>'Revenues 9-14'!H275-'Expenditures 15-22'!K312</f>
        <v>-2537266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1906</v>
      </c>
      <c r="B320" s="699" t="s">
        <v>300</v>
      </c>
      <c r="C320" s="467"/>
      <c r="D320" s="467"/>
      <c r="E320" s="467"/>
      <c r="F320" s="467"/>
      <c r="G320" s="467"/>
      <c r="H320" s="467"/>
      <c r="I320" s="467"/>
      <c r="J320" s="467"/>
      <c r="K320" s="1691">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41" t="s">
        <v>256</v>
      </c>
      <c r="B322" s="698" t="s">
        <v>302</v>
      </c>
      <c r="C322" s="467"/>
      <c r="D322" s="467"/>
      <c r="E322" s="467">
        <v>90079</v>
      </c>
      <c r="F322" s="467"/>
      <c r="G322" s="467"/>
      <c r="H322" s="467"/>
      <c r="I322" s="467"/>
      <c r="J322" s="467"/>
      <c r="K322" s="1691">
        <f t="shared" si="24"/>
        <v>90079</v>
      </c>
      <c r="L322" s="467">
        <v>130000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v>7107</v>
      </c>
      <c r="F325" s="467"/>
      <c r="G325" s="467"/>
      <c r="H325" s="467"/>
      <c r="I325" s="467"/>
      <c r="J325" s="467"/>
      <c r="K325" s="1691">
        <f t="shared" si="24"/>
        <v>7107</v>
      </c>
      <c r="L325" s="467">
        <v>56000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97186</v>
      </c>
      <c r="F330" s="1690">
        <f t="shared" si="25"/>
        <v>0</v>
      </c>
      <c r="G330" s="1690">
        <f t="shared" si="25"/>
        <v>0</v>
      </c>
      <c r="H330" s="1690">
        <f t="shared" si="25"/>
        <v>0</v>
      </c>
      <c r="I330" s="1690">
        <f t="shared" si="25"/>
        <v>0</v>
      </c>
      <c r="J330" s="1690">
        <f t="shared" si="25"/>
        <v>0</v>
      </c>
      <c r="K330" s="1690">
        <f>SUM(K319:K329)</f>
        <v>97186</v>
      </c>
      <c r="L330" s="1690">
        <f>SUM(L319:L329)</f>
        <v>186000</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1956</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97186</v>
      </c>
      <c r="F342" s="1690">
        <f>SUM(F330)</f>
        <v>0</v>
      </c>
      <c r="G342" s="1690">
        <f>SUM(G330)</f>
        <v>0</v>
      </c>
      <c r="H342" s="1690">
        <f>SUM(H330,H334,H340)</f>
        <v>0</v>
      </c>
      <c r="I342" s="1690">
        <f>SUM(I330)</f>
        <v>0</v>
      </c>
      <c r="J342" s="1690">
        <f>SUM(J330)</f>
        <v>0</v>
      </c>
      <c r="K342" s="1690">
        <f>SUM(K330,K334,K340)</f>
        <v>97186</v>
      </c>
      <c r="L342" s="1697">
        <f>SUM(L330,L340,L341)</f>
        <v>186000</v>
      </c>
    </row>
    <row r="343" spans="1:14" ht="12.75" customHeight="1" thickTop="1" x14ac:dyDescent="0.2">
      <c r="A343" s="2184" t="s">
        <v>1053</v>
      </c>
      <c r="B343" s="2185"/>
      <c r="C343" s="617"/>
      <c r="D343" s="617"/>
      <c r="E343" s="617"/>
      <c r="F343" s="617"/>
      <c r="G343" s="617"/>
      <c r="H343" s="617"/>
      <c r="I343" s="617"/>
      <c r="J343" s="617"/>
      <c r="K343" s="1704">
        <f>'Revenues 9-14'!J275-'Expenditures 15-22'!K342</f>
        <v>131729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25000</v>
      </c>
    </row>
    <row r="349" spans="1:14" x14ac:dyDescent="0.2">
      <c r="A349" s="1526"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25000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25000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c r="I354" s="702"/>
      <c r="J354" s="617"/>
      <c r="K354" s="1719">
        <f>H354</f>
        <v>0</v>
      </c>
      <c r="L354" s="471"/>
    </row>
    <row r="355" spans="1:14" ht="12.75" customHeight="1" x14ac:dyDescent="0.2">
      <c r="A355" s="1535" t="s">
        <v>1963</v>
      </c>
      <c r="B355" s="691" t="s">
        <v>1956</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25000</v>
      </c>
    </row>
    <row r="368" spans="1:14" ht="13.5" thickTop="1" x14ac:dyDescent="0.2">
      <c r="A368" s="2171" t="s">
        <v>1053</v>
      </c>
      <c r="B368" s="2172"/>
      <c r="C368" s="655"/>
      <c r="D368" s="655"/>
      <c r="E368" s="627"/>
      <c r="F368" s="627"/>
      <c r="G368" s="627"/>
      <c r="H368" s="627"/>
      <c r="I368" s="627"/>
      <c r="J368" s="624"/>
      <c r="K368" s="1691">
        <f>'Revenues 9-14'!K275-'Expenditures 15-22'!K367</f>
        <v>76330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8" t="s">
        <v>1903</v>
      </c>
      <c r="B2" s="1550" t="s">
        <v>2033</v>
      </c>
      <c r="C2" s="715" t="s">
        <v>1908</v>
      </c>
      <c r="D2" s="715" t="s">
        <v>1909</v>
      </c>
      <c r="E2" s="715" t="s">
        <v>1910</v>
      </c>
      <c r="F2" s="715" t="s">
        <v>1911</v>
      </c>
    </row>
    <row r="3" spans="1:6" ht="12" customHeight="1" x14ac:dyDescent="0.2">
      <c r="A3" s="2199"/>
      <c r="B3" s="1547"/>
      <c r="C3" s="1548"/>
      <c r="D3" s="1549" t="s">
        <v>274</v>
      </c>
      <c r="E3" s="1548"/>
      <c r="F3" s="1549" t="s">
        <v>275</v>
      </c>
    </row>
    <row r="4" spans="1:6" ht="13.7" customHeight="1" x14ac:dyDescent="0.2">
      <c r="A4" s="716" t="s">
        <v>1217</v>
      </c>
      <c r="B4" s="1769">
        <f>'Revenues 9-14'!C5</f>
        <v>15246276</v>
      </c>
      <c r="C4" s="1546"/>
      <c r="D4" s="1772">
        <f>B4-C4</f>
        <v>15246276</v>
      </c>
      <c r="E4" s="1546">
        <v>15621919</v>
      </c>
      <c r="F4" s="1772">
        <f>E4-C4</f>
        <v>15621919</v>
      </c>
    </row>
    <row r="5" spans="1:6" ht="13.7" customHeight="1" x14ac:dyDescent="0.2">
      <c r="A5" s="716" t="s">
        <v>925</v>
      </c>
      <c r="B5" s="1770">
        <f>'Revenues 9-14'!D5</f>
        <v>3242774</v>
      </c>
      <c r="C5" s="585"/>
      <c r="D5" s="1773">
        <f t="shared" ref="D5:D18" si="0">B5-C5</f>
        <v>3242774</v>
      </c>
      <c r="E5" s="585">
        <v>3323932</v>
      </c>
      <c r="F5" s="1773">
        <f>E5-C5</f>
        <v>3323932</v>
      </c>
    </row>
    <row r="6" spans="1:6" ht="13.7" customHeight="1" x14ac:dyDescent="0.2">
      <c r="A6" s="716" t="s">
        <v>431</v>
      </c>
      <c r="B6" s="1770">
        <f>'Revenues 9-14'!E5</f>
        <v>3401035</v>
      </c>
      <c r="C6" s="585"/>
      <c r="D6" s="1773">
        <f t="shared" si="0"/>
        <v>3401035</v>
      </c>
      <c r="E6" s="585">
        <v>3538134</v>
      </c>
      <c r="F6" s="1773">
        <f t="shared" ref="F6:F18" si="1">E6-C6</f>
        <v>3538134</v>
      </c>
    </row>
    <row r="7" spans="1:6" ht="13.7" customHeight="1" x14ac:dyDescent="0.2">
      <c r="A7" s="716" t="s">
        <v>157</v>
      </c>
      <c r="B7" s="1770">
        <f>'Revenues 9-14'!F5</f>
        <v>1220824</v>
      </c>
      <c r="C7" s="585"/>
      <c r="D7" s="1773">
        <f t="shared" si="0"/>
        <v>1220824</v>
      </c>
      <c r="E7" s="585">
        <v>1414437</v>
      </c>
      <c r="F7" s="1773">
        <f t="shared" si="1"/>
        <v>1414437</v>
      </c>
    </row>
    <row r="8" spans="1:6" ht="13.7" customHeight="1" x14ac:dyDescent="0.2">
      <c r="A8" s="716" t="s">
        <v>1241</v>
      </c>
      <c r="B8" s="1770">
        <f>'Revenues 9-14'!G5</f>
        <v>297573</v>
      </c>
      <c r="C8" s="585"/>
      <c r="D8" s="1773">
        <f t="shared" si="0"/>
        <v>297573</v>
      </c>
      <c r="E8" s="585">
        <v>314346</v>
      </c>
      <c r="F8" s="1773">
        <f t="shared" si="1"/>
        <v>314346</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152661</v>
      </c>
      <c r="C10" s="585"/>
      <c r="D10" s="1773">
        <f t="shared" si="0"/>
        <v>152661</v>
      </c>
      <c r="E10" s="585">
        <v>224027</v>
      </c>
      <c r="F10" s="1773">
        <f t="shared" si="1"/>
        <v>224027</v>
      </c>
    </row>
    <row r="11" spans="1:6" x14ac:dyDescent="0.2">
      <c r="A11" s="716" t="s">
        <v>429</v>
      </c>
      <c r="B11" s="1770">
        <f>'Revenues 9-14'!J5</f>
        <v>228915</v>
      </c>
      <c r="C11" s="585"/>
      <c r="D11" s="1773">
        <f t="shared" si="0"/>
        <v>228915</v>
      </c>
      <c r="E11" s="585">
        <v>223241</v>
      </c>
      <c r="F11" s="1773">
        <f t="shared" si="1"/>
        <v>223241</v>
      </c>
    </row>
    <row r="12" spans="1:6" ht="13.7" customHeight="1" x14ac:dyDescent="0.2">
      <c r="A12" s="716" t="s">
        <v>159</v>
      </c>
      <c r="B12" s="1770">
        <f>'Revenues 9-14'!K5</f>
        <v>76330</v>
      </c>
      <c r="C12" s="585"/>
      <c r="D12" s="1773">
        <f t="shared" si="0"/>
        <v>76330</v>
      </c>
      <c r="E12" s="585">
        <v>39303</v>
      </c>
      <c r="F12" s="1773">
        <f t="shared" si="1"/>
        <v>39303</v>
      </c>
    </row>
    <row r="13" spans="1:6" ht="13.7" customHeight="1" x14ac:dyDescent="0.2">
      <c r="A13" s="716" t="s">
        <v>993</v>
      </c>
      <c r="B13" s="1770">
        <f>SUM('Revenues 9-14'!C6:D6)</f>
        <v>230674</v>
      </c>
      <c r="C13" s="585"/>
      <c r="D13" s="1773">
        <f t="shared" si="0"/>
        <v>230674</v>
      </c>
      <c r="E13" s="585">
        <v>235739</v>
      </c>
      <c r="F13" s="1773">
        <f t="shared" si="1"/>
        <v>235739</v>
      </c>
    </row>
    <row r="14" spans="1:6" ht="13.7" customHeight="1" x14ac:dyDescent="0.2">
      <c r="A14" s="716" t="s">
        <v>430</v>
      </c>
      <c r="B14" s="1770">
        <f>SUM('Revenues 9-14'!C7:D7,'Revenues 9-14'!F7:H7)</f>
        <v>305245</v>
      </c>
      <c r="C14" s="585"/>
      <c r="D14" s="1773">
        <f t="shared" si="0"/>
        <v>305245</v>
      </c>
      <c r="E14" s="585">
        <v>312695</v>
      </c>
      <c r="F14" s="1773">
        <f t="shared" si="1"/>
        <v>312695</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335778</v>
      </c>
      <c r="C16" s="585"/>
      <c r="D16" s="1773">
        <f t="shared" si="0"/>
        <v>335778</v>
      </c>
      <c r="E16" s="585">
        <v>353648</v>
      </c>
      <c r="F16" s="1773">
        <f t="shared" si="1"/>
        <v>353648</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24738085</v>
      </c>
      <c r="C19" s="1771">
        <f>SUM(C4:C18)</f>
        <v>0</v>
      </c>
      <c r="D19" s="1771">
        <f>SUM(D4:D18)</f>
        <v>24738085</v>
      </c>
      <c r="E19" s="1771">
        <f>SUM(E4:E18)</f>
        <v>25601421</v>
      </c>
      <c r="F19" s="1771">
        <f>SUM(F4:F18)</f>
        <v>25601421</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5" colorId="8" zoomScale="110" zoomScaleNormal="110" workbookViewId="0">
      <selection activeCell="G32" sqref="G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2"/>
    </row>
    <row r="2" spans="1:7" ht="33.75" x14ac:dyDescent="0.2">
      <c r="A2" s="2225" t="s">
        <v>1903</v>
      </c>
      <c r="B2" s="2226"/>
      <c r="C2" s="1905" t="s">
        <v>2034</v>
      </c>
      <c r="D2" s="724" t="s">
        <v>2041</v>
      </c>
      <c r="E2" s="724" t="s">
        <v>2042</v>
      </c>
      <c r="F2" s="1905" t="s">
        <v>2035</v>
      </c>
    </row>
    <row r="3" spans="1:7" ht="15.75" customHeight="1" x14ac:dyDescent="0.2">
      <c r="A3" s="2227" t="s">
        <v>1176</v>
      </c>
      <c r="B3" s="2228"/>
      <c r="C3" s="2221"/>
      <c r="D3" s="2222"/>
      <c r="E3" s="2222"/>
      <c r="F3" s="2223"/>
    </row>
    <row r="4" spans="1:7" ht="12.75" customHeight="1" thickBot="1" x14ac:dyDescent="0.25">
      <c r="A4" s="2215" t="s">
        <v>651</v>
      </c>
      <c r="B4" s="2216"/>
      <c r="C4" s="581"/>
      <c r="D4" s="581"/>
      <c r="E4" s="581"/>
      <c r="F4" s="1775">
        <f>SUM(C4+D4)-E4</f>
        <v>0</v>
      </c>
    </row>
    <row r="5" spans="1:7" ht="15.75" customHeight="1" thickTop="1" x14ac:dyDescent="0.2">
      <c r="A5" s="2219" t="s">
        <v>1172</v>
      </c>
      <c r="B5" s="2214"/>
      <c r="C5" s="2208"/>
      <c r="D5" s="2209"/>
      <c r="E5" s="2209"/>
      <c r="F5" s="2210"/>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1" t="s">
        <v>652</v>
      </c>
      <c r="B15" s="2212"/>
      <c r="C15" s="1775">
        <f>SUM(C6:C14)</f>
        <v>0</v>
      </c>
      <c r="D15" s="1775">
        <f>SUM(D6:D14)</f>
        <v>0</v>
      </c>
      <c r="E15" s="1775">
        <f>SUM(E6:E14)</f>
        <v>0</v>
      </c>
      <c r="F15" s="1775">
        <f>SUM(F6:F14)</f>
        <v>0</v>
      </c>
      <c r="G15" s="552"/>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7"/>
      <c r="D17" s="585"/>
      <c r="E17" s="727"/>
      <c r="F17" s="1775">
        <f>SUM(C17+D17)-E17</f>
        <v>0</v>
      </c>
    </row>
    <row r="18" spans="1:11" ht="12.75" customHeight="1" thickTop="1" thickBot="1" x14ac:dyDescent="0.25">
      <c r="A18" s="2206" t="s">
        <v>6</v>
      </c>
      <c r="B18" s="2207"/>
      <c r="C18" s="727"/>
      <c r="D18" s="585"/>
      <c r="E18" s="727"/>
      <c r="F18" s="1775">
        <f>SUM(C18+D18)-E18</f>
        <v>0</v>
      </c>
    </row>
    <row r="19" spans="1:11" ht="12.75" customHeight="1" thickTop="1" thickBot="1" x14ac:dyDescent="0.25">
      <c r="A19" s="2206" t="s">
        <v>406</v>
      </c>
      <c r="B19" s="2207"/>
      <c r="C19" s="727"/>
      <c r="D19" s="585"/>
      <c r="E19" s="727"/>
      <c r="F19" s="1775">
        <f>SUM(C19+D19)-E19</f>
        <v>0</v>
      </c>
    </row>
    <row r="20" spans="1:11" ht="12.75" customHeight="1" thickTop="1" thickBot="1" x14ac:dyDescent="0.25">
      <c r="A20" s="2206" t="s">
        <v>468</v>
      </c>
      <c r="B20" s="2207"/>
      <c r="C20" s="727"/>
      <c r="D20" s="585"/>
      <c r="E20" s="727"/>
      <c r="F20" s="1775">
        <f>SUM(C20+D20)-E20</f>
        <v>0</v>
      </c>
    </row>
    <row r="21" spans="1:11" ht="14.25" thickTop="1" thickBot="1" x14ac:dyDescent="0.25">
      <c r="A21" s="2211" t="s">
        <v>653</v>
      </c>
      <c r="B21" s="2212"/>
      <c r="C21" s="1775">
        <f>SUM(C17:C20)</f>
        <v>0</v>
      </c>
      <c r="D21" s="1775">
        <f>SUM(D17:D20)</f>
        <v>0</v>
      </c>
      <c r="E21" s="1775">
        <f>SUM(E17:E20)</f>
        <v>0</v>
      </c>
      <c r="F21" s="1775">
        <f>SUM(F17:F20)</f>
        <v>0</v>
      </c>
      <c r="G21" s="552"/>
    </row>
    <row r="22" spans="1:11" ht="15.75" customHeight="1" thickTop="1" x14ac:dyDescent="0.2">
      <c r="A22" s="2213" t="s">
        <v>1174</v>
      </c>
      <c r="B22" s="2214"/>
      <c r="C22" s="2208"/>
      <c r="D22" s="2209"/>
      <c r="E22" s="2209"/>
      <c r="F22" s="2210"/>
    </row>
    <row r="23" spans="1:11" ht="13.5" thickBot="1" x14ac:dyDescent="0.25">
      <c r="A23" s="2215" t="s">
        <v>654</v>
      </c>
      <c r="B23" s="2216"/>
      <c r="C23" s="581"/>
      <c r="D23" s="581"/>
      <c r="E23" s="581"/>
      <c r="F23" s="1775">
        <f>SUM(C23+D23)-E23</f>
        <v>0</v>
      </c>
      <c r="G23" s="552"/>
    </row>
    <row r="24" spans="1:11" ht="15.75" customHeight="1" thickTop="1" x14ac:dyDescent="0.2">
      <c r="A24" s="2213" t="s">
        <v>1175</v>
      </c>
      <c r="B24" s="2214"/>
      <c r="C24" s="2208"/>
      <c r="D24" s="2209"/>
      <c r="E24" s="2209"/>
      <c r="F24" s="2210"/>
    </row>
    <row r="25" spans="1:11" ht="13.5" thickBot="1" x14ac:dyDescent="0.25">
      <c r="A25" s="2215" t="s">
        <v>655</v>
      </c>
      <c r="B25" s="2216"/>
      <c r="C25" s="581"/>
      <c r="D25" s="581"/>
      <c r="E25" s="581"/>
      <c r="F25" s="1775">
        <f>SUM(C25+D25)-E25</f>
        <v>0</v>
      </c>
      <c r="G25" s="552"/>
    </row>
    <row r="26" spans="1:11" ht="15.75" customHeight="1" thickTop="1" x14ac:dyDescent="0.2">
      <c r="A26" s="2219" t="s">
        <v>678</v>
      </c>
      <c r="B26" s="2214"/>
      <c r="C26" s="728"/>
      <c r="D26" s="728"/>
      <c r="E26" s="728"/>
      <c r="F26" s="729"/>
    </row>
    <row r="27" spans="1:11" ht="13.5" thickBot="1" x14ac:dyDescent="0.25">
      <c r="A27" s="2211" t="s">
        <v>1130</v>
      </c>
      <c r="B27" s="2212"/>
      <c r="C27" s="585"/>
      <c r="D27" s="585"/>
      <c r="E27" s="585"/>
      <c r="F27" s="1775">
        <f>SUM(C27+D27)-E27</f>
        <v>0</v>
      </c>
      <c r="G27" s="552"/>
    </row>
    <row r="28" spans="1:11" ht="7.5" customHeight="1" thickTop="1" x14ac:dyDescent="0.2">
      <c r="A28" s="594"/>
    </row>
    <row r="29" spans="1:11" ht="23.25" customHeight="1" x14ac:dyDescent="0.2">
      <c r="A29" s="2217" t="s">
        <v>603</v>
      </c>
      <c r="B29" s="2218"/>
      <c r="C29" s="730"/>
      <c r="D29" s="730"/>
      <c r="E29" s="730"/>
      <c r="F29" s="730"/>
      <c r="G29" s="730"/>
      <c r="H29" s="730"/>
      <c r="I29" s="730"/>
      <c r="J29" s="730"/>
    </row>
    <row r="30" spans="1:11" ht="33.75" x14ac:dyDescent="0.2">
      <c r="A30" s="1551" t="s">
        <v>1131</v>
      </c>
      <c r="B30" s="731" t="s">
        <v>1186</v>
      </c>
      <c r="C30" s="1906" t="s">
        <v>604</v>
      </c>
      <c r="D30" s="1906" t="s">
        <v>1772</v>
      </c>
      <c r="E30" s="1906" t="s">
        <v>2036</v>
      </c>
      <c r="F30" s="1906" t="s">
        <v>2037</v>
      </c>
      <c r="G30" s="1906" t="s">
        <v>2040</v>
      </c>
      <c r="H30" s="1906" t="s">
        <v>2038</v>
      </c>
      <c r="I30" s="1906" t="s">
        <v>2039</v>
      </c>
      <c r="J30" s="1907" t="s">
        <v>2</v>
      </c>
      <c r="K30" s="732"/>
    </row>
    <row r="31" spans="1:11" ht="12" customHeight="1" x14ac:dyDescent="0.2">
      <c r="A31" s="733" t="s">
        <v>2107</v>
      </c>
      <c r="B31" s="734">
        <v>39753</v>
      </c>
      <c r="C31" s="735">
        <v>32880000</v>
      </c>
      <c r="D31" s="736">
        <v>6</v>
      </c>
      <c r="E31" s="735">
        <v>29530000</v>
      </c>
      <c r="F31" s="735"/>
      <c r="G31" s="735">
        <v>-29110000</v>
      </c>
      <c r="H31" s="735">
        <v>420000</v>
      </c>
      <c r="I31" s="1776">
        <f>((E31+F31)-H31)+G31</f>
        <v>0</v>
      </c>
      <c r="J31" s="735"/>
      <c r="K31" s="737"/>
    </row>
    <row r="32" spans="1:11" ht="12" customHeight="1" x14ac:dyDescent="0.2">
      <c r="A32" s="733" t="s">
        <v>2108</v>
      </c>
      <c r="B32" s="734">
        <v>40422</v>
      </c>
      <c r="C32" s="735">
        <v>3680000</v>
      </c>
      <c r="D32" s="736">
        <v>6</v>
      </c>
      <c r="E32" s="735">
        <v>345000</v>
      </c>
      <c r="F32" s="735"/>
      <c r="G32" s="735"/>
      <c r="H32" s="735"/>
      <c r="I32" s="1776">
        <f>((E32+F32)-H32)+G32</f>
        <v>345000</v>
      </c>
      <c r="J32" s="735">
        <v>345000</v>
      </c>
      <c r="K32" s="737"/>
    </row>
    <row r="33" spans="1:11" ht="12" customHeight="1" x14ac:dyDescent="0.2">
      <c r="A33" s="733" t="s">
        <v>2109</v>
      </c>
      <c r="B33" s="734">
        <v>42403</v>
      </c>
      <c r="C33" s="735">
        <v>6000000</v>
      </c>
      <c r="D33" s="736">
        <v>1</v>
      </c>
      <c r="E33" s="735">
        <v>6000000</v>
      </c>
      <c r="F33" s="735"/>
      <c r="G33" s="735"/>
      <c r="H33" s="735"/>
      <c r="I33" s="1776">
        <f t="shared" ref="I33:I48" si="1">((E33+F33)-H33)+G33</f>
        <v>6000000</v>
      </c>
      <c r="J33" s="735">
        <v>6000000</v>
      </c>
      <c r="K33" s="737"/>
    </row>
    <row r="34" spans="1:11" ht="12" customHeight="1" x14ac:dyDescent="0.2">
      <c r="A34" s="733" t="s">
        <v>2110</v>
      </c>
      <c r="B34" s="734">
        <v>42403</v>
      </c>
      <c r="C34" s="735">
        <v>1105000</v>
      </c>
      <c r="D34" s="736">
        <v>3</v>
      </c>
      <c r="E34" s="735">
        <v>1105000</v>
      </c>
      <c r="F34" s="735"/>
      <c r="G34" s="735"/>
      <c r="H34" s="735">
        <v>1005000</v>
      </c>
      <c r="I34" s="1776">
        <f t="shared" si="1"/>
        <v>100000</v>
      </c>
      <c r="J34" s="735">
        <v>100000</v>
      </c>
      <c r="K34" s="738"/>
    </row>
    <row r="35" spans="1:11" ht="12" customHeight="1" x14ac:dyDescent="0.2">
      <c r="A35" s="733" t="s">
        <v>2111</v>
      </c>
      <c r="B35" s="734">
        <v>42943</v>
      </c>
      <c r="C35" s="739">
        <v>19625000</v>
      </c>
      <c r="D35" s="736">
        <v>3</v>
      </c>
      <c r="E35" s="739"/>
      <c r="F35" s="739">
        <v>19625000</v>
      </c>
      <c r="G35" s="739"/>
      <c r="H35" s="739"/>
      <c r="I35" s="1776">
        <f t="shared" si="1"/>
        <v>19625000</v>
      </c>
      <c r="J35" s="739">
        <f>19625000-'Assets-Liab 5-6'!E13</f>
        <v>19535043</v>
      </c>
      <c r="K35" s="738"/>
    </row>
    <row r="36" spans="1:11" ht="12" customHeight="1" x14ac:dyDescent="0.2">
      <c r="A36" s="733" t="s">
        <v>2112</v>
      </c>
      <c r="B36" s="734">
        <v>43257</v>
      </c>
      <c r="C36" s="735">
        <v>8480000</v>
      </c>
      <c r="D36" s="736">
        <v>3</v>
      </c>
      <c r="E36" s="735"/>
      <c r="F36" s="735">
        <v>8480000</v>
      </c>
      <c r="G36" s="735"/>
      <c r="H36" s="735"/>
      <c r="I36" s="1776">
        <f t="shared" si="1"/>
        <v>8480000</v>
      </c>
      <c r="J36" s="735">
        <v>8480000</v>
      </c>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71770000</v>
      </c>
      <c r="D49" s="746"/>
      <c r="E49" s="1776">
        <f t="shared" ref="E49:J49" si="2">SUM(E31:E48)</f>
        <v>36980000</v>
      </c>
      <c r="F49" s="1776">
        <f t="shared" si="2"/>
        <v>28105000</v>
      </c>
      <c r="G49" s="1776">
        <f t="shared" si="2"/>
        <v>-29110000</v>
      </c>
      <c r="H49" s="1776">
        <f t="shared" si="2"/>
        <v>1425000</v>
      </c>
      <c r="I49" s="1776">
        <f t="shared" si="2"/>
        <v>34550000</v>
      </c>
      <c r="J49" s="1776">
        <f t="shared" si="2"/>
        <v>34460043</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0" t="s">
        <v>605</v>
      </c>
      <c r="C52" s="2201"/>
      <c r="D52" s="2201"/>
      <c r="E52" s="750" t="s">
        <v>900</v>
      </c>
      <c r="F52" s="2202"/>
      <c r="G52" s="2203"/>
      <c r="H52" s="737"/>
      <c r="I52" s="737"/>
      <c r="J52" s="747"/>
    </row>
    <row r="53" spans="1:11" ht="11.25" customHeight="1" x14ac:dyDescent="0.2">
      <c r="A53" s="751" t="s">
        <v>969</v>
      </c>
      <c r="B53" s="752" t="s">
        <v>1008</v>
      </c>
      <c r="C53" s="747"/>
      <c r="D53" s="738"/>
      <c r="E53" s="750" t="s">
        <v>518</v>
      </c>
      <c r="F53" s="2204"/>
      <c r="G53" s="2205"/>
      <c r="H53" s="737"/>
      <c r="I53" s="737"/>
      <c r="J53" s="747"/>
    </row>
    <row r="54" spans="1:11" ht="11.25" customHeight="1" x14ac:dyDescent="0.2">
      <c r="A54" s="753" t="s">
        <v>970</v>
      </c>
      <c r="B54" s="748" t="s">
        <v>1009</v>
      </c>
      <c r="C54" s="747"/>
      <c r="D54" s="738"/>
      <c r="E54" s="750" t="s">
        <v>519</v>
      </c>
      <c r="F54" s="2204"/>
      <c r="G54" s="220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2"/>
      <c r="I1" s="761"/>
      <c r="J1" s="433"/>
    </row>
    <row r="2" spans="1:11" ht="26.25" x14ac:dyDescent="0.2">
      <c r="A2" s="2248" t="s">
        <v>1776</v>
      </c>
      <c r="B2" s="2249"/>
      <c r="C2" s="2249"/>
      <c r="D2" s="2249"/>
      <c r="E2" s="2250"/>
      <c r="F2" s="762" t="s">
        <v>960</v>
      </c>
      <c r="G2" s="763" t="s">
        <v>1773</v>
      </c>
      <c r="H2" s="763" t="s">
        <v>430</v>
      </c>
      <c r="I2" s="763" t="s">
        <v>1220</v>
      </c>
      <c r="J2" s="763" t="s">
        <v>1917</v>
      </c>
      <c r="K2" s="763" t="s">
        <v>140</v>
      </c>
    </row>
    <row r="3" spans="1:11" x14ac:dyDescent="0.2">
      <c r="A3" s="2251" t="s">
        <v>1698</v>
      </c>
      <c r="B3" s="2252"/>
      <c r="C3" s="2252"/>
      <c r="D3" s="2252"/>
      <c r="E3" s="2253"/>
      <c r="F3" s="764"/>
      <c r="G3" s="765"/>
      <c r="H3" s="765"/>
      <c r="I3" s="765"/>
      <c r="J3" s="766"/>
      <c r="K3" s="766"/>
    </row>
    <row r="4" spans="1:11" x14ac:dyDescent="0.2">
      <c r="A4" s="2254" t="s">
        <v>387</v>
      </c>
      <c r="B4" s="2255"/>
      <c r="C4" s="2255"/>
      <c r="D4" s="2255"/>
      <c r="E4" s="2201"/>
      <c r="F4" s="767"/>
      <c r="G4" s="768"/>
      <c r="H4" s="769"/>
      <c r="I4" s="768"/>
      <c r="J4" s="770"/>
      <c r="K4" s="770"/>
    </row>
    <row r="5" spans="1:11" x14ac:dyDescent="0.2">
      <c r="A5" s="2232" t="s">
        <v>1129</v>
      </c>
      <c r="B5" s="2233"/>
      <c r="C5" s="2233"/>
      <c r="D5" s="2233"/>
      <c r="E5" s="2234"/>
      <c r="F5" s="771" t="s">
        <v>903</v>
      </c>
      <c r="G5" s="772"/>
      <c r="H5" s="765">
        <v>305245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18505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28912</v>
      </c>
    </row>
    <row r="10" spans="1:11" x14ac:dyDescent="0.2">
      <c r="A10" s="2232" t="s">
        <v>1918</v>
      </c>
      <c r="B10" s="2233"/>
      <c r="C10" s="2233"/>
      <c r="D10" s="2233"/>
      <c r="E10" s="2235"/>
      <c r="F10" s="784" t="s">
        <v>917</v>
      </c>
      <c r="G10" s="783"/>
      <c r="H10" s="785"/>
      <c r="I10" s="765"/>
      <c r="J10" s="766"/>
      <c r="K10" s="766"/>
    </row>
    <row r="11" spans="1:11" x14ac:dyDescent="0.2">
      <c r="A11" s="2232" t="s">
        <v>162</v>
      </c>
      <c r="B11" s="2233"/>
      <c r="C11" s="2233"/>
      <c r="D11" s="2233"/>
      <c r="E11" s="2234"/>
      <c r="F11" s="771" t="s">
        <v>907</v>
      </c>
      <c r="G11" s="772"/>
      <c r="H11" s="765"/>
      <c r="I11" s="765"/>
      <c r="J11" s="766"/>
      <c r="K11" s="774"/>
    </row>
    <row r="12" spans="1:11" ht="13.5" thickBot="1" x14ac:dyDescent="0.25">
      <c r="A12" s="2259" t="s">
        <v>961</v>
      </c>
      <c r="B12" s="2260"/>
      <c r="C12" s="2260"/>
      <c r="D12" s="2260"/>
      <c r="E12" s="2261"/>
      <c r="F12" s="1777"/>
      <c r="G12" s="1778">
        <f>SUM(G5:G11)</f>
        <v>0</v>
      </c>
      <c r="H12" s="1778">
        <f>SUM(H5:H11)</f>
        <v>305245</v>
      </c>
      <c r="I12" s="1778">
        <f>SUM(I5:I11)</f>
        <v>0</v>
      </c>
      <c r="J12" s="1778">
        <f>SUM(J5:J11)</f>
        <v>0</v>
      </c>
      <c r="K12" s="1778">
        <f>SUM(K5:K11)</f>
        <v>47417</v>
      </c>
    </row>
    <row r="13" spans="1:11" ht="13.5" thickTop="1" x14ac:dyDescent="0.2">
      <c r="A13" s="2256" t="s">
        <v>388</v>
      </c>
      <c r="B13" s="2257"/>
      <c r="C13" s="2257"/>
      <c r="D13" s="2257"/>
      <c r="E13" s="2258"/>
      <c r="F13" s="786"/>
      <c r="G13" s="787"/>
      <c r="H13" s="788"/>
      <c r="I13" s="789"/>
      <c r="J13" s="789"/>
      <c r="K13" s="789"/>
    </row>
    <row r="14" spans="1:11" x14ac:dyDescent="0.2">
      <c r="A14" s="2239" t="s">
        <v>476</v>
      </c>
      <c r="B14" s="2239"/>
      <c r="C14" s="2239"/>
      <c r="D14" s="2239"/>
      <c r="E14" s="2240"/>
      <c r="F14" s="790" t="s">
        <v>909</v>
      </c>
      <c r="G14" s="783"/>
      <c r="H14" s="765">
        <v>305245</v>
      </c>
      <c r="I14" s="772"/>
      <c r="J14" s="774"/>
      <c r="K14" s="766">
        <v>47417</v>
      </c>
    </row>
    <row r="15" spans="1:11" x14ac:dyDescent="0.2">
      <c r="A15" s="2233" t="s">
        <v>4</v>
      </c>
      <c r="B15" s="2233"/>
      <c r="C15" s="2233"/>
      <c r="D15" s="2233"/>
      <c r="E15" s="2234"/>
      <c r="F15" s="790" t="s">
        <v>910</v>
      </c>
      <c r="G15" s="772"/>
      <c r="H15" s="765"/>
      <c r="I15" s="765"/>
      <c r="J15" s="766"/>
      <c r="K15" s="766"/>
    </row>
    <row r="16" spans="1:11" x14ac:dyDescent="0.2">
      <c r="A16" s="2233" t="s">
        <v>316</v>
      </c>
      <c r="B16" s="2233"/>
      <c r="C16" s="2233"/>
      <c r="D16" s="2233"/>
      <c r="E16" s="2234"/>
      <c r="F16" s="790" t="s">
        <v>980</v>
      </c>
      <c r="G16" s="773"/>
      <c r="H16" s="768"/>
      <c r="I16" s="768"/>
      <c r="J16" s="770"/>
      <c r="K16" s="770"/>
    </row>
    <row r="17" spans="1:11" x14ac:dyDescent="0.2">
      <c r="A17" s="2264" t="s">
        <v>992</v>
      </c>
      <c r="B17" s="2264"/>
      <c r="C17" s="2264"/>
      <c r="D17" s="2264"/>
      <c r="E17" s="2265"/>
      <c r="F17" s="791"/>
      <c r="G17" s="792"/>
      <c r="H17" s="793"/>
      <c r="I17" s="793"/>
      <c r="J17" s="794"/>
      <c r="K17" s="795"/>
    </row>
    <row r="18" spans="1:11" x14ac:dyDescent="0.2">
      <c r="A18" s="2243" t="s">
        <v>386</v>
      </c>
      <c r="B18" s="2244"/>
      <c r="C18" s="2244"/>
      <c r="D18" s="2244"/>
      <c r="E18" s="2245"/>
      <c r="F18" s="790" t="s">
        <v>989</v>
      </c>
      <c r="G18" s="783"/>
      <c r="H18" s="783"/>
      <c r="I18" s="783"/>
      <c r="J18" s="766"/>
      <c r="K18" s="796"/>
    </row>
    <row r="19" spans="1:11" ht="21.75" customHeight="1" x14ac:dyDescent="0.2">
      <c r="A19" s="2241" t="s">
        <v>1914</v>
      </c>
      <c r="B19" s="2241"/>
      <c r="C19" s="2241"/>
      <c r="D19" s="2241"/>
      <c r="E19" s="2242"/>
      <c r="F19" s="790" t="s">
        <v>990</v>
      </c>
      <c r="G19" s="783"/>
      <c r="H19" s="783"/>
      <c r="I19" s="783"/>
      <c r="J19" s="766"/>
      <c r="K19" s="796"/>
    </row>
    <row r="20" spans="1:11" x14ac:dyDescent="0.2">
      <c r="A20" s="2243" t="s">
        <v>1919</v>
      </c>
      <c r="B20" s="2244"/>
      <c r="C20" s="2244"/>
      <c r="D20" s="2244"/>
      <c r="E20" s="2245"/>
      <c r="F20" s="790" t="s">
        <v>991</v>
      </c>
      <c r="G20" s="783"/>
      <c r="H20" s="783"/>
      <c r="I20" s="783"/>
      <c r="J20" s="766"/>
      <c r="K20" s="796"/>
    </row>
    <row r="21" spans="1:11" ht="13.5" thickBot="1" x14ac:dyDescent="0.25">
      <c r="A21" s="2262" t="s">
        <v>659</v>
      </c>
      <c r="B21" s="2262"/>
      <c r="C21" s="2262"/>
      <c r="D21" s="2262"/>
      <c r="E21" s="2262"/>
      <c r="F21" s="1779"/>
      <c r="G21" s="793"/>
      <c r="H21" s="797"/>
      <c r="I21" s="797"/>
      <c r="J21" s="1780">
        <f>SUM(J18:J20)</f>
        <v>0</v>
      </c>
      <c r="K21" s="794"/>
    </row>
    <row r="22" spans="1:11" ht="13.5" thickTop="1" x14ac:dyDescent="0.2">
      <c r="A22" s="2233" t="s">
        <v>1920</v>
      </c>
      <c r="B22" s="2233"/>
      <c r="C22" s="2233"/>
      <c r="D22" s="2233"/>
      <c r="E22" s="2234"/>
      <c r="F22" s="790" t="s">
        <v>917</v>
      </c>
      <c r="G22" s="783"/>
      <c r="H22" s="765"/>
      <c r="I22" s="765"/>
      <c r="J22" s="798"/>
      <c r="K22" s="766"/>
    </row>
    <row r="23" spans="1:11" ht="13.5" thickBot="1" x14ac:dyDescent="0.25">
      <c r="A23" s="2263" t="s">
        <v>962</v>
      </c>
      <c r="B23" s="2262"/>
      <c r="C23" s="2262"/>
      <c r="D23" s="2262"/>
      <c r="E23" s="2262"/>
      <c r="F23" s="1781"/>
      <c r="G23" s="1778">
        <f>SUM(G14:G16,G21,G22)</f>
        <v>0</v>
      </c>
      <c r="H23" s="1778">
        <f>SUM(H14:H16,H21,H22)</f>
        <v>305245</v>
      </c>
      <c r="I23" s="1778">
        <f>SUM(I14:I16,I21,I22)</f>
        <v>0</v>
      </c>
      <c r="J23" s="1778">
        <f>SUM(J14:J16,J21,J22)</f>
        <v>0</v>
      </c>
      <c r="K23" s="1778">
        <f>SUM(K14:K16,K21,K22)</f>
        <v>47417</v>
      </c>
    </row>
    <row r="24" spans="1:11" ht="14.25" thickTop="1" thickBot="1" x14ac:dyDescent="0.25">
      <c r="A24" s="2263" t="s">
        <v>2022</v>
      </c>
      <c r="B24" s="2262"/>
      <c r="C24" s="2262"/>
      <c r="D24" s="2262"/>
      <c r="E24" s="2262"/>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2032</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6"/>
      <c r="I31" s="2237"/>
      <c r="J31" s="2237"/>
      <c r="K31" s="2237"/>
    </row>
    <row r="32" spans="1:11" x14ac:dyDescent="0.2">
      <c r="A32" s="810"/>
      <c r="B32" s="237"/>
      <c r="C32" s="237"/>
      <c r="D32" s="237"/>
      <c r="E32" s="806"/>
      <c r="F32" s="812" t="s">
        <v>561</v>
      </c>
      <c r="G32" s="765"/>
      <c r="H32" s="2238"/>
      <c r="I32" s="2237"/>
      <c r="J32" s="2237"/>
      <c r="K32" s="2237"/>
    </row>
    <row r="33" spans="1:11" ht="1.5" customHeight="1" x14ac:dyDescent="0.2">
      <c r="A33" s="813" t="s">
        <v>1231</v>
      </c>
      <c r="B33" s="364"/>
      <c r="C33" s="364"/>
      <c r="D33" s="364"/>
      <c r="E33" s="364"/>
      <c r="F33" s="364"/>
      <c r="G33" s="814"/>
      <c r="H33" s="2238"/>
      <c r="I33" s="2237"/>
      <c r="J33" s="2237"/>
      <c r="K33" s="2237"/>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46"/>
      <c r="C41" s="2246"/>
      <c r="D41" s="2246"/>
      <c r="E41" s="2246"/>
      <c r="F41" s="224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2031</v>
      </c>
      <c r="B1" s="2269"/>
      <c r="C1" s="2270"/>
      <c r="D1" s="827"/>
      <c r="E1" s="828"/>
      <c r="F1" s="828"/>
      <c r="G1" s="829"/>
      <c r="H1" s="830"/>
      <c r="I1" s="831"/>
      <c r="J1" s="2266"/>
      <c r="K1" s="2267"/>
      <c r="L1" s="2267"/>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6186420</v>
      </c>
      <c r="D5" s="842"/>
      <c r="E5" s="842"/>
      <c r="F5" s="1780">
        <f>(C5+D5)-E5</f>
        <v>6186420</v>
      </c>
      <c r="G5" s="838"/>
      <c r="H5" s="843"/>
      <c r="I5" s="843"/>
      <c r="J5" s="843"/>
      <c r="K5" s="794"/>
      <c r="L5" s="1789">
        <f>F5-K5</f>
        <v>6186420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76332655</v>
      </c>
      <c r="D8" s="845">
        <v>3757485</v>
      </c>
      <c r="E8" s="845"/>
      <c r="F8" s="1780">
        <f>(C8+D8)-E8</f>
        <v>80090140</v>
      </c>
      <c r="G8" s="844">
        <v>50</v>
      </c>
      <c r="H8" s="766">
        <v>24626260</v>
      </c>
      <c r="I8" s="766">
        <v>2075097</v>
      </c>
      <c r="J8" s="766"/>
      <c r="K8" s="1789">
        <f>(H8+I8)-J8</f>
        <v>26701357</v>
      </c>
      <c r="L8" s="1789">
        <f>F8-K8</f>
        <v>53388783</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5863196</v>
      </c>
      <c r="D10" s="847"/>
      <c r="E10" s="847"/>
      <c r="F10" s="1784">
        <f>(C10+D10)-E10</f>
        <v>5863196</v>
      </c>
      <c r="G10" s="844">
        <v>20</v>
      </c>
      <c r="H10" s="848">
        <v>4070079</v>
      </c>
      <c r="I10" s="848">
        <v>267106</v>
      </c>
      <c r="J10" s="848"/>
      <c r="K10" s="1789">
        <f>(H10+I10)-J10</f>
        <v>4337185</v>
      </c>
      <c r="L10" s="1789">
        <f>F10-K10</f>
        <v>1526011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3721514</v>
      </c>
      <c r="D12" s="845">
        <v>211524</v>
      </c>
      <c r="E12" s="845">
        <v>12537</v>
      </c>
      <c r="F12" s="1780">
        <f>(C12+D12)-E12</f>
        <v>3920501</v>
      </c>
      <c r="G12" s="844">
        <v>10</v>
      </c>
      <c r="H12" s="766">
        <v>3211938</v>
      </c>
      <c r="I12" s="766">
        <v>162151</v>
      </c>
      <c r="J12" s="766">
        <v>12537</v>
      </c>
      <c r="K12" s="1789">
        <f>(H12+I12)-J12</f>
        <v>3361552</v>
      </c>
      <c r="L12" s="1789">
        <f>F12-K12</f>
        <v>558949</v>
      </c>
    </row>
    <row r="13" spans="1:14" ht="14.25" thickTop="1" thickBot="1" x14ac:dyDescent="0.25">
      <c r="A13" s="849" t="s">
        <v>1184</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v>1518469</v>
      </c>
      <c r="D15" s="845"/>
      <c r="E15" s="845">
        <v>1518469</v>
      </c>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93622254</v>
      </c>
      <c r="D16" s="1780">
        <f>SUM(D3,D5:D6,D8:D10,D12:D15)</f>
        <v>3969009</v>
      </c>
      <c r="E16" s="1780">
        <f>SUM(E3,E5:E6,E8:E10,E12:E15)</f>
        <v>1531006</v>
      </c>
      <c r="F16" s="1780">
        <f>SUM(F3,F5:F6,F8:F10,F12:F15)</f>
        <v>96060257</v>
      </c>
      <c r="G16" s="844"/>
      <c r="H16" s="1780">
        <f>SUM(H3,H6,H8:H10,H12:H14,)</f>
        <v>31908277</v>
      </c>
      <c r="I16" s="1780">
        <f>SUM(I3,I6,I8:I10,I12:I14,)</f>
        <v>2504354</v>
      </c>
      <c r="J16" s="1780">
        <f>SUM(J3,J6,J8:J10,J12:J14,)</f>
        <v>12537</v>
      </c>
      <c r="K16" s="1780">
        <f>(H16+I16)-J16</f>
        <v>34400094</v>
      </c>
      <c r="L16" s="1780">
        <f>F16-K16</f>
        <v>61660163</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2504354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4" t="s">
        <v>1699</v>
      </c>
      <c r="B1" s="2275"/>
      <c r="C1" s="2275"/>
      <c r="D1" s="2275"/>
      <c r="E1" s="2275"/>
      <c r="F1" s="2276"/>
      <c r="G1" s="856"/>
    </row>
    <row r="2" spans="1:7" ht="15" customHeight="1" thickBot="1" x14ac:dyDescent="0.25">
      <c r="A2" s="2277" t="s">
        <v>498</v>
      </c>
      <c r="B2" s="2278"/>
      <c r="C2" s="2278"/>
      <c r="D2" s="2278"/>
      <c r="E2" s="2278"/>
      <c r="F2" s="227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21437122</v>
      </c>
      <c r="G8" s="866"/>
    </row>
    <row r="9" spans="1:7" x14ac:dyDescent="0.2">
      <c r="A9" s="870" t="s">
        <v>480</v>
      </c>
      <c r="B9" s="871" t="s">
        <v>1986</v>
      </c>
      <c r="C9" s="872"/>
      <c r="D9" s="870" t="s">
        <v>522</v>
      </c>
      <c r="E9" s="869"/>
      <c r="F9" s="1931">
        <f>'Expenditures 15-22'!K151</f>
        <v>3172208</v>
      </c>
      <c r="G9" s="873"/>
    </row>
    <row r="10" spans="1:7" x14ac:dyDescent="0.2">
      <c r="A10" s="870" t="s">
        <v>520</v>
      </c>
      <c r="B10" s="871" t="s">
        <v>1987</v>
      </c>
      <c r="C10" s="872"/>
      <c r="D10" s="870" t="s">
        <v>522</v>
      </c>
      <c r="E10" s="869"/>
      <c r="F10" s="1931">
        <f>'Expenditures 15-22'!K174</f>
        <v>3110511</v>
      </c>
      <c r="G10" s="873"/>
    </row>
    <row r="11" spans="1:7" x14ac:dyDescent="0.2">
      <c r="A11" s="870" t="s">
        <v>481</v>
      </c>
      <c r="B11" s="871" t="s">
        <v>1988</v>
      </c>
      <c r="C11" s="872"/>
      <c r="D11" s="870" t="s">
        <v>522</v>
      </c>
      <c r="E11" s="869"/>
      <c r="F11" s="1931">
        <f>'Expenditures 15-22'!K210</f>
        <v>2036499</v>
      </c>
      <c r="G11" s="873"/>
    </row>
    <row r="12" spans="1:7" x14ac:dyDescent="0.2">
      <c r="A12" s="870" t="s">
        <v>482</v>
      </c>
      <c r="B12" s="871" t="s">
        <v>1989</v>
      </c>
      <c r="C12" s="872"/>
      <c r="D12" s="870" t="s">
        <v>522</v>
      </c>
      <c r="E12" s="869"/>
      <c r="F12" s="1931">
        <f>'Expenditures 15-22'!K295</f>
        <v>710621</v>
      </c>
      <c r="G12" s="873"/>
    </row>
    <row r="13" spans="1:7" x14ac:dyDescent="0.2">
      <c r="A13" s="870" t="s">
        <v>108</v>
      </c>
      <c r="B13" s="871" t="s">
        <v>1990</v>
      </c>
      <c r="C13" s="872"/>
      <c r="D13" s="870" t="s">
        <v>522</v>
      </c>
      <c r="E13" s="869"/>
      <c r="F13" s="1931">
        <f>'Expenditures 15-22'!K342</f>
        <v>97186</v>
      </c>
      <c r="G13" s="874"/>
    </row>
    <row r="14" spans="1:7" ht="12" customHeight="1" thickBot="1" x14ac:dyDescent="0.25">
      <c r="A14" s="1790"/>
      <c r="B14" s="1791"/>
      <c r="C14" s="1792"/>
      <c r="D14" s="1793" t="s">
        <v>522</v>
      </c>
      <c r="E14" s="1794" t="s">
        <v>1015</v>
      </c>
      <c r="F14" s="1795">
        <f>SUM(F8:F13)</f>
        <v>30564147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5744</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431693</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34704</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6162</v>
      </c>
      <c r="G52" s="866"/>
    </row>
    <row r="53" spans="1:7" x14ac:dyDescent="0.2">
      <c r="A53" s="870" t="s">
        <v>479</v>
      </c>
      <c r="B53" s="870" t="s">
        <v>1551</v>
      </c>
      <c r="C53" s="890">
        <f>'Expenditures 15-22'!B102</f>
        <v>4000</v>
      </c>
      <c r="D53" s="889" t="str">
        <f>'Expenditures 15-22'!A102</f>
        <v>Total Payments to Other Govt Units</v>
      </c>
      <c r="E53" s="869"/>
      <c r="F53" s="1935">
        <f>'Expenditures 15-22'!K102</f>
        <v>707785</v>
      </c>
      <c r="G53" s="866"/>
    </row>
    <row r="54" spans="1:7" x14ac:dyDescent="0.2">
      <c r="A54" s="870" t="s">
        <v>479</v>
      </c>
      <c r="B54" s="870" t="s">
        <v>1552</v>
      </c>
      <c r="C54" s="890" t="s">
        <v>1039</v>
      </c>
      <c r="D54" s="886" t="s">
        <v>1157</v>
      </c>
      <c r="E54" s="869"/>
      <c r="F54" s="1935">
        <f>'Expenditures 15-22'!G114</f>
        <v>443723</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5">
        <f>'Expenditures 15-22'!K139</f>
        <v>222486</v>
      </c>
      <c r="G57" s="866"/>
    </row>
    <row r="58" spans="1:7" x14ac:dyDescent="0.2">
      <c r="A58" s="870" t="s">
        <v>480</v>
      </c>
      <c r="B58" s="870" t="s">
        <v>1992</v>
      </c>
      <c r="C58" s="887" t="s">
        <v>1039</v>
      </c>
      <c r="D58" s="886" t="s">
        <v>1157</v>
      </c>
      <c r="E58" s="869"/>
      <c r="F58" s="1937">
        <f>'Expenditures 15-22'!G151</f>
        <v>197044</v>
      </c>
      <c r="G58" s="866"/>
    </row>
    <row r="59" spans="1:7" x14ac:dyDescent="0.2">
      <c r="A59" s="894" t="s">
        <v>480</v>
      </c>
      <c r="B59" s="857" t="s">
        <v>1993</v>
      </c>
      <c r="C59" s="895" t="s">
        <v>1039</v>
      </c>
      <c r="D59" s="857" t="s">
        <v>309</v>
      </c>
      <c r="F59" s="1938">
        <f>'Expenditures 15-22'!I151</f>
        <v>0</v>
      </c>
      <c r="G59" s="866"/>
    </row>
    <row r="60" spans="1:7" x14ac:dyDescent="0.2">
      <c r="A60" s="894" t="s">
        <v>520</v>
      </c>
      <c r="B60" s="857" t="s">
        <v>1994</v>
      </c>
      <c r="C60" s="895">
        <v>4000</v>
      </c>
      <c r="D60" s="857" t="s">
        <v>330</v>
      </c>
      <c r="F60" s="1936">
        <f>'Expenditures 15-22'!K160</f>
        <v>0</v>
      </c>
      <c r="G60" s="866"/>
    </row>
    <row r="61" spans="1:7" x14ac:dyDescent="0.2">
      <c r="A61" s="896" t="s">
        <v>520</v>
      </c>
      <c r="B61" s="896" t="s">
        <v>1995</v>
      </c>
      <c r="C61" s="897" t="str">
        <f>'Expenditures 15-22'!B170</f>
        <v>5300</v>
      </c>
      <c r="D61" s="898" t="s">
        <v>329</v>
      </c>
      <c r="E61" s="880"/>
      <c r="F61" s="1935">
        <f>'Expenditures 15-22'!K170</f>
        <v>1425000</v>
      </c>
      <c r="G61" s="866"/>
    </row>
    <row r="62" spans="1:7" x14ac:dyDescent="0.2">
      <c r="A62" s="870" t="s">
        <v>481</v>
      </c>
      <c r="B62" s="870" t="s">
        <v>1996</v>
      </c>
      <c r="C62" s="887">
        <f>'Expenditures 15-22'!B185</f>
        <v>3000</v>
      </c>
      <c r="D62" s="877" t="s">
        <v>469</v>
      </c>
      <c r="E62" s="869"/>
      <c r="F62" s="1935">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1998</v>
      </c>
      <c r="C64" s="897" t="str">
        <f>'Expenditures 15-22'!B206</f>
        <v>5300</v>
      </c>
      <c r="D64" s="893" t="s">
        <v>329</v>
      </c>
      <c r="E64" s="869"/>
      <c r="F64" s="1935">
        <f>'Expenditures 15-22'!K206</f>
        <v>0</v>
      </c>
      <c r="G64" s="866"/>
    </row>
    <row r="65" spans="1:8" x14ac:dyDescent="0.2">
      <c r="A65" s="870" t="s">
        <v>481</v>
      </c>
      <c r="B65" s="870" t="s">
        <v>1999</v>
      </c>
      <c r="C65" s="887" t="s">
        <v>1039</v>
      </c>
      <c r="D65" s="886" t="s">
        <v>1157</v>
      </c>
      <c r="E65" s="869"/>
      <c r="F65" s="1935">
        <f>'Expenditures 15-22'!G210</f>
        <v>0</v>
      </c>
      <c r="G65" s="866"/>
    </row>
    <row r="66" spans="1:8" x14ac:dyDescent="0.2">
      <c r="A66" s="870" t="s">
        <v>481</v>
      </c>
      <c r="B66" s="870" t="s">
        <v>2000</v>
      </c>
      <c r="C66" s="887" t="s">
        <v>1039</v>
      </c>
      <c r="D66" s="886" t="s">
        <v>309</v>
      </c>
      <c r="E66" s="869"/>
      <c r="F66" s="1935">
        <f>'Expenditures 15-22'!I210</f>
        <v>0</v>
      </c>
      <c r="G66" s="866"/>
    </row>
    <row r="67" spans="1:8" x14ac:dyDescent="0.2">
      <c r="A67" s="870" t="s">
        <v>482</v>
      </c>
      <c r="B67" s="870" t="s">
        <v>2001</v>
      </c>
      <c r="C67" s="887" t="str">
        <f>'Expenditures 15-22'!B216</f>
        <v>1125</v>
      </c>
      <c r="D67" s="893" t="str">
        <f>'Expenditures 15-22'!A216</f>
        <v>Pre-K Programs</v>
      </c>
      <c r="E67" s="869"/>
      <c r="F67" s="1935">
        <f>'Expenditures 15-22'!K216</f>
        <v>21586</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2003</v>
      </c>
      <c r="C70" s="887">
        <f>'Expenditures 15-22'!B221</f>
        <v>1300</v>
      </c>
      <c r="D70" s="888" t="str">
        <f>'Expenditures 15-22'!A221</f>
        <v>Adult/Continuing Education Programs</v>
      </c>
      <c r="E70" s="869"/>
      <c r="F70" s="1935">
        <f>'Expenditures 15-22'!K221</f>
        <v>0</v>
      </c>
      <c r="G70" s="866"/>
    </row>
    <row r="71" spans="1:8" x14ac:dyDescent="0.2">
      <c r="A71" s="870" t="s">
        <v>482</v>
      </c>
      <c r="B71" s="870" t="s">
        <v>2004</v>
      </c>
      <c r="C71" s="887">
        <f>'Expenditures 15-22'!B224</f>
        <v>1600</v>
      </c>
      <c r="D71" s="888" t="str">
        <f>'Expenditures 15-22'!A224</f>
        <v>Summer School Programs</v>
      </c>
      <c r="E71" s="869"/>
      <c r="F71" s="1935">
        <f>'Expenditures 15-22'!K224</f>
        <v>330</v>
      </c>
      <c r="G71" s="866"/>
    </row>
    <row r="72" spans="1:8" x14ac:dyDescent="0.2">
      <c r="A72" s="870" t="s">
        <v>482</v>
      </c>
      <c r="B72" s="870" t="s">
        <v>2005</v>
      </c>
      <c r="C72" s="887">
        <f>'Expenditures 15-22'!B280</f>
        <v>3000</v>
      </c>
      <c r="D72" s="877" t="s">
        <v>469</v>
      </c>
      <c r="E72" s="869"/>
      <c r="F72" s="1935">
        <f>'Expenditures 15-22'!K280</f>
        <v>468</v>
      </c>
      <c r="G72" s="866"/>
    </row>
    <row r="73" spans="1:8" x14ac:dyDescent="0.2">
      <c r="A73" s="870" t="s">
        <v>482</v>
      </c>
      <c r="B73" s="870" t="s">
        <v>2006</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2007</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3496725</v>
      </c>
      <c r="G76" s="866"/>
    </row>
    <row r="77" spans="1:8" s="894" customFormat="1" ht="12" customHeight="1" thickTop="1" thickBot="1" x14ac:dyDescent="0.25">
      <c r="A77" s="1799"/>
      <c r="B77" s="1796"/>
      <c r="C77" s="1792"/>
      <c r="D77" s="1797" t="s">
        <v>2009</v>
      </c>
      <c r="E77" s="1794"/>
      <c r="F77" s="1800">
        <f>(F14-F76)</f>
        <v>27067422</v>
      </c>
      <c r="G77" s="870"/>
    </row>
    <row r="78" spans="1:8" s="894" customFormat="1" ht="12" customHeight="1" thickTop="1" x14ac:dyDescent="0.2">
      <c r="A78" s="1801"/>
      <c r="B78" s="1796"/>
      <c r="C78" s="1792"/>
      <c r="D78" s="1797" t="s">
        <v>2055</v>
      </c>
      <c r="E78" s="1794"/>
      <c r="F78" s="899">
        <v>2023.73</v>
      </c>
      <c r="G78" s="900"/>
      <c r="H78" s="870"/>
    </row>
    <row r="79" spans="1:8" s="894" customFormat="1" ht="12" customHeight="1" thickBot="1" x14ac:dyDescent="0.25">
      <c r="A79" s="1802"/>
      <c r="B79" s="1796"/>
      <c r="C79" s="1792"/>
      <c r="D79" s="1797" t="s">
        <v>2010</v>
      </c>
      <c r="E79" s="1794" t="s">
        <v>1015</v>
      </c>
      <c r="F79" s="1803">
        <f>IF(F78&gt;0,F77/F78," Complete Line 78")</f>
        <v>13375.016430057369</v>
      </c>
      <c r="G79" s="870"/>
    </row>
    <row r="80" spans="1:8" s="894" customFormat="1" ht="8.25" customHeight="1" thickTop="1" x14ac:dyDescent="0.2">
      <c r="A80" s="901"/>
      <c r="B80" s="870"/>
      <c r="C80" s="872"/>
      <c r="D80" s="902"/>
      <c r="E80" s="869"/>
      <c r="F80" s="903"/>
      <c r="G80" s="870"/>
    </row>
    <row r="81" spans="1:7" s="894" customFormat="1" ht="12" thickBot="1" x14ac:dyDescent="0.25">
      <c r="A81" s="2271" t="s">
        <v>1167</v>
      </c>
      <c r="B81" s="2272"/>
      <c r="C81" s="2272"/>
      <c r="D81" s="2272"/>
      <c r="E81" s="2272"/>
      <c r="F81" s="227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522566</v>
      </c>
      <c r="G94" s="913"/>
    </row>
    <row r="95" spans="1:7" x14ac:dyDescent="0.2">
      <c r="A95" s="909" t="s">
        <v>142</v>
      </c>
      <c r="B95" s="909" t="s">
        <v>177</v>
      </c>
      <c r="C95" s="911">
        <v>1700</v>
      </c>
      <c r="D95" s="919" t="str">
        <f>'Revenues 9-14'!A82</f>
        <v>Total District/School Activity Income</v>
      </c>
      <c r="E95" s="907"/>
      <c r="F95" s="1809">
        <f>SUM('Revenues 9-14'!C82,'Revenues 9-14'!D82)</f>
        <v>88019</v>
      </c>
      <c r="G95" s="913"/>
    </row>
    <row r="96" spans="1:7" x14ac:dyDescent="0.2">
      <c r="A96" s="909" t="s">
        <v>479</v>
      </c>
      <c r="B96" s="909" t="s">
        <v>178</v>
      </c>
      <c r="C96" s="911">
        <f>'Revenues 9-14'!B84</f>
        <v>1811</v>
      </c>
      <c r="D96" s="912" t="str">
        <f>'Revenues 9-14'!A84</f>
        <v>Rentals - Regular Textbooks</v>
      </c>
      <c r="E96" s="907"/>
      <c r="F96" s="1809">
        <f>'Revenues 9-14'!C84</f>
        <v>79138</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23081</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412550</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3816</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28912</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921461</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7474</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299812</v>
      </c>
      <c r="G129" s="931"/>
    </row>
    <row r="130" spans="1:7" x14ac:dyDescent="0.2">
      <c r="A130" s="928" t="s">
        <v>689</v>
      </c>
      <c r="B130" s="928" t="s">
        <v>804</v>
      </c>
      <c r="C130" s="933">
        <v>4300</v>
      </c>
      <c r="D130" s="934" t="str">
        <f>'Revenues 9-14'!A211</f>
        <v>Total Title I</v>
      </c>
      <c r="E130" s="907"/>
      <c r="F130" s="1809">
        <f>SUM('Revenues 9-14'!C211,'Revenues 9-14'!D211,'Revenues 9-14'!F211,'Revenues 9-14'!G211)</f>
        <v>262567</v>
      </c>
      <c r="G130" s="931"/>
    </row>
    <row r="131" spans="1:7" x14ac:dyDescent="0.2">
      <c r="A131" s="928" t="s">
        <v>689</v>
      </c>
      <c r="B131" s="928" t="s">
        <v>805</v>
      </c>
      <c r="C131" s="933">
        <v>4400</v>
      </c>
      <c r="D131" s="934" t="str">
        <f>'Revenues 9-14'!A216</f>
        <v>Total Title IV</v>
      </c>
      <c r="E131" s="907"/>
      <c r="F131" s="1809">
        <f>SUM('Revenues 9-14'!C216,'Revenues 9-14'!D216,'Revenues 9-14'!F216,'Revenues 9-14'!G216)</f>
        <v>4762</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194318</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308</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35287</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63222</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2054</v>
      </c>
      <c r="C175" s="1942">
        <v>3100</v>
      </c>
      <c r="D175" s="1943" t="s">
        <v>2057</v>
      </c>
      <c r="E175" s="907"/>
      <c r="F175" s="1927"/>
      <c r="G175" s="928"/>
    </row>
    <row r="176" spans="1:7" x14ac:dyDescent="0.2">
      <c r="A176" s="1940" t="s">
        <v>685</v>
      </c>
      <c r="B176" s="1941" t="s">
        <v>2054</v>
      </c>
      <c r="C176" s="1942">
        <v>3300</v>
      </c>
      <c r="D176" s="1943" t="s">
        <v>2058</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2947293</v>
      </c>
    </row>
    <row r="179" spans="1:7" ht="12" customHeight="1" x14ac:dyDescent="0.2">
      <c r="A179" s="1790"/>
      <c r="B179" s="1804"/>
      <c r="C179" s="1805"/>
      <c r="D179" s="1806" t="s">
        <v>2012</v>
      </c>
      <c r="E179" s="1807"/>
      <c r="F179" s="1809">
        <f>'PCTC-OEPP 27-28'!F77-F178</f>
        <v>24120129</v>
      </c>
    </row>
    <row r="180" spans="1:7" ht="12" customHeight="1" x14ac:dyDescent="0.2">
      <c r="A180" s="1790"/>
      <c r="B180" s="1804"/>
      <c r="C180" s="1805"/>
      <c r="D180" s="1806" t="s">
        <v>1922</v>
      </c>
      <c r="E180" s="1807"/>
      <c r="F180" s="1809">
        <f>'Cap Outlay Deprec 26'!I18</f>
        <v>2504354</v>
      </c>
    </row>
    <row r="181" spans="1:7" ht="12" customHeight="1" x14ac:dyDescent="0.2">
      <c r="A181" s="1790"/>
      <c r="B181" s="1804"/>
      <c r="C181" s="1805"/>
      <c r="D181" s="1806" t="s">
        <v>2013</v>
      </c>
      <c r="E181" s="1807"/>
      <c r="F181" s="1809">
        <f>F179+F180</f>
        <v>26624483</v>
      </c>
    </row>
    <row r="182" spans="1:7" ht="12" customHeight="1" x14ac:dyDescent="0.2">
      <c r="A182" s="1790"/>
      <c r="B182" s="1810"/>
      <c r="C182" s="1805"/>
      <c r="D182" s="1806" t="str">
        <f>D78</f>
        <v>9 Month ADA from District Average Daily Attendance/Prior General State Aid Inquiry 2017-2018</v>
      </c>
      <c r="E182" s="1807"/>
      <c r="F182" s="1811">
        <f>'PCTC-OEPP 27-28'!F78</f>
        <v>2023.73</v>
      </c>
      <c r="G182" s="931"/>
    </row>
    <row r="183" spans="1:7" ht="12" customHeight="1" thickBot="1" x14ac:dyDescent="0.25">
      <c r="A183" s="1790"/>
      <c r="B183" s="1810"/>
      <c r="C183" s="1805"/>
      <c r="D183" s="1806" t="s">
        <v>2014</v>
      </c>
      <c r="E183" s="1807" t="s">
        <v>1626</v>
      </c>
      <c r="F183" s="1812">
        <f>F181/F182</f>
        <v>13156.143853181995</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4" customFormat="1" ht="12.2" customHeight="1" x14ac:dyDescent="0.2">
      <c r="A186" s="1944" t="s">
        <v>2061</v>
      </c>
      <c r="B186" s="1945"/>
      <c r="C186" s="1946"/>
      <c r="D186" s="1945"/>
      <c r="E186" s="1946"/>
      <c r="F186" s="1945"/>
      <c r="G186" s="1945"/>
    </row>
    <row r="187" spans="1:7" s="1944" customFormat="1" ht="12.2" customHeight="1" x14ac:dyDescent="0.2">
      <c r="A187" s="1947" t="s">
        <v>2062</v>
      </c>
      <c r="C187" s="1946"/>
      <c r="D187" s="1945"/>
      <c r="E187" s="1946"/>
      <c r="F187" s="1945"/>
      <c r="G187" s="1945"/>
    </row>
    <row r="188" spans="1:7" ht="12" customHeight="1" x14ac:dyDescent="0.2">
      <c r="C188" s="950"/>
      <c r="D188" s="931"/>
      <c r="E188" s="950"/>
      <c r="F188" s="931"/>
      <c r="G188" s="931"/>
    </row>
    <row r="189" spans="1:7" x14ac:dyDescent="0.2">
      <c r="A189" s="1948" t="s">
        <v>2060</v>
      </c>
      <c r="B189" s="1949"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56" activePane="bottomLeft" state="frozen"/>
      <selection pane="bottomLeft" activeCell="B57" sqref="B5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1938</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5" t="s">
        <v>1923</v>
      </c>
      <c r="B4" s="2286"/>
      <c r="C4" s="2286"/>
      <c r="D4" s="2286"/>
      <c r="E4" s="2286"/>
      <c r="F4" s="2286"/>
      <c r="G4" s="2287"/>
    </row>
    <row r="5" spans="1:7" x14ac:dyDescent="0.25">
      <c r="A5" s="2288"/>
      <c r="B5" s="2289"/>
      <c r="C5" s="2289"/>
      <c r="D5" s="2289"/>
      <c r="E5" s="2289"/>
      <c r="F5" s="2289"/>
      <c r="G5" s="2290"/>
    </row>
    <row r="6" spans="1:7" ht="18.75" x14ac:dyDescent="0.25">
      <c r="A6" s="1556" t="s">
        <v>1924</v>
      </c>
      <c r="B6" s="1557"/>
      <c r="C6" s="1557"/>
      <c r="D6" s="1557"/>
      <c r="E6" s="1557"/>
      <c r="F6" s="1557"/>
      <c r="G6" s="1558"/>
    </row>
    <row r="7" spans="1:7" ht="30.75" customHeight="1" x14ac:dyDescent="0.25">
      <c r="A7" s="2291" t="s">
        <v>2071</v>
      </c>
      <c r="B7" s="2292"/>
      <c r="C7" s="2292"/>
      <c r="D7" s="2292"/>
      <c r="E7" s="2292"/>
      <c r="F7" s="2292"/>
      <c r="G7" s="2293"/>
    </row>
    <row r="8" spans="1:7" ht="15.75" customHeight="1" x14ac:dyDescent="0.25">
      <c r="A8" s="2294" t="s">
        <v>2020</v>
      </c>
      <c r="B8" s="2295"/>
      <c r="C8" s="2295"/>
      <c r="D8" s="2295"/>
      <c r="E8" s="2295"/>
      <c r="F8" s="2295"/>
      <c r="G8" s="2296"/>
    </row>
    <row r="9" spans="1:7" ht="35.25" customHeight="1" x14ac:dyDescent="0.25">
      <c r="A9" s="2291" t="s">
        <v>2074</v>
      </c>
      <c r="B9" s="2292"/>
      <c r="C9" s="2292"/>
      <c r="D9" s="2292"/>
      <c r="E9" s="2292"/>
      <c r="F9" s="2292"/>
      <c r="G9" s="2293"/>
    </row>
    <row r="10" spans="1:7" ht="15" customHeight="1" x14ac:dyDescent="0.25">
      <c r="A10" s="1559" t="s">
        <v>1925</v>
      </c>
      <c r="B10" s="1560"/>
      <c r="C10" s="1560"/>
      <c r="D10" s="1560"/>
      <c r="E10" s="1560"/>
      <c r="F10" s="1560"/>
      <c r="G10" s="1561"/>
    </row>
    <row r="11" spans="1:7" ht="17.25" customHeight="1" x14ac:dyDescent="0.25">
      <c r="A11" s="2291" t="s">
        <v>2073</v>
      </c>
      <c r="B11" s="2292"/>
      <c r="C11" s="2292"/>
      <c r="D11" s="2292"/>
      <c r="E11" s="2292"/>
      <c r="F11" s="2292"/>
      <c r="G11" s="2293"/>
    </row>
    <row r="12" spans="1:7" ht="15" customHeight="1" x14ac:dyDescent="0.25">
      <c r="A12" s="1559" t="s">
        <v>1930</v>
      </c>
      <c r="B12" s="1560"/>
      <c r="C12" s="1560"/>
      <c r="D12" s="1560"/>
      <c r="E12" s="1560"/>
      <c r="F12" s="1560"/>
      <c r="G12" s="1561"/>
    </row>
    <row r="13" spans="1:7" ht="32.25" customHeight="1" x14ac:dyDescent="0.25">
      <c r="A13" s="2282" t="s">
        <v>1931</v>
      </c>
      <c r="B13" s="2283"/>
      <c r="C13" s="2283"/>
      <c r="D13" s="2283"/>
      <c r="E13" s="2283"/>
      <c r="F13" s="2283"/>
      <c r="G13" s="2284"/>
    </row>
    <row r="14" spans="1:7" x14ac:dyDescent="0.25">
      <c r="A14" s="1681" t="s">
        <v>1939</v>
      </c>
      <c r="B14" s="1682"/>
      <c r="C14" s="1682"/>
      <c r="D14" s="1682"/>
      <c r="E14" s="1682"/>
      <c r="F14" s="1682"/>
      <c r="G14" s="1683"/>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2168</v>
      </c>
      <c r="B17" s="1952" t="s">
        <v>2113</v>
      </c>
      <c r="C17" s="1953" t="s">
        <v>2092</v>
      </c>
      <c r="D17" s="1865">
        <v>70047.67</v>
      </c>
      <c r="E17" s="1562">
        <f t="shared" ref="E17:E141" si="1">IF(D17&lt;=25000,D17,IF(D17&gt;25000,25000,0))</f>
        <v>25000</v>
      </c>
      <c r="F17" s="1813">
        <f t="shared" si="0"/>
        <v>0</v>
      </c>
      <c r="G17" s="1814">
        <f>IF(F17=0,0,D17-F17)</f>
        <v>0</v>
      </c>
      <c r="H17" s="1669"/>
    </row>
    <row r="18" spans="1:8" x14ac:dyDescent="0.25">
      <c r="A18" s="1955" t="s">
        <v>2169</v>
      </c>
      <c r="B18" s="1952" t="s">
        <v>2114</v>
      </c>
      <c r="C18" s="1953" t="s">
        <v>2093</v>
      </c>
      <c r="D18" s="1865">
        <v>2091</v>
      </c>
      <c r="E18" s="1562">
        <f t="shared" ref="E18:E140" si="2">IF(D18&lt;=25000,D18,IF(D18&gt;25000,25000,0))</f>
        <v>2091</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55" t="s">
        <v>2169</v>
      </c>
      <c r="B19" s="1952" t="s">
        <v>2114</v>
      </c>
      <c r="C19" s="1953" t="s">
        <v>2094</v>
      </c>
      <c r="D19" s="1865">
        <v>2401</v>
      </c>
      <c r="E19" s="1562">
        <f t="shared" si="2"/>
        <v>2401</v>
      </c>
      <c r="F19" s="1813">
        <f t="shared" si="3"/>
        <v>0</v>
      </c>
      <c r="G19" s="1814">
        <f t="shared" si="4"/>
        <v>0</v>
      </c>
    </row>
    <row r="20" spans="1:8" x14ac:dyDescent="0.25">
      <c r="A20" s="1955" t="s">
        <v>2169</v>
      </c>
      <c r="B20" s="1952" t="s">
        <v>2114</v>
      </c>
      <c r="C20" s="1953" t="s">
        <v>2095</v>
      </c>
      <c r="D20" s="1865">
        <v>166273</v>
      </c>
      <c r="E20" s="1562">
        <f t="shared" si="2"/>
        <v>25000</v>
      </c>
      <c r="F20" s="1813">
        <f t="shared" si="3"/>
        <v>0</v>
      </c>
      <c r="G20" s="1814">
        <f t="shared" si="4"/>
        <v>0</v>
      </c>
    </row>
    <row r="21" spans="1:8" x14ac:dyDescent="0.25">
      <c r="A21" s="1955"/>
      <c r="B21" s="1952" t="s">
        <v>2115</v>
      </c>
      <c r="C21" s="1953" t="s">
        <v>2095</v>
      </c>
      <c r="D21" s="1865">
        <v>79294</v>
      </c>
      <c r="E21" s="1562">
        <f t="shared" si="2"/>
        <v>25000</v>
      </c>
      <c r="F21" s="1813">
        <f t="shared" si="3"/>
        <v>0</v>
      </c>
      <c r="G21" s="1814">
        <f t="shared" si="4"/>
        <v>0</v>
      </c>
    </row>
    <row r="22" spans="1:8" ht="30" x14ac:dyDescent="0.25">
      <c r="A22" s="1955" t="s">
        <v>2170</v>
      </c>
      <c r="B22" s="1952" t="s">
        <v>2116</v>
      </c>
      <c r="C22" s="1953" t="s">
        <v>2096</v>
      </c>
      <c r="D22" s="1865">
        <v>5620</v>
      </c>
      <c r="E22" s="1562">
        <f t="shared" si="2"/>
        <v>5620</v>
      </c>
      <c r="F22" s="1813">
        <f t="shared" si="3"/>
        <v>0</v>
      </c>
      <c r="G22" s="1814">
        <f t="shared" si="4"/>
        <v>0</v>
      </c>
    </row>
    <row r="23" spans="1:8" x14ac:dyDescent="0.25">
      <c r="A23" s="1955" t="s">
        <v>2168</v>
      </c>
      <c r="B23" s="1952" t="s">
        <v>2113</v>
      </c>
      <c r="C23" s="1953" t="s">
        <v>2097</v>
      </c>
      <c r="D23" s="1865">
        <v>11568</v>
      </c>
      <c r="E23" s="1562">
        <f t="shared" si="2"/>
        <v>11568</v>
      </c>
      <c r="F23" s="1813">
        <f t="shared" si="3"/>
        <v>0</v>
      </c>
      <c r="G23" s="1814">
        <f t="shared" si="4"/>
        <v>0</v>
      </c>
    </row>
    <row r="24" spans="1:8" ht="30" x14ac:dyDescent="0.25">
      <c r="A24" s="1955" t="s">
        <v>2170</v>
      </c>
      <c r="B24" s="1952" t="s">
        <v>2117</v>
      </c>
      <c r="C24" s="1953" t="s">
        <v>2098</v>
      </c>
      <c r="D24" s="1865">
        <v>14800</v>
      </c>
      <c r="E24" s="1562">
        <f t="shared" si="2"/>
        <v>14800</v>
      </c>
      <c r="F24" s="1813">
        <f t="shared" si="3"/>
        <v>0</v>
      </c>
      <c r="G24" s="1814">
        <f t="shared" si="4"/>
        <v>0</v>
      </c>
    </row>
    <row r="25" spans="1:8" x14ac:dyDescent="0.25">
      <c r="A25" s="1955" t="s">
        <v>2168</v>
      </c>
      <c r="B25" s="1952" t="s">
        <v>2118</v>
      </c>
      <c r="C25" s="1953" t="s">
        <v>2099</v>
      </c>
      <c r="D25" s="1865">
        <v>3638</v>
      </c>
      <c r="E25" s="1562">
        <f t="shared" si="2"/>
        <v>3638</v>
      </c>
      <c r="F25" s="1813">
        <f t="shared" si="3"/>
        <v>0</v>
      </c>
      <c r="G25" s="1814">
        <f t="shared" si="4"/>
        <v>0</v>
      </c>
    </row>
    <row r="26" spans="1:8" x14ac:dyDescent="0.25">
      <c r="A26" s="1955" t="s">
        <v>2171</v>
      </c>
      <c r="B26" s="1952" t="s">
        <v>2119</v>
      </c>
      <c r="C26" s="1953" t="s">
        <v>2100</v>
      </c>
      <c r="D26" s="1865">
        <v>10639</v>
      </c>
      <c r="E26" s="1562">
        <f t="shared" si="2"/>
        <v>10639</v>
      </c>
      <c r="F26" s="1813">
        <f t="shared" si="3"/>
        <v>10639</v>
      </c>
      <c r="G26" s="1814">
        <f t="shared" si="4"/>
        <v>0</v>
      </c>
    </row>
    <row r="27" spans="1:8" x14ac:dyDescent="0.25">
      <c r="A27" s="1955" t="s">
        <v>2169</v>
      </c>
      <c r="B27" s="1952" t="s">
        <v>2114</v>
      </c>
      <c r="C27" s="1953" t="s">
        <v>2100</v>
      </c>
      <c r="D27" s="1865">
        <v>6181</v>
      </c>
      <c r="E27" s="1562">
        <f t="shared" si="2"/>
        <v>6181</v>
      </c>
      <c r="F27" s="1813">
        <f t="shared" si="3"/>
        <v>0</v>
      </c>
      <c r="G27" s="1814">
        <f t="shared" si="4"/>
        <v>0</v>
      </c>
    </row>
    <row r="28" spans="1:8" x14ac:dyDescent="0.25">
      <c r="A28" s="1955" t="s">
        <v>2168</v>
      </c>
      <c r="B28" s="1952" t="s">
        <v>2113</v>
      </c>
      <c r="C28" s="1953" t="s">
        <v>2101</v>
      </c>
      <c r="D28" s="1865">
        <v>8025</v>
      </c>
      <c r="E28" s="1562">
        <f t="shared" si="2"/>
        <v>8025</v>
      </c>
      <c r="F28" s="1813">
        <f t="shared" si="3"/>
        <v>0</v>
      </c>
      <c r="G28" s="1814">
        <f t="shared" si="4"/>
        <v>0</v>
      </c>
    </row>
    <row r="29" spans="1:8" ht="30" x14ac:dyDescent="0.25">
      <c r="A29" s="1955" t="s">
        <v>2170</v>
      </c>
      <c r="B29" s="1952" t="s">
        <v>2116</v>
      </c>
      <c r="C29" s="1953" t="s">
        <v>2102</v>
      </c>
      <c r="D29" s="1865">
        <v>9705</v>
      </c>
      <c r="E29" s="1562">
        <f t="shared" si="2"/>
        <v>9705</v>
      </c>
      <c r="F29" s="1813">
        <f t="shared" si="3"/>
        <v>0</v>
      </c>
      <c r="G29" s="1814">
        <f t="shared" si="4"/>
        <v>0</v>
      </c>
    </row>
    <row r="30" spans="1:8" x14ac:dyDescent="0.25">
      <c r="A30" s="1955" t="s">
        <v>2172</v>
      </c>
      <c r="B30" s="1952" t="s">
        <v>2120</v>
      </c>
      <c r="C30" s="1953" t="s">
        <v>2103</v>
      </c>
      <c r="D30" s="1865">
        <v>6246</v>
      </c>
      <c r="E30" s="1562">
        <f t="shared" si="2"/>
        <v>6246</v>
      </c>
      <c r="F30" s="1813">
        <f t="shared" si="3"/>
        <v>0</v>
      </c>
      <c r="G30" s="1814">
        <f t="shared" si="4"/>
        <v>0</v>
      </c>
    </row>
    <row r="31" spans="1:8" ht="30" x14ac:dyDescent="0.25">
      <c r="A31" s="1955" t="s">
        <v>2173</v>
      </c>
      <c r="B31" s="1952" t="s">
        <v>2121</v>
      </c>
      <c r="C31" s="1953" t="s">
        <v>2104</v>
      </c>
      <c r="D31" s="1865">
        <v>5030</v>
      </c>
      <c r="E31" s="1562">
        <f t="shared" si="2"/>
        <v>5030</v>
      </c>
      <c r="F31" s="1813">
        <f t="shared" si="3"/>
        <v>0</v>
      </c>
      <c r="G31" s="1814">
        <f t="shared" si="4"/>
        <v>0</v>
      </c>
    </row>
    <row r="32" spans="1:8" ht="30" x14ac:dyDescent="0.25">
      <c r="A32" s="1955" t="s">
        <v>2174</v>
      </c>
      <c r="B32" s="1952" t="s">
        <v>2122</v>
      </c>
      <c r="C32" s="1953" t="s">
        <v>2104</v>
      </c>
      <c r="D32" s="1865">
        <v>36729</v>
      </c>
      <c r="E32" s="1562">
        <f t="shared" si="2"/>
        <v>25000</v>
      </c>
      <c r="F32" s="1813">
        <f t="shared" si="3"/>
        <v>0</v>
      </c>
      <c r="G32" s="1814">
        <f t="shared" si="4"/>
        <v>0</v>
      </c>
    </row>
    <row r="33" spans="1:7" ht="30" x14ac:dyDescent="0.25">
      <c r="A33" s="1955" t="s">
        <v>2174</v>
      </c>
      <c r="B33" s="1952" t="s">
        <v>2123</v>
      </c>
      <c r="C33" s="1953" t="s">
        <v>2104</v>
      </c>
      <c r="D33" s="1865">
        <v>27917</v>
      </c>
      <c r="E33" s="1562">
        <f t="shared" si="2"/>
        <v>25000</v>
      </c>
      <c r="F33" s="1813">
        <f t="shared" si="3"/>
        <v>0</v>
      </c>
      <c r="G33" s="1814">
        <f t="shared" si="4"/>
        <v>0</v>
      </c>
    </row>
    <row r="34" spans="1:7" ht="30" x14ac:dyDescent="0.25">
      <c r="A34" s="1955" t="s">
        <v>2175</v>
      </c>
      <c r="B34" s="1952" t="s">
        <v>2124</v>
      </c>
      <c r="C34" s="1953" t="s">
        <v>2105</v>
      </c>
      <c r="D34" s="1865">
        <v>48124</v>
      </c>
      <c r="E34" s="1562">
        <f t="shared" si="2"/>
        <v>25000</v>
      </c>
      <c r="F34" s="1813">
        <f t="shared" si="3"/>
        <v>0</v>
      </c>
      <c r="G34" s="1814">
        <f t="shared" si="4"/>
        <v>0</v>
      </c>
    </row>
    <row r="35" spans="1:7" x14ac:dyDescent="0.25">
      <c r="A35" s="1955" t="s">
        <v>2168</v>
      </c>
      <c r="B35" s="1952" t="s">
        <v>2113</v>
      </c>
      <c r="C35" s="1953" t="s">
        <v>2106</v>
      </c>
      <c r="D35" s="1865">
        <v>12960</v>
      </c>
      <c r="E35" s="1562">
        <f t="shared" si="2"/>
        <v>12960</v>
      </c>
      <c r="F35" s="1813">
        <f t="shared" si="3"/>
        <v>0</v>
      </c>
      <c r="G35" s="1814">
        <f t="shared" si="4"/>
        <v>0</v>
      </c>
    </row>
    <row r="36" spans="1:7" x14ac:dyDescent="0.25">
      <c r="A36" s="1955" t="s">
        <v>2176</v>
      </c>
      <c r="B36" s="1952" t="s">
        <v>2125</v>
      </c>
      <c r="C36" s="1953" t="s">
        <v>2126</v>
      </c>
      <c r="D36" s="1865">
        <v>2031684</v>
      </c>
      <c r="E36" s="1562">
        <f t="shared" si="2"/>
        <v>25000</v>
      </c>
      <c r="F36" s="1813">
        <f t="shared" si="3"/>
        <v>0</v>
      </c>
      <c r="G36" s="1814">
        <f t="shared" si="4"/>
        <v>0</v>
      </c>
    </row>
    <row r="37" spans="1:7" x14ac:dyDescent="0.25">
      <c r="A37" s="1955" t="s">
        <v>2177</v>
      </c>
      <c r="B37" s="1952" t="s">
        <v>2127</v>
      </c>
      <c r="C37" s="1953" t="s">
        <v>2128</v>
      </c>
      <c r="D37" s="1865">
        <v>7800</v>
      </c>
      <c r="E37" s="1562">
        <f t="shared" si="2"/>
        <v>7800</v>
      </c>
      <c r="F37" s="1813">
        <f t="shared" si="3"/>
        <v>0</v>
      </c>
      <c r="G37" s="1814">
        <f t="shared" si="4"/>
        <v>0</v>
      </c>
    </row>
    <row r="38" spans="1:7" x14ac:dyDescent="0.25">
      <c r="A38" s="1955" t="s">
        <v>2168</v>
      </c>
      <c r="B38" s="1954" t="s">
        <v>2113</v>
      </c>
      <c r="C38" s="1953" t="s">
        <v>2129</v>
      </c>
      <c r="D38" s="1865">
        <v>77937</v>
      </c>
      <c r="E38" s="1562">
        <f t="shared" si="2"/>
        <v>25000</v>
      </c>
      <c r="F38" s="1813">
        <f t="shared" si="3"/>
        <v>0</v>
      </c>
      <c r="G38" s="1814">
        <f t="shared" si="4"/>
        <v>0</v>
      </c>
    </row>
    <row r="39" spans="1:7" x14ac:dyDescent="0.25">
      <c r="A39" s="1675"/>
      <c r="B39" s="1954" t="s">
        <v>2130</v>
      </c>
      <c r="C39" s="1953" t="s">
        <v>2131</v>
      </c>
      <c r="D39" s="1865">
        <v>6915</v>
      </c>
      <c r="E39" s="1562">
        <f t="shared" si="2"/>
        <v>6915</v>
      </c>
      <c r="F39" s="1813">
        <f t="shared" si="3"/>
        <v>0</v>
      </c>
      <c r="G39" s="1814">
        <f t="shared" si="4"/>
        <v>0</v>
      </c>
    </row>
    <row r="40" spans="1:7" ht="30" x14ac:dyDescent="0.25">
      <c r="A40" s="1955" t="s">
        <v>2170</v>
      </c>
      <c r="B40" s="1954" t="s">
        <v>2132</v>
      </c>
      <c r="C40" s="1953" t="s">
        <v>2131</v>
      </c>
      <c r="D40" s="1865">
        <v>24430</v>
      </c>
      <c r="E40" s="1562">
        <f t="shared" si="2"/>
        <v>24430</v>
      </c>
      <c r="F40" s="1813">
        <f t="shared" si="3"/>
        <v>0</v>
      </c>
      <c r="G40" s="1814">
        <f t="shared" si="4"/>
        <v>0</v>
      </c>
    </row>
    <row r="41" spans="1:7" x14ac:dyDescent="0.25">
      <c r="A41" s="1955" t="s">
        <v>2169</v>
      </c>
      <c r="B41" s="1954" t="s">
        <v>2114</v>
      </c>
      <c r="C41" s="1953" t="s">
        <v>2133</v>
      </c>
      <c r="D41" s="1865">
        <v>13060</v>
      </c>
      <c r="E41" s="1562">
        <f t="shared" si="2"/>
        <v>13060</v>
      </c>
      <c r="F41" s="1813">
        <f t="shared" si="3"/>
        <v>0</v>
      </c>
      <c r="G41" s="1814">
        <f t="shared" si="4"/>
        <v>0</v>
      </c>
    </row>
    <row r="42" spans="1:7" x14ac:dyDescent="0.25">
      <c r="A42" s="1955" t="s">
        <v>2178</v>
      </c>
      <c r="B42" s="1954" t="s">
        <v>2135</v>
      </c>
      <c r="C42" s="1953" t="s">
        <v>2136</v>
      </c>
      <c r="D42" s="1865">
        <v>25560</v>
      </c>
      <c r="E42" s="1562">
        <f t="shared" si="2"/>
        <v>25000</v>
      </c>
      <c r="F42" s="1813">
        <f t="shared" si="3"/>
        <v>0</v>
      </c>
      <c r="G42" s="1814">
        <f t="shared" si="4"/>
        <v>0</v>
      </c>
    </row>
    <row r="43" spans="1:7" x14ac:dyDescent="0.25">
      <c r="A43" s="1675"/>
      <c r="B43" s="1954" t="s">
        <v>2134</v>
      </c>
      <c r="C43" s="1953" t="s">
        <v>2136</v>
      </c>
      <c r="D43" s="1865">
        <v>5113</v>
      </c>
      <c r="E43" s="1562">
        <f t="shared" si="2"/>
        <v>5113</v>
      </c>
      <c r="F43" s="1813">
        <f t="shared" si="3"/>
        <v>0</v>
      </c>
      <c r="G43" s="1814">
        <f t="shared" si="4"/>
        <v>0</v>
      </c>
    </row>
    <row r="44" spans="1:7" ht="30" x14ac:dyDescent="0.25">
      <c r="A44" s="1955" t="s">
        <v>2170</v>
      </c>
      <c r="B44" s="1954" t="s">
        <v>2116</v>
      </c>
      <c r="C44" s="1953" t="s">
        <v>2136</v>
      </c>
      <c r="D44" s="1865">
        <v>450</v>
      </c>
      <c r="E44" s="1562">
        <f t="shared" si="2"/>
        <v>450</v>
      </c>
      <c r="F44" s="1813">
        <f t="shared" si="3"/>
        <v>0</v>
      </c>
      <c r="G44" s="1814">
        <f t="shared" si="4"/>
        <v>0</v>
      </c>
    </row>
    <row r="45" spans="1:7" x14ac:dyDescent="0.25">
      <c r="A45" s="1955" t="s">
        <v>2179</v>
      </c>
      <c r="B45" s="1954" t="s">
        <v>2137</v>
      </c>
      <c r="C45" s="1953" t="s">
        <v>2138</v>
      </c>
      <c r="D45" s="1865">
        <v>29750</v>
      </c>
      <c r="E45" s="1562">
        <f t="shared" si="2"/>
        <v>25000</v>
      </c>
      <c r="F45" s="1813">
        <f t="shared" si="3"/>
        <v>0</v>
      </c>
      <c r="G45" s="1814">
        <f t="shared" si="4"/>
        <v>0</v>
      </c>
    </row>
    <row r="46" spans="1:7" ht="30" x14ac:dyDescent="0.25">
      <c r="A46" s="1955" t="s">
        <v>2170</v>
      </c>
      <c r="B46" s="1954" t="s">
        <v>2117</v>
      </c>
      <c r="C46" s="1953" t="s">
        <v>2139</v>
      </c>
      <c r="D46" s="1865">
        <v>182154</v>
      </c>
      <c r="E46" s="1562">
        <f t="shared" si="2"/>
        <v>25000</v>
      </c>
      <c r="F46" s="1813">
        <f t="shared" si="3"/>
        <v>0</v>
      </c>
      <c r="G46" s="1814">
        <f t="shared" si="4"/>
        <v>0</v>
      </c>
    </row>
    <row r="47" spans="1:7" x14ac:dyDescent="0.25">
      <c r="A47" s="1955" t="s">
        <v>2168</v>
      </c>
      <c r="B47" s="1954" t="s">
        <v>2113</v>
      </c>
      <c r="C47" s="1953" t="s">
        <v>2140</v>
      </c>
      <c r="D47" s="1865">
        <v>2750</v>
      </c>
      <c r="E47" s="1562">
        <f t="shared" si="2"/>
        <v>2750</v>
      </c>
      <c r="F47" s="1813">
        <f t="shared" si="3"/>
        <v>0</v>
      </c>
      <c r="G47" s="1814">
        <f t="shared" si="4"/>
        <v>0</v>
      </c>
    </row>
    <row r="48" spans="1:7" x14ac:dyDescent="0.25">
      <c r="A48" s="1955" t="s">
        <v>2168</v>
      </c>
      <c r="B48" s="1954" t="s">
        <v>2113</v>
      </c>
      <c r="C48" s="1953" t="s">
        <v>2141</v>
      </c>
      <c r="D48" s="1865">
        <v>10822</v>
      </c>
      <c r="E48" s="1562">
        <f t="shared" si="2"/>
        <v>10822</v>
      </c>
      <c r="F48" s="1813">
        <f t="shared" si="3"/>
        <v>0</v>
      </c>
      <c r="G48" s="1814">
        <f t="shared" si="4"/>
        <v>0</v>
      </c>
    </row>
    <row r="49" spans="1:7" ht="30" x14ac:dyDescent="0.25">
      <c r="A49" s="1955" t="s">
        <v>2170</v>
      </c>
      <c r="B49" s="1954" t="s">
        <v>2116</v>
      </c>
      <c r="C49" s="1953" t="s">
        <v>2142</v>
      </c>
      <c r="D49" s="1865">
        <v>26419</v>
      </c>
      <c r="E49" s="1562">
        <f t="shared" si="2"/>
        <v>25000</v>
      </c>
      <c r="F49" s="1813">
        <f t="shared" si="3"/>
        <v>0</v>
      </c>
      <c r="G49" s="1814">
        <f t="shared" si="4"/>
        <v>0</v>
      </c>
    </row>
    <row r="50" spans="1:7" ht="30" x14ac:dyDescent="0.25">
      <c r="A50" s="1955" t="s">
        <v>2175</v>
      </c>
      <c r="B50" s="1954" t="s">
        <v>2124</v>
      </c>
      <c r="C50" s="1953" t="s">
        <v>2143</v>
      </c>
      <c r="D50" s="1865">
        <v>2201</v>
      </c>
      <c r="E50" s="1562">
        <f t="shared" si="2"/>
        <v>2201</v>
      </c>
      <c r="F50" s="1813">
        <f t="shared" si="3"/>
        <v>0</v>
      </c>
      <c r="G50" s="1814">
        <f t="shared" si="4"/>
        <v>0</v>
      </c>
    </row>
    <row r="51" spans="1:7" x14ac:dyDescent="0.25">
      <c r="A51" s="1955" t="s">
        <v>2168</v>
      </c>
      <c r="B51" s="1954" t="s">
        <v>2113</v>
      </c>
      <c r="C51" s="1953" t="s">
        <v>2145</v>
      </c>
      <c r="D51" s="1865">
        <v>62567</v>
      </c>
      <c r="E51" s="1562">
        <f t="shared" si="2"/>
        <v>25000</v>
      </c>
      <c r="F51" s="1813">
        <f t="shared" si="3"/>
        <v>0</v>
      </c>
      <c r="G51" s="1814">
        <f t="shared" si="4"/>
        <v>0</v>
      </c>
    </row>
    <row r="52" spans="1:7" x14ac:dyDescent="0.25">
      <c r="A52" s="1955"/>
      <c r="B52" s="1954" t="s">
        <v>2144</v>
      </c>
      <c r="C52" s="1953" t="s">
        <v>2145</v>
      </c>
      <c r="D52" s="1865">
        <v>2591</v>
      </c>
      <c r="E52" s="1562">
        <f t="shared" si="2"/>
        <v>2591</v>
      </c>
      <c r="F52" s="1813">
        <f t="shared" si="3"/>
        <v>0</v>
      </c>
      <c r="G52" s="1814">
        <f t="shared" si="4"/>
        <v>0</v>
      </c>
    </row>
    <row r="53" spans="1:7" ht="30" x14ac:dyDescent="0.25">
      <c r="A53" s="1955" t="s">
        <v>2170</v>
      </c>
      <c r="B53" s="1954" t="s">
        <v>2116</v>
      </c>
      <c r="C53" s="1953" t="s">
        <v>2146</v>
      </c>
      <c r="D53" s="1865">
        <v>11399</v>
      </c>
      <c r="E53" s="1562">
        <f t="shared" si="2"/>
        <v>11399</v>
      </c>
      <c r="F53" s="1813">
        <f t="shared" si="3"/>
        <v>0</v>
      </c>
      <c r="G53" s="1814">
        <f t="shared" si="4"/>
        <v>0</v>
      </c>
    </row>
    <row r="54" spans="1:7" ht="30" x14ac:dyDescent="0.25">
      <c r="A54" s="1955" t="s">
        <v>2180</v>
      </c>
      <c r="B54" s="1954" t="s">
        <v>2147</v>
      </c>
      <c r="C54" s="1953" t="s">
        <v>2148</v>
      </c>
      <c r="D54" s="1865">
        <v>5000</v>
      </c>
      <c r="E54" s="1562">
        <f t="shared" si="2"/>
        <v>5000</v>
      </c>
      <c r="F54" s="1813">
        <f t="shared" si="3"/>
        <v>0</v>
      </c>
      <c r="G54" s="1814">
        <f t="shared" si="4"/>
        <v>0</v>
      </c>
    </row>
    <row r="55" spans="1:7" ht="30" x14ac:dyDescent="0.25">
      <c r="A55" s="1955" t="s">
        <v>2174</v>
      </c>
      <c r="B55" s="1954" t="s">
        <v>2123</v>
      </c>
      <c r="C55" s="1953" t="s">
        <v>2149</v>
      </c>
      <c r="D55" s="1865">
        <v>13531</v>
      </c>
      <c r="E55" s="1562">
        <f t="shared" si="2"/>
        <v>13531</v>
      </c>
      <c r="F55" s="1813">
        <f t="shared" si="3"/>
        <v>0</v>
      </c>
      <c r="G55" s="1814">
        <f t="shared" si="4"/>
        <v>0</v>
      </c>
    </row>
    <row r="56" spans="1:7" ht="30" x14ac:dyDescent="0.25">
      <c r="A56" s="1955" t="s">
        <v>2173</v>
      </c>
      <c r="B56" s="2502" t="s">
        <v>2253</v>
      </c>
      <c r="C56" s="1953" t="s">
        <v>2149</v>
      </c>
      <c r="D56" s="1865">
        <v>1114</v>
      </c>
      <c r="E56" s="1562">
        <f t="shared" si="2"/>
        <v>1114</v>
      </c>
      <c r="F56" s="1813">
        <f t="shared" si="3"/>
        <v>0</v>
      </c>
      <c r="G56" s="1814">
        <f t="shared" si="4"/>
        <v>0</v>
      </c>
    </row>
    <row r="57" spans="1:7" ht="30" x14ac:dyDescent="0.25">
      <c r="A57" s="1955" t="s">
        <v>2170</v>
      </c>
      <c r="B57" s="2502" t="s">
        <v>2250</v>
      </c>
      <c r="C57" s="1953" t="s">
        <v>2150</v>
      </c>
      <c r="D57" s="1865">
        <v>9360</v>
      </c>
      <c r="E57" s="1562">
        <f t="shared" si="2"/>
        <v>9360</v>
      </c>
      <c r="F57" s="1813">
        <f t="shared" si="3"/>
        <v>9360</v>
      </c>
      <c r="G57" s="1814">
        <f t="shared" si="4"/>
        <v>0</v>
      </c>
    </row>
    <row r="58" spans="1:7" ht="30" x14ac:dyDescent="0.25">
      <c r="A58" s="1955" t="s">
        <v>2170</v>
      </c>
      <c r="B58" s="2502" t="s">
        <v>2250</v>
      </c>
      <c r="C58" s="1953" t="s">
        <v>2151</v>
      </c>
      <c r="D58" s="1865">
        <v>20920</v>
      </c>
      <c r="E58" s="1562">
        <f t="shared" si="2"/>
        <v>20920</v>
      </c>
      <c r="F58" s="1813">
        <f t="shared" si="3"/>
        <v>20920</v>
      </c>
      <c r="G58" s="1814">
        <f t="shared" si="4"/>
        <v>0</v>
      </c>
    </row>
    <row r="59" spans="1:7" ht="30" x14ac:dyDescent="0.25">
      <c r="A59" s="1955" t="s">
        <v>2181</v>
      </c>
      <c r="B59" s="2502" t="s">
        <v>2252</v>
      </c>
      <c r="C59" s="1953" t="s">
        <v>2151</v>
      </c>
      <c r="D59" s="1865">
        <v>9847</v>
      </c>
      <c r="E59" s="1562">
        <f t="shared" si="2"/>
        <v>9847</v>
      </c>
      <c r="F59" s="1813">
        <f t="shared" si="3"/>
        <v>9847</v>
      </c>
      <c r="G59" s="1814">
        <f t="shared" si="4"/>
        <v>0</v>
      </c>
    </row>
    <row r="60" spans="1:7" x14ac:dyDescent="0.25">
      <c r="A60" s="1955" t="s">
        <v>2171</v>
      </c>
      <c r="B60" s="1954" t="s">
        <v>2119</v>
      </c>
      <c r="C60" s="1953" t="s">
        <v>2152</v>
      </c>
      <c r="D60" s="1865">
        <v>4800</v>
      </c>
      <c r="E60" s="1562">
        <f t="shared" si="2"/>
        <v>4800</v>
      </c>
      <c r="F60" s="1813">
        <f t="shared" si="3"/>
        <v>4800</v>
      </c>
      <c r="G60" s="1814">
        <f t="shared" si="4"/>
        <v>0</v>
      </c>
    </row>
    <row r="61" spans="1:7" ht="30" x14ac:dyDescent="0.25">
      <c r="A61" s="1955" t="s">
        <v>2170</v>
      </c>
      <c r="B61" s="2502" t="s">
        <v>2250</v>
      </c>
      <c r="C61" s="1953" t="s">
        <v>2153</v>
      </c>
      <c r="D61" s="1865">
        <v>8325</v>
      </c>
      <c r="E61" s="1562">
        <f t="shared" si="2"/>
        <v>8325</v>
      </c>
      <c r="F61" s="1813">
        <f t="shared" si="3"/>
        <v>8325</v>
      </c>
      <c r="G61" s="1814">
        <f t="shared" si="4"/>
        <v>0</v>
      </c>
    </row>
    <row r="62" spans="1:7" x14ac:dyDescent="0.25">
      <c r="A62" s="1955" t="s">
        <v>2182</v>
      </c>
      <c r="B62" s="2502" t="s">
        <v>2251</v>
      </c>
      <c r="C62" s="1953" t="s">
        <v>2154</v>
      </c>
      <c r="D62" s="1865">
        <v>4250</v>
      </c>
      <c r="E62" s="1562">
        <f t="shared" si="2"/>
        <v>4250</v>
      </c>
      <c r="F62" s="1813">
        <f t="shared" si="3"/>
        <v>4250</v>
      </c>
      <c r="G62" s="1814">
        <f t="shared" si="4"/>
        <v>0</v>
      </c>
    </row>
    <row r="63" spans="1:7" x14ac:dyDescent="0.25">
      <c r="A63" s="1955" t="s">
        <v>2168</v>
      </c>
      <c r="B63" s="2502" t="s">
        <v>2249</v>
      </c>
      <c r="C63" s="1953" t="s">
        <v>2155</v>
      </c>
      <c r="D63" s="1865">
        <v>18460</v>
      </c>
      <c r="E63" s="1562">
        <f t="shared" si="2"/>
        <v>18460</v>
      </c>
      <c r="F63" s="1813">
        <f t="shared" si="3"/>
        <v>18460</v>
      </c>
      <c r="G63" s="1814">
        <f t="shared" si="4"/>
        <v>0</v>
      </c>
    </row>
    <row r="64" spans="1:7" x14ac:dyDescent="0.25">
      <c r="A64" s="1955" t="s">
        <v>2178</v>
      </c>
      <c r="B64" s="2502" t="s">
        <v>2248</v>
      </c>
      <c r="C64" s="1953" t="s">
        <v>2156</v>
      </c>
      <c r="D64" s="1865">
        <v>54121</v>
      </c>
      <c r="E64" s="1562">
        <f t="shared" si="2"/>
        <v>25000</v>
      </c>
      <c r="F64" s="1813">
        <f t="shared" si="3"/>
        <v>25000</v>
      </c>
      <c r="G64" s="1814">
        <f t="shared" si="4"/>
        <v>29121</v>
      </c>
    </row>
    <row r="65" spans="1:7" x14ac:dyDescent="0.25">
      <c r="A65" s="1955"/>
      <c r="B65" s="1687"/>
      <c r="C65" s="1676"/>
      <c r="D65" s="1865"/>
      <c r="E65" s="1562">
        <f t="shared" si="2"/>
        <v>0</v>
      </c>
      <c r="F65" s="1813">
        <f t="shared" si="3"/>
        <v>0</v>
      </c>
      <c r="G65" s="1814">
        <f t="shared" si="4"/>
        <v>0</v>
      </c>
    </row>
    <row r="66" spans="1:7" x14ac:dyDescent="0.25">
      <c r="A66" s="1955"/>
      <c r="B66" s="1687"/>
      <c r="C66" s="1676"/>
      <c r="D66" s="1865"/>
      <c r="E66" s="1562">
        <f t="shared" si="2"/>
        <v>0</v>
      </c>
      <c r="F66" s="1813">
        <f t="shared" si="3"/>
        <v>0</v>
      </c>
      <c r="G66" s="1814">
        <f t="shared" si="4"/>
        <v>0</v>
      </c>
    </row>
    <row r="67" spans="1:7" x14ac:dyDescent="0.25">
      <c r="A67" s="1955"/>
      <c r="B67" s="1687"/>
      <c r="C67" s="1676"/>
      <c r="D67" s="1865"/>
      <c r="E67" s="1562">
        <f t="shared" si="2"/>
        <v>0</v>
      </c>
      <c r="F67" s="1813">
        <f t="shared" si="3"/>
        <v>0</v>
      </c>
      <c r="G67" s="1814">
        <f t="shared" si="4"/>
        <v>0</v>
      </c>
    </row>
    <row r="68" spans="1:7" x14ac:dyDescent="0.25">
      <c r="A68" s="1955"/>
      <c r="B68" s="1687"/>
      <c r="C68" s="1676"/>
      <c r="D68" s="1865"/>
      <c r="E68" s="1562">
        <f t="shared" si="2"/>
        <v>0</v>
      </c>
      <c r="F68" s="1813">
        <f t="shared" si="3"/>
        <v>0</v>
      </c>
      <c r="G68" s="1814">
        <f t="shared" si="4"/>
        <v>0</v>
      </c>
    </row>
    <row r="69" spans="1:7" x14ac:dyDescent="0.25">
      <c r="A69" s="1955"/>
      <c r="B69" s="1687"/>
      <c r="C69" s="1676"/>
      <c r="D69" s="1865"/>
      <c r="E69" s="1562">
        <f t="shared" si="2"/>
        <v>0</v>
      </c>
      <c r="F69" s="1813">
        <f t="shared" si="3"/>
        <v>0</v>
      </c>
      <c r="G69" s="1814">
        <f t="shared" si="4"/>
        <v>0</v>
      </c>
    </row>
    <row r="70" spans="1:7" x14ac:dyDescent="0.25">
      <c r="A70" s="1955"/>
      <c r="B70" s="1687"/>
      <c r="C70" s="1676"/>
      <c r="D70" s="1865"/>
      <c r="E70" s="1562">
        <f t="shared" si="2"/>
        <v>0</v>
      </c>
      <c r="F70" s="1813">
        <f t="shared" si="3"/>
        <v>0</v>
      </c>
      <c r="G70" s="1814">
        <f t="shared" si="4"/>
        <v>0</v>
      </c>
    </row>
    <row r="71" spans="1:7" x14ac:dyDescent="0.25">
      <c r="A71" s="1955"/>
      <c r="B71" s="1687"/>
      <c r="C71" s="1676"/>
      <c r="D71" s="1865"/>
      <c r="E71" s="1562">
        <f t="shared" si="2"/>
        <v>0</v>
      </c>
      <c r="F71" s="1813">
        <f t="shared" si="3"/>
        <v>0</v>
      </c>
      <c r="G71" s="1814">
        <f t="shared" si="4"/>
        <v>0</v>
      </c>
    </row>
    <row r="72" spans="1:7" x14ac:dyDescent="0.25">
      <c r="A72" s="1955"/>
      <c r="B72" s="1687"/>
      <c r="C72" s="1676"/>
      <c r="D72" s="1865"/>
      <c r="E72" s="1562">
        <f t="shared" si="2"/>
        <v>0</v>
      </c>
      <c r="F72" s="1813">
        <f t="shared" si="3"/>
        <v>0</v>
      </c>
      <c r="G72" s="1814">
        <f t="shared" si="4"/>
        <v>0</v>
      </c>
    </row>
    <row r="73" spans="1:7" x14ac:dyDescent="0.25">
      <c r="A73" s="1955"/>
      <c r="B73" s="1687"/>
      <c r="C73" s="1676"/>
      <c r="D73" s="1865"/>
      <c r="E73" s="1562">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955"/>
      <c r="B74" s="1687"/>
      <c r="C74" s="1676"/>
      <c r="D74" s="1865"/>
      <c r="E74" s="1562">
        <f t="shared" si="5"/>
        <v>0</v>
      </c>
      <c r="F74" s="1813">
        <f t="shared" si="6"/>
        <v>0</v>
      </c>
      <c r="G74" s="1814">
        <f t="shared" si="7"/>
        <v>0</v>
      </c>
    </row>
    <row r="75" spans="1:7" x14ac:dyDescent="0.25">
      <c r="A75" s="1955"/>
      <c r="B75" s="1687"/>
      <c r="C75" s="1676"/>
      <c r="D75" s="1865"/>
      <c r="E75" s="1562">
        <f t="shared" si="5"/>
        <v>0</v>
      </c>
      <c r="F75" s="1813">
        <f t="shared" si="6"/>
        <v>0</v>
      </c>
      <c r="G75" s="1814">
        <f t="shared" si="7"/>
        <v>0</v>
      </c>
    </row>
    <row r="76" spans="1:7" x14ac:dyDescent="0.25">
      <c r="A76" s="1955"/>
      <c r="B76" s="1687"/>
      <c r="C76" s="1676"/>
      <c r="D76" s="1865"/>
      <c r="E76" s="1562">
        <f t="shared" si="5"/>
        <v>0</v>
      </c>
      <c r="F76" s="1813">
        <f t="shared" si="6"/>
        <v>0</v>
      </c>
      <c r="G76" s="1814">
        <f t="shared" si="7"/>
        <v>0</v>
      </c>
    </row>
    <row r="77" spans="1:7" x14ac:dyDescent="0.25">
      <c r="A77" s="1955"/>
      <c r="B77" s="1687"/>
      <c r="C77" s="1676"/>
      <c r="D77" s="1865"/>
      <c r="E77" s="1562">
        <f t="shared" si="5"/>
        <v>0</v>
      </c>
      <c r="F77" s="1813">
        <f t="shared" si="6"/>
        <v>0</v>
      </c>
      <c r="G77" s="1814">
        <f t="shared" si="7"/>
        <v>0</v>
      </c>
    </row>
    <row r="78" spans="1:7" x14ac:dyDescent="0.25">
      <c r="A78" s="1955"/>
      <c r="B78" s="1687"/>
      <c r="C78" s="1676"/>
      <c r="D78" s="1865"/>
      <c r="E78" s="1562">
        <f t="shared" si="5"/>
        <v>0</v>
      </c>
      <c r="F78" s="1813">
        <f t="shared" si="6"/>
        <v>0</v>
      </c>
      <c r="G78" s="1814">
        <f t="shared" si="7"/>
        <v>0</v>
      </c>
    </row>
    <row r="79" spans="1:7" x14ac:dyDescent="0.25">
      <c r="A79" s="1955"/>
      <c r="B79" s="1687"/>
      <c r="C79" s="1676"/>
      <c r="D79" s="1865"/>
      <c r="E79" s="1562">
        <f t="shared" si="5"/>
        <v>0</v>
      </c>
      <c r="F79" s="1813">
        <f t="shared" si="6"/>
        <v>0</v>
      </c>
      <c r="G79" s="1814">
        <f t="shared" si="7"/>
        <v>0</v>
      </c>
    </row>
    <row r="80" spans="1:7" x14ac:dyDescent="0.25">
      <c r="A80" s="1955"/>
      <c r="B80" s="1687"/>
      <c r="C80" s="1676"/>
      <c r="D80" s="1865"/>
      <c r="E80" s="1562">
        <f t="shared" si="5"/>
        <v>0</v>
      </c>
      <c r="F80" s="1813">
        <f t="shared" si="6"/>
        <v>0</v>
      </c>
      <c r="G80" s="1814">
        <f t="shared" si="7"/>
        <v>0</v>
      </c>
    </row>
    <row r="81" spans="1:7" x14ac:dyDescent="0.25">
      <c r="A81" s="1955"/>
      <c r="B81" s="1687"/>
      <c r="C81" s="1676"/>
      <c r="D81" s="1865"/>
      <c r="E81" s="1562">
        <f t="shared" si="5"/>
        <v>0</v>
      </c>
      <c r="F81" s="1813">
        <f t="shared" si="6"/>
        <v>0</v>
      </c>
      <c r="G81" s="1814">
        <f t="shared" si="7"/>
        <v>0</v>
      </c>
    </row>
    <row r="82" spans="1:7" x14ac:dyDescent="0.25">
      <c r="A82" s="1955"/>
      <c r="B82" s="1687"/>
      <c r="C82" s="1676"/>
      <c r="D82" s="1865"/>
      <c r="E82" s="1562">
        <f t="shared" si="5"/>
        <v>0</v>
      </c>
      <c r="F82" s="1813">
        <f t="shared" si="6"/>
        <v>0</v>
      </c>
      <c r="G82" s="1814">
        <f t="shared" si="7"/>
        <v>0</v>
      </c>
    </row>
    <row r="83" spans="1:7" x14ac:dyDescent="0.25">
      <c r="A83" s="1955"/>
      <c r="B83" s="1687"/>
      <c r="C83" s="1676"/>
      <c r="D83" s="1865"/>
      <c r="E83" s="1562">
        <f t="shared" si="5"/>
        <v>0</v>
      </c>
      <c r="F83" s="1813">
        <f t="shared" si="6"/>
        <v>0</v>
      </c>
      <c r="G83" s="1814">
        <f t="shared" si="7"/>
        <v>0</v>
      </c>
    </row>
    <row r="84" spans="1:7" x14ac:dyDescent="0.25">
      <c r="A84" s="1955"/>
      <c r="B84" s="1687"/>
      <c r="C84" s="1676"/>
      <c r="D84" s="1865"/>
      <c r="E84" s="1562">
        <f t="shared" si="5"/>
        <v>0</v>
      </c>
      <c r="F84" s="1813">
        <f t="shared" si="6"/>
        <v>0</v>
      </c>
      <c r="G84" s="1814">
        <f t="shared" si="7"/>
        <v>0</v>
      </c>
    </row>
    <row r="85" spans="1:7" x14ac:dyDescent="0.25">
      <c r="A85" s="1955"/>
      <c r="B85" s="1687"/>
      <c r="C85" s="1676"/>
      <c r="D85" s="1865"/>
      <c r="E85" s="1562">
        <f t="shared" si="2"/>
        <v>0</v>
      </c>
      <c r="F85" s="1813">
        <f t="shared" si="3"/>
        <v>0</v>
      </c>
      <c r="G85" s="1814">
        <f t="shared" si="4"/>
        <v>0</v>
      </c>
    </row>
    <row r="86" spans="1:7" x14ac:dyDescent="0.25">
      <c r="A86" s="1955"/>
      <c r="B86" s="1687"/>
      <c r="C86" s="1676"/>
      <c r="D86" s="1865"/>
      <c r="E86" s="1562">
        <f t="shared" si="2"/>
        <v>0</v>
      </c>
      <c r="F86" s="1813">
        <f t="shared" si="3"/>
        <v>0</v>
      </c>
      <c r="G86" s="1814">
        <f t="shared" si="4"/>
        <v>0</v>
      </c>
    </row>
    <row r="87" spans="1:7" x14ac:dyDescent="0.25">
      <c r="A87" s="1955"/>
      <c r="B87" s="1687"/>
      <c r="C87" s="1676"/>
      <c r="D87" s="1865"/>
      <c r="E87" s="1562">
        <f t="shared" si="2"/>
        <v>0</v>
      </c>
      <c r="F87" s="1813">
        <f t="shared" si="3"/>
        <v>0</v>
      </c>
      <c r="G87" s="1814">
        <f t="shared" si="4"/>
        <v>0</v>
      </c>
    </row>
    <row r="88" spans="1:7" x14ac:dyDescent="0.25">
      <c r="A88" s="1955"/>
      <c r="B88" s="1687"/>
      <c r="C88" s="1676"/>
      <c r="D88" s="1865"/>
      <c r="E88" s="1562">
        <f t="shared" si="2"/>
        <v>0</v>
      </c>
      <c r="F88" s="1813">
        <f t="shared" si="3"/>
        <v>0</v>
      </c>
      <c r="G88" s="1814">
        <f t="shared" si="4"/>
        <v>0</v>
      </c>
    </row>
    <row r="89" spans="1:7" x14ac:dyDescent="0.25">
      <c r="A89" s="1955"/>
      <c r="B89" s="1687"/>
      <c r="C89" s="1676"/>
      <c r="D89" s="1865"/>
      <c r="E89" s="1562">
        <f t="shared" si="2"/>
        <v>0</v>
      </c>
      <c r="F89" s="1813">
        <f t="shared" si="3"/>
        <v>0</v>
      </c>
      <c r="G89" s="1814">
        <f t="shared" si="4"/>
        <v>0</v>
      </c>
    </row>
    <row r="90" spans="1:7" x14ac:dyDescent="0.25">
      <c r="A90" s="1955"/>
      <c r="B90" s="1687"/>
      <c r="C90" s="1676"/>
      <c r="D90" s="1865"/>
      <c r="E90" s="1562">
        <f t="shared" si="2"/>
        <v>0</v>
      </c>
      <c r="F90" s="1813">
        <f t="shared" si="3"/>
        <v>0</v>
      </c>
      <c r="G90" s="1814">
        <f t="shared" si="4"/>
        <v>0</v>
      </c>
    </row>
    <row r="91" spans="1:7" x14ac:dyDescent="0.25">
      <c r="A91" s="1955"/>
      <c r="B91" s="1687"/>
      <c r="C91" s="1676"/>
      <c r="D91" s="1865"/>
      <c r="E91" s="1562">
        <f t="shared" si="2"/>
        <v>0</v>
      </c>
      <c r="F91" s="1813">
        <f t="shared" si="3"/>
        <v>0</v>
      </c>
      <c r="G91" s="1814">
        <f t="shared" si="4"/>
        <v>0</v>
      </c>
    </row>
    <row r="92" spans="1:7" x14ac:dyDescent="0.25">
      <c r="A92" s="1955"/>
      <c r="B92" s="1687"/>
      <c r="C92" s="1676"/>
      <c r="D92" s="1865"/>
      <c r="E92" s="1562">
        <f t="shared" si="2"/>
        <v>0</v>
      </c>
      <c r="F92" s="1813">
        <f t="shared" si="3"/>
        <v>0</v>
      </c>
      <c r="G92" s="1814">
        <f t="shared" si="4"/>
        <v>0</v>
      </c>
    </row>
    <row r="93" spans="1:7" x14ac:dyDescent="0.25">
      <c r="A93" s="195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955"/>
      <c r="B94" s="1687"/>
      <c r="C94" s="1676"/>
      <c r="D94" s="1865"/>
      <c r="E94" s="1562">
        <f t="shared" si="2"/>
        <v>0</v>
      </c>
      <c r="F94" s="1813">
        <f t="shared" si="3"/>
        <v>0</v>
      </c>
      <c r="G94" s="1814">
        <f t="shared" si="4"/>
        <v>0</v>
      </c>
    </row>
    <row r="95" spans="1:7" x14ac:dyDescent="0.25">
      <c r="A95" s="195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955"/>
      <c r="B96" s="1687"/>
      <c r="C96" s="1676"/>
      <c r="D96" s="1865"/>
      <c r="E96" s="1562">
        <f t="shared" si="11"/>
        <v>0</v>
      </c>
      <c r="F96" s="1813">
        <f t="shared" si="12"/>
        <v>0</v>
      </c>
      <c r="G96" s="1814">
        <f t="shared" si="13"/>
        <v>0</v>
      </c>
    </row>
    <row r="97" spans="1:7" x14ac:dyDescent="0.25">
      <c r="A97" s="1955"/>
      <c r="B97" s="1687"/>
      <c r="C97" s="1676"/>
      <c r="D97" s="1865"/>
      <c r="E97" s="1562">
        <f t="shared" si="11"/>
        <v>0</v>
      </c>
      <c r="F97" s="1813">
        <f t="shared" si="12"/>
        <v>0</v>
      </c>
      <c r="G97" s="1814">
        <f t="shared" si="13"/>
        <v>0</v>
      </c>
    </row>
    <row r="98" spans="1:7" x14ac:dyDescent="0.25">
      <c r="A98" s="1955"/>
      <c r="B98" s="1687"/>
      <c r="C98" s="1676"/>
      <c r="D98" s="1865"/>
      <c r="E98" s="1562">
        <f t="shared" si="11"/>
        <v>0</v>
      </c>
      <c r="F98" s="1813">
        <f t="shared" si="12"/>
        <v>0</v>
      </c>
      <c r="G98" s="1814">
        <f t="shared" si="13"/>
        <v>0</v>
      </c>
    </row>
    <row r="99" spans="1:7" x14ac:dyDescent="0.25">
      <c r="A99" s="195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95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955"/>
      <c r="B101" s="1687"/>
      <c r="C101" s="1676"/>
      <c r="D101" s="1865"/>
      <c r="E101" s="1562">
        <f t="shared" si="17"/>
        <v>0</v>
      </c>
      <c r="F101" s="1813">
        <f t="shared" si="18"/>
        <v>0</v>
      </c>
      <c r="G101" s="1814">
        <f t="shared" si="19"/>
        <v>0</v>
      </c>
    </row>
    <row r="102" spans="1:7" x14ac:dyDescent="0.25">
      <c r="A102" s="1955"/>
      <c r="B102" s="1687"/>
      <c r="C102" s="1676"/>
      <c r="D102" s="1865"/>
      <c r="E102" s="1562">
        <f t="shared" si="17"/>
        <v>0</v>
      </c>
      <c r="F102" s="1813">
        <f t="shared" si="18"/>
        <v>0</v>
      </c>
      <c r="G102" s="1814">
        <f t="shared" si="19"/>
        <v>0</v>
      </c>
    </row>
    <row r="103" spans="1:7" x14ac:dyDescent="0.25">
      <c r="A103" s="1955"/>
      <c r="B103" s="1687"/>
      <c r="C103" s="1676"/>
      <c r="D103" s="1865"/>
      <c r="E103" s="1562">
        <f t="shared" si="17"/>
        <v>0</v>
      </c>
      <c r="F103" s="1813">
        <f t="shared" si="18"/>
        <v>0</v>
      </c>
      <c r="G103" s="1814">
        <f t="shared" si="19"/>
        <v>0</v>
      </c>
    </row>
    <row r="104" spans="1:7" x14ac:dyDescent="0.25">
      <c r="A104" s="1955"/>
      <c r="B104" s="1687"/>
      <c r="C104" s="1676"/>
      <c r="D104" s="1865"/>
      <c r="E104" s="1562">
        <f t="shared" si="17"/>
        <v>0</v>
      </c>
      <c r="F104" s="1813">
        <f t="shared" si="18"/>
        <v>0</v>
      </c>
      <c r="G104" s="1814">
        <f t="shared" si="19"/>
        <v>0</v>
      </c>
    </row>
    <row r="105" spans="1:7" x14ac:dyDescent="0.25">
      <c r="A105" s="1955"/>
      <c r="B105" s="1687"/>
      <c r="C105" s="1676"/>
      <c r="D105" s="1865"/>
      <c r="E105" s="1562">
        <f t="shared" si="17"/>
        <v>0</v>
      </c>
      <c r="F105" s="1813">
        <f t="shared" si="18"/>
        <v>0</v>
      </c>
      <c r="G105" s="1814">
        <f t="shared" si="19"/>
        <v>0</v>
      </c>
    </row>
    <row r="106" spans="1:7" x14ac:dyDescent="0.25">
      <c r="A106" s="1955"/>
      <c r="B106" s="1687"/>
      <c r="C106" s="1676"/>
      <c r="D106" s="1865"/>
      <c r="E106" s="1562">
        <f t="shared" si="17"/>
        <v>0</v>
      </c>
      <c r="F106" s="1813">
        <f t="shared" si="18"/>
        <v>0</v>
      </c>
      <c r="G106" s="1814">
        <f t="shared" si="19"/>
        <v>0</v>
      </c>
    </row>
    <row r="107" spans="1:7" x14ac:dyDescent="0.25">
      <c r="A107" s="1955"/>
      <c r="B107" s="1687"/>
      <c r="C107" s="1676"/>
      <c r="D107" s="1865"/>
      <c r="E107" s="1562">
        <f t="shared" si="17"/>
        <v>0</v>
      </c>
      <c r="F107" s="1813">
        <f t="shared" si="18"/>
        <v>0</v>
      </c>
      <c r="G107" s="1814">
        <f t="shared" si="19"/>
        <v>0</v>
      </c>
    </row>
    <row r="108" spans="1:7" x14ac:dyDescent="0.25">
      <c r="A108" s="1955"/>
      <c r="B108" s="1687"/>
      <c r="C108" s="1676"/>
      <c r="D108" s="1865"/>
      <c r="E108" s="1562">
        <f t="shared" si="17"/>
        <v>0</v>
      </c>
      <c r="F108" s="1813">
        <f t="shared" si="18"/>
        <v>0</v>
      </c>
      <c r="G108" s="1814">
        <f t="shared" si="19"/>
        <v>0</v>
      </c>
    </row>
    <row r="109" spans="1:7" x14ac:dyDescent="0.25">
      <c r="A109" s="1955"/>
      <c r="B109" s="1687"/>
      <c r="C109" s="1676"/>
      <c r="D109" s="1865"/>
      <c r="E109" s="1562">
        <f t="shared" si="17"/>
        <v>0</v>
      </c>
      <c r="F109" s="1813">
        <f t="shared" si="18"/>
        <v>0</v>
      </c>
      <c r="G109" s="1814">
        <f t="shared" si="19"/>
        <v>0</v>
      </c>
    </row>
    <row r="110" spans="1:7" x14ac:dyDescent="0.25">
      <c r="A110" s="1955"/>
      <c r="B110" s="1687"/>
      <c r="C110" s="1676"/>
      <c r="D110" s="1865"/>
      <c r="E110" s="1562">
        <f t="shared" si="17"/>
        <v>0</v>
      </c>
      <c r="F110" s="1813">
        <f t="shared" si="18"/>
        <v>0</v>
      </c>
      <c r="G110" s="1814">
        <f t="shared" si="19"/>
        <v>0</v>
      </c>
    </row>
    <row r="111" spans="1:7" x14ac:dyDescent="0.25">
      <c r="A111" s="1955"/>
      <c r="B111" s="1687"/>
      <c r="C111" s="1676"/>
      <c r="D111" s="1865"/>
      <c r="E111" s="1562">
        <f t="shared" si="17"/>
        <v>0</v>
      </c>
      <c r="F111" s="1813">
        <f t="shared" si="18"/>
        <v>0</v>
      </c>
      <c r="G111" s="1814">
        <f t="shared" si="19"/>
        <v>0</v>
      </c>
    </row>
    <row r="112" spans="1:7" x14ac:dyDescent="0.25">
      <c r="A112" s="1955"/>
      <c r="B112" s="1687"/>
      <c r="C112" s="1676"/>
      <c r="D112" s="1865"/>
      <c r="E112" s="1562">
        <f t="shared" si="17"/>
        <v>0</v>
      </c>
      <c r="F112" s="1813">
        <f t="shared" si="18"/>
        <v>0</v>
      </c>
      <c r="G112" s="1814">
        <f t="shared" si="19"/>
        <v>0</v>
      </c>
    </row>
    <row r="113" spans="1:7" x14ac:dyDescent="0.25">
      <c r="A113" s="195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955"/>
      <c r="B114" s="1687"/>
      <c r="C114" s="1676"/>
      <c r="D114" s="1865"/>
      <c r="E114" s="1562">
        <f t="shared" si="20"/>
        <v>0</v>
      </c>
      <c r="F114" s="1813">
        <f t="shared" si="21"/>
        <v>0</v>
      </c>
      <c r="G114" s="1814">
        <f t="shared" si="22"/>
        <v>0</v>
      </c>
    </row>
    <row r="115" spans="1:7" x14ac:dyDescent="0.25">
      <c r="A115" s="1955"/>
      <c r="B115" s="1687"/>
      <c r="C115" s="1676"/>
      <c r="D115" s="1865"/>
      <c r="E115" s="1562">
        <f t="shared" si="20"/>
        <v>0</v>
      </c>
      <c r="F115" s="1813">
        <f t="shared" si="21"/>
        <v>0</v>
      </c>
      <c r="G115" s="1814">
        <f t="shared" si="22"/>
        <v>0</v>
      </c>
    </row>
    <row r="116" spans="1:7" x14ac:dyDescent="0.25">
      <c r="A116" s="1955"/>
      <c r="B116" s="1687"/>
      <c r="C116" s="1676"/>
      <c r="D116" s="1865"/>
      <c r="E116" s="1562">
        <f t="shared" si="20"/>
        <v>0</v>
      </c>
      <c r="F116" s="1813">
        <f t="shared" si="21"/>
        <v>0</v>
      </c>
      <c r="G116" s="1814">
        <f t="shared" si="22"/>
        <v>0</v>
      </c>
    </row>
    <row r="117" spans="1:7" x14ac:dyDescent="0.25">
      <c r="A117" s="1955"/>
      <c r="B117" s="1687"/>
      <c r="C117" s="1676"/>
      <c r="D117" s="1865"/>
      <c r="E117" s="1562">
        <f t="shared" si="20"/>
        <v>0</v>
      </c>
      <c r="F117" s="1813">
        <f t="shared" si="21"/>
        <v>0</v>
      </c>
      <c r="G117" s="1814">
        <f t="shared" si="22"/>
        <v>0</v>
      </c>
    </row>
    <row r="118" spans="1:7" x14ac:dyDescent="0.25">
      <c r="A118" s="1955"/>
      <c r="B118" s="1687"/>
      <c r="C118" s="1676"/>
      <c r="D118" s="1865"/>
      <c r="E118" s="1562">
        <f t="shared" si="20"/>
        <v>0</v>
      </c>
      <c r="F118" s="1813">
        <f t="shared" si="21"/>
        <v>0</v>
      </c>
      <c r="G118" s="1814">
        <f t="shared" si="22"/>
        <v>0</v>
      </c>
    </row>
    <row r="119" spans="1:7" x14ac:dyDescent="0.25">
      <c r="A119" s="1955"/>
      <c r="B119" s="1687"/>
      <c r="C119" s="1676"/>
      <c r="D119" s="1865"/>
      <c r="E119" s="1562">
        <f t="shared" si="20"/>
        <v>0</v>
      </c>
      <c r="F119" s="1813">
        <f t="shared" si="21"/>
        <v>0</v>
      </c>
      <c r="G119" s="1814">
        <f t="shared" si="22"/>
        <v>0</v>
      </c>
    </row>
    <row r="120" spans="1:7" x14ac:dyDescent="0.25">
      <c r="A120" s="1955"/>
      <c r="B120" s="1687"/>
      <c r="C120" s="1676"/>
      <c r="D120" s="1865"/>
      <c r="E120" s="1562">
        <f t="shared" si="20"/>
        <v>0</v>
      </c>
      <c r="F120" s="1813">
        <f t="shared" si="21"/>
        <v>0</v>
      </c>
      <c r="G120" s="1814">
        <f t="shared" si="22"/>
        <v>0</v>
      </c>
    </row>
    <row r="121" spans="1:7" x14ac:dyDescent="0.25">
      <c r="A121" s="1955"/>
      <c r="B121" s="1687"/>
      <c r="C121" s="1676"/>
      <c r="D121" s="1865"/>
      <c r="E121" s="1562">
        <f t="shared" si="20"/>
        <v>0</v>
      </c>
      <c r="F121" s="1813">
        <f t="shared" si="21"/>
        <v>0</v>
      </c>
      <c r="G121" s="1814">
        <f t="shared" si="22"/>
        <v>0</v>
      </c>
    </row>
    <row r="122" spans="1:7" x14ac:dyDescent="0.25">
      <c r="A122" s="1955"/>
      <c r="B122" s="1687"/>
      <c r="C122" s="1676"/>
      <c r="D122" s="1865"/>
      <c r="E122" s="1562">
        <f t="shared" si="20"/>
        <v>0</v>
      </c>
      <c r="F122" s="1813">
        <f t="shared" si="21"/>
        <v>0</v>
      </c>
      <c r="G122" s="1814">
        <f t="shared" si="22"/>
        <v>0</v>
      </c>
    </row>
    <row r="123" spans="1:7" x14ac:dyDescent="0.25">
      <c r="A123" s="1955"/>
      <c r="B123" s="1687"/>
      <c r="C123" s="1676"/>
      <c r="D123" s="1865"/>
      <c r="E123" s="1562">
        <f t="shared" si="20"/>
        <v>0</v>
      </c>
      <c r="F123" s="1813">
        <f t="shared" si="21"/>
        <v>0</v>
      </c>
      <c r="G123" s="1814">
        <f t="shared" si="22"/>
        <v>0</v>
      </c>
    </row>
    <row r="124" spans="1:7" x14ac:dyDescent="0.25">
      <c r="A124" s="1955"/>
      <c r="B124" s="1687"/>
      <c r="C124" s="1676"/>
      <c r="D124" s="1865"/>
      <c r="E124" s="1562">
        <f t="shared" si="20"/>
        <v>0</v>
      </c>
      <c r="F124" s="1813">
        <f t="shared" si="21"/>
        <v>0</v>
      </c>
      <c r="G124" s="1814">
        <f t="shared" si="22"/>
        <v>0</v>
      </c>
    </row>
    <row r="125" spans="1:7" x14ac:dyDescent="0.25">
      <c r="A125" s="1955"/>
      <c r="B125" s="1687"/>
      <c r="C125" s="1676"/>
      <c r="D125" s="1865"/>
      <c r="E125" s="1562">
        <f t="shared" si="20"/>
        <v>0</v>
      </c>
      <c r="F125" s="1813">
        <f t="shared" si="21"/>
        <v>0</v>
      </c>
      <c r="G125" s="1814">
        <f t="shared" si="22"/>
        <v>0</v>
      </c>
    </row>
    <row r="126" spans="1:7" x14ac:dyDescent="0.25">
      <c r="A126" s="195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955"/>
      <c r="B127" s="1687"/>
      <c r="C127" s="1676"/>
      <c r="D127" s="1865"/>
      <c r="E127" s="1562">
        <f t="shared" si="23"/>
        <v>0</v>
      </c>
      <c r="F127" s="1813">
        <f t="shared" si="24"/>
        <v>0</v>
      </c>
      <c r="G127" s="1814">
        <f t="shared" si="25"/>
        <v>0</v>
      </c>
    </row>
    <row r="128" spans="1:7" x14ac:dyDescent="0.25">
      <c r="A128" s="1955"/>
      <c r="B128" s="1687"/>
      <c r="C128" s="1676"/>
      <c r="D128" s="1865"/>
      <c r="E128" s="1562">
        <f t="shared" si="23"/>
        <v>0</v>
      </c>
      <c r="F128" s="1813">
        <f t="shared" si="24"/>
        <v>0</v>
      </c>
      <c r="G128" s="1814">
        <f t="shared" si="25"/>
        <v>0</v>
      </c>
    </row>
    <row r="129" spans="1:7" x14ac:dyDescent="0.25">
      <c r="A129" s="1955"/>
      <c r="B129" s="1687"/>
      <c r="C129" s="1676"/>
      <c r="D129" s="1865"/>
      <c r="E129" s="1562">
        <f t="shared" si="23"/>
        <v>0</v>
      </c>
      <c r="F129" s="1813">
        <f t="shared" si="24"/>
        <v>0</v>
      </c>
      <c r="G129" s="1814">
        <f t="shared" si="25"/>
        <v>0</v>
      </c>
    </row>
    <row r="130" spans="1:7" x14ac:dyDescent="0.25">
      <c r="A130" s="1955"/>
      <c r="B130" s="1687"/>
      <c r="C130" s="1676"/>
      <c r="D130" s="1865"/>
      <c r="E130" s="1562">
        <f t="shared" si="23"/>
        <v>0</v>
      </c>
      <c r="F130" s="1813">
        <f t="shared" si="24"/>
        <v>0</v>
      </c>
      <c r="G130" s="1814">
        <f t="shared" si="25"/>
        <v>0</v>
      </c>
    </row>
    <row r="131" spans="1:7" x14ac:dyDescent="0.25">
      <c r="A131" s="1955"/>
      <c r="B131" s="1858"/>
      <c r="C131" s="1676"/>
      <c r="D131" s="1865"/>
      <c r="E131" s="1562">
        <f t="shared" si="23"/>
        <v>0</v>
      </c>
      <c r="F131" s="1813">
        <f t="shared" si="24"/>
        <v>0</v>
      </c>
      <c r="G131" s="1814">
        <f t="shared" si="25"/>
        <v>0</v>
      </c>
    </row>
    <row r="132" spans="1:7" x14ac:dyDescent="0.25">
      <c r="A132" s="1955"/>
      <c r="B132" s="1858"/>
      <c r="C132" s="1676"/>
      <c r="D132" s="1865"/>
      <c r="E132" s="1562">
        <f t="shared" si="23"/>
        <v>0</v>
      </c>
      <c r="F132" s="1813">
        <f t="shared" si="24"/>
        <v>0</v>
      </c>
      <c r="G132" s="1814">
        <f t="shared" si="25"/>
        <v>0</v>
      </c>
    </row>
    <row r="133" spans="1:7" x14ac:dyDescent="0.25">
      <c r="A133" s="1955"/>
      <c r="B133" s="1687"/>
      <c r="C133" s="1676"/>
      <c r="D133" s="1865"/>
      <c r="E133" s="1562">
        <f t="shared" si="23"/>
        <v>0</v>
      </c>
      <c r="F133" s="1813">
        <f t="shared" si="24"/>
        <v>0</v>
      </c>
      <c r="G133" s="1814">
        <f t="shared" si="25"/>
        <v>0</v>
      </c>
    </row>
    <row r="134" spans="1:7" x14ac:dyDescent="0.25">
      <c r="A134" s="1955"/>
      <c r="B134" s="1687"/>
      <c r="C134" s="1676"/>
      <c r="D134" s="1865"/>
      <c r="E134" s="1562">
        <f t="shared" si="23"/>
        <v>0</v>
      </c>
      <c r="F134" s="1813">
        <f t="shared" si="24"/>
        <v>0</v>
      </c>
      <c r="G134" s="1814">
        <f t="shared" si="25"/>
        <v>0</v>
      </c>
    </row>
    <row r="135" spans="1:7" x14ac:dyDescent="0.25">
      <c r="A135" s="195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955"/>
      <c r="B136" s="1687"/>
      <c r="C136" s="1676"/>
      <c r="D136" s="1865"/>
      <c r="E136" s="1562">
        <f t="shared" si="26"/>
        <v>0</v>
      </c>
      <c r="F136" s="1813">
        <f t="shared" si="27"/>
        <v>0</v>
      </c>
      <c r="G136" s="1814">
        <f t="shared" si="28"/>
        <v>0</v>
      </c>
    </row>
    <row r="137" spans="1:7" x14ac:dyDescent="0.25">
      <c r="A137" s="1955"/>
      <c r="B137" s="1687"/>
      <c r="C137" s="1676"/>
      <c r="D137" s="1865"/>
      <c r="E137" s="1562">
        <f t="shared" si="26"/>
        <v>0</v>
      </c>
      <c r="F137" s="1813">
        <f t="shared" si="27"/>
        <v>0</v>
      </c>
      <c r="G137" s="1814">
        <f t="shared" si="28"/>
        <v>0</v>
      </c>
    </row>
    <row r="138" spans="1:7" x14ac:dyDescent="0.25">
      <c r="A138" s="1955"/>
      <c r="B138" s="1687"/>
      <c r="C138" s="1676"/>
      <c r="D138" s="1865"/>
      <c r="E138" s="1562">
        <f t="shared" si="26"/>
        <v>0</v>
      </c>
      <c r="F138" s="1813">
        <f t="shared" si="27"/>
        <v>0</v>
      </c>
      <c r="G138" s="1814">
        <f t="shared" si="28"/>
        <v>0</v>
      </c>
    </row>
    <row r="139" spans="1:7" x14ac:dyDescent="0.25">
      <c r="A139" s="1955"/>
      <c r="B139" s="1687"/>
      <c r="C139" s="1676"/>
      <c r="D139" s="1865"/>
      <c r="E139" s="1562">
        <f t="shared" si="26"/>
        <v>0</v>
      </c>
      <c r="F139" s="1813">
        <f t="shared" si="27"/>
        <v>0</v>
      </c>
      <c r="G139" s="1814">
        <f t="shared" si="28"/>
        <v>0</v>
      </c>
    </row>
    <row r="140" spans="1:7" x14ac:dyDescent="0.25">
      <c r="A140" s="1955"/>
      <c r="B140" s="1686"/>
      <c r="C140" s="1676"/>
      <c r="D140" s="1865"/>
      <c r="E140" s="1562">
        <f t="shared" si="2"/>
        <v>0</v>
      </c>
      <c r="F140" s="1813">
        <f t="shared" si="3"/>
        <v>0</v>
      </c>
      <c r="G140" s="1814">
        <f t="shared" si="4"/>
        <v>0</v>
      </c>
    </row>
    <row r="141" spans="1:7" x14ac:dyDescent="0.25">
      <c r="A141" s="1817" t="s">
        <v>158</v>
      </c>
      <c r="B141" s="1818"/>
      <c r="C141" s="1819"/>
      <c r="D141" s="1815">
        <f>SUM(D17:D140)</f>
        <v>3200618.67</v>
      </c>
      <c r="E141" s="1563">
        <f t="shared" si="1"/>
        <v>25000</v>
      </c>
      <c r="F141" s="1815">
        <f>SUM(F17:F140)</f>
        <v>111601</v>
      </c>
      <c r="G141" s="1816">
        <f>SUM(G17:G140)</f>
        <v>29121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7" t="s">
        <v>1778</v>
      </c>
      <c r="B5" s="2298"/>
      <c r="C5" s="2298"/>
      <c r="D5" s="2298"/>
      <c r="E5" s="2298"/>
      <c r="F5" s="2298"/>
      <c r="G5" s="229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299812</v>
      </c>
      <c r="F10" s="975"/>
      <c r="G10" s="976"/>
      <c r="H10" s="162"/>
      <c r="I10" s="162"/>
    </row>
    <row r="11" spans="1:9" s="669" customFormat="1" ht="22.5" customHeight="1" x14ac:dyDescent="0.2">
      <c r="A11" s="2302" t="s">
        <v>1942</v>
      </c>
      <c r="B11" s="2303"/>
      <c r="C11" s="2303"/>
      <c r="D11" s="2304"/>
      <c r="E11" s="978">
        <v>65188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15115369</v>
      </c>
      <c r="F19" s="1820"/>
      <c r="G19" s="1822">
        <f>'Expenditures 15-22'!K33-SUM('Expenditures 15-22'!G33,'Expenditures 15-22'!I33)+'Expenditures 15-22'!D229</f>
        <v>15115369</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1245103</v>
      </c>
      <c r="F21" s="1823"/>
      <c r="G21" s="1826">
        <f>'Expenditures 15-22'!K42-SUM('Expenditures 15-22'!G42,'Expenditures 15-22'!I42)+'Expenditures 15-22'!K120-SUM('Expenditures 15-22'!G120,'Expenditures 15-22'!I120)+'Expenditures 15-22'!K180-SUM('Expenditures 15-22'!G180,'Expenditures 15-22'!I180)+'Expenditures 15-22'!D238</f>
        <v>1245103</v>
      </c>
      <c r="H21" s="988"/>
      <c r="I21" s="162"/>
    </row>
    <row r="22" spans="1:9" s="669" customFormat="1" ht="12" customHeight="1" x14ac:dyDescent="0.2">
      <c r="A22" s="995" t="s">
        <v>585</v>
      </c>
      <c r="B22" s="996"/>
      <c r="C22" s="994">
        <v>2200</v>
      </c>
      <c r="D22" s="1823"/>
      <c r="E22" s="1825">
        <f>'Expenditures 15-22'!K47-SUM('Expenditures 15-22'!G47,'Expenditures 15-22'!I47)+'Expenditures 15-22'!D243</f>
        <v>1434771</v>
      </c>
      <c r="F22" s="1823"/>
      <c r="G22" s="1826">
        <f>'Expenditures 15-22'!K47-SUM('Expenditures 15-22'!G47,'Expenditures 15-22'!I47)+'Expenditures 15-22'!D243</f>
        <v>1434771</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853345</v>
      </c>
      <c r="F23" s="1823"/>
      <c r="G23" s="1825">
        <f>'Expenditures 15-22'!K53-SUM('Expenditures 15-22'!G53,'Expenditures 15-22'!I53)+'Expenditures 15-22'!D257+'Expenditures 15-22'!K330-SUM('Expenditures 15-22'!G330,'Expenditures 15-22'!I330)</f>
        <v>853345</v>
      </c>
      <c r="H23" s="988"/>
      <c r="I23" s="162"/>
    </row>
    <row r="24" spans="1:9" s="669" customFormat="1" ht="12" customHeight="1" x14ac:dyDescent="0.2">
      <c r="A24" s="995" t="s">
        <v>587</v>
      </c>
      <c r="B24" s="996"/>
      <c r="C24" s="994">
        <v>2400</v>
      </c>
      <c r="D24" s="1823"/>
      <c r="E24" s="1825">
        <f>'Expenditures 15-22'!K57-SUM('Expenditures 15-22'!G57,'Expenditures 15-22'!I57)+'Expenditures 15-22'!D261</f>
        <v>1147993</v>
      </c>
      <c r="F24" s="1823"/>
      <c r="G24" s="1826">
        <f>'Expenditures 15-22'!K57-SUM('Expenditures 15-22'!G57,'Expenditures 15-22'!I57)+'Expenditures 15-22'!D261</f>
        <v>1147993</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78913</v>
      </c>
      <c r="E26" s="1825">
        <f>'Expenditures 15-22'!K122-SUM('Expenditures 15-22'!G122,'Expenditures 15-22'!I122)+E7</f>
        <v>0</v>
      </c>
      <c r="F26" s="1825">
        <f>'Expenditures 15-22'!K59-SUM('Expenditures 15-22'!G59,'Expenditures 15-22'!I59)+'Expenditures 15-22'!D263-E7</f>
        <v>78913</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221876</v>
      </c>
      <c r="E27" s="1825">
        <f>E8</f>
        <v>0</v>
      </c>
      <c r="F27" s="1825">
        <f>'Expenditures 15-22'!K60-SUM('Expenditures 15-22'!G60,'Expenditures 15-22'!I60)+'Expenditures 15-22'!D264-E8</f>
        <v>221876</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2958744</v>
      </c>
      <c r="F28" s="1827">
        <f>'Expenditures 15-22'!K61-SUM('Expenditures 15-22'!G61,'Expenditures 15-22'!I61)+'Expenditures 15-22'!K124-SUM('Expenditures 15-22'!G124,'Expenditures 15-22'!I124)+'Expenditures 15-22'!D266-E9</f>
        <v>2958744</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2036499</v>
      </c>
      <c r="F29" s="1823"/>
      <c r="G29" s="1826">
        <f>'Expenditures 15-22'!K62-SUM('Expenditures 15-22'!G62,'Expenditures 15-22'!I62)+'Expenditures 15-22'!K125-SUM('Expenditures 15-22'!G125,'Expenditures 15-22'!I125)+'Expenditures 15-22'!K182-SUM('Expenditures 15-22'!G182,'Expenditures 15-22'!I182)+'Expenditures 15-22'!D267</f>
        <v>2036499</v>
      </c>
      <c r="H29" s="986"/>
    </row>
    <row r="30" spans="1:9" ht="12" customHeight="1" x14ac:dyDescent="0.2">
      <c r="A30" s="995" t="s">
        <v>102</v>
      </c>
      <c r="B30" s="998"/>
      <c r="C30" s="994">
        <v>2560</v>
      </c>
      <c r="D30" s="1823"/>
      <c r="E30" s="1825">
        <f>'Expenditures 15-22'!K63-SUM('Expenditures 15-22'!G63,'Expenditures 15-22'!I63)+'Expenditures 15-22'!D268-E10</f>
        <v>468680</v>
      </c>
      <c r="F30" s="1823"/>
      <c r="G30" s="1825">
        <f>'Expenditures 15-22'!K63-SUM('Expenditures 15-22'!G63,'Expenditures 15-22'!I63)+'Expenditures 15-22'!D268-E10</f>
        <v>468680</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4823</v>
      </c>
      <c r="F35" s="1823"/>
      <c r="G35" s="1825">
        <f>'Expenditures 15-22'!K69-SUM('Expenditures 15-22'!G69,'Expenditures 15-22'!I69)+'Expenditures 15-22'!D274</f>
        <v>4823</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3246</v>
      </c>
      <c r="F38" s="1823"/>
      <c r="G38" s="1825">
        <f>'Expenditures 15-22'!K73-SUM('Expenditures 15-22'!G73,'Expenditures 15-22'!I73)+'Expenditures 15-22'!K128-SUM('Expenditures 15-22'!G128,'Expenditures 15-22'!I128)+'Expenditures 15-22'!K183-SUM('Expenditures 15-22'!G183,'Expenditures 15-22'!I183)+'Expenditures 15-22'!D278</f>
        <v>3246</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6630</v>
      </c>
      <c r="F39" s="1823"/>
      <c r="G39" s="1825">
        <f>'Expenditures 15-22'!K75-SUM('Expenditures 15-22'!G75,'Expenditures 15-22'!I75)+'Expenditures 15-22'!K130-SUM('Expenditures 15-22'!G130,'Expenditures 15-22'!I130)+'Expenditures 15-22'!K185-SUM('Expenditures 15-22'!G185,'Expenditures 15-22'!I185)+'Expenditures 15-22'!D280</f>
        <v>6630</v>
      </c>
    </row>
    <row r="40" spans="1:7" ht="12" customHeight="1" x14ac:dyDescent="0.2">
      <c r="A40" s="991" t="s">
        <v>1928</v>
      </c>
      <c r="B40" s="992"/>
      <c r="C40" s="994"/>
      <c r="D40" s="1823"/>
      <c r="E40" s="1827">
        <f>-'Contracts Paid in CY 29'!G141</f>
        <v>-29121</v>
      </c>
      <c r="F40" s="1823"/>
      <c r="G40" s="1827">
        <f>-'Contracts Paid in CY 29'!G141</f>
        <v>-29121</v>
      </c>
    </row>
    <row r="41" spans="1:7" ht="12" customHeight="1" x14ac:dyDescent="0.2">
      <c r="A41" s="999" t="s">
        <v>158</v>
      </c>
      <c r="B41" s="1000"/>
      <c r="C41" s="1001"/>
      <c r="D41" s="1827">
        <f>SUM(D19:D39)</f>
        <v>300789</v>
      </c>
      <c r="E41" s="1827">
        <f>SUM(E19:E40)</f>
        <v>25246082</v>
      </c>
      <c r="F41" s="1827">
        <f>SUM(F19:F39)</f>
        <v>3259533</v>
      </c>
      <c r="G41" s="1827">
        <f>SUM(G19:G40)</f>
        <v>22287338</v>
      </c>
    </row>
    <row r="42" spans="1:7" x14ac:dyDescent="0.2">
      <c r="A42" s="988"/>
      <c r="B42" s="162"/>
      <c r="C42" s="1002"/>
      <c r="D42" s="2300" t="s">
        <v>543</v>
      </c>
      <c r="E42" s="2301"/>
      <c r="F42" s="1003" t="s">
        <v>544</v>
      </c>
      <c r="G42" s="1004"/>
    </row>
    <row r="43" spans="1:7" ht="12" customHeight="1" x14ac:dyDescent="0.2">
      <c r="A43" s="988"/>
      <c r="B43" s="162"/>
      <c r="C43" s="1002"/>
      <c r="D43" s="1828" t="s">
        <v>493</v>
      </c>
      <c r="E43" s="1829">
        <f>D41</f>
        <v>300789</v>
      </c>
      <c r="F43" s="1828" t="s">
        <v>495</v>
      </c>
      <c r="G43" s="1829">
        <f>F41</f>
        <v>3259533</v>
      </c>
    </row>
    <row r="44" spans="1:7" ht="12" customHeight="1" x14ac:dyDescent="0.2">
      <c r="A44" s="988"/>
      <c r="B44" s="162"/>
      <c r="C44" s="1002"/>
      <c r="D44" s="1828" t="s">
        <v>494</v>
      </c>
      <c r="E44" s="1829">
        <f>E41</f>
        <v>25246082</v>
      </c>
      <c r="F44" s="1828" t="s">
        <v>494</v>
      </c>
      <c r="G44" s="1829">
        <f>G41</f>
        <v>22287338</v>
      </c>
    </row>
    <row r="45" spans="1:7" ht="12" customHeight="1" x14ac:dyDescent="0.2">
      <c r="A45" s="988"/>
      <c r="B45" s="162"/>
      <c r="C45" s="162"/>
      <c r="D45" s="1830" t="s">
        <v>1063</v>
      </c>
      <c r="E45" s="1831">
        <f>(E43/E44)</f>
        <v>1.1914284363015219E-2</v>
      </c>
      <c r="F45" s="1830" t="s">
        <v>1063</v>
      </c>
      <c r="G45" s="1831">
        <f>(G43/G44)</f>
        <v>0.14625044049675201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19" t="s">
        <v>1446</v>
      </c>
      <c r="B1" s="2319"/>
      <c r="C1" s="2319"/>
      <c r="D1" s="2319"/>
      <c r="E1" s="2319"/>
      <c r="F1" s="2319"/>
    </row>
    <row r="2" spans="1:10" x14ac:dyDescent="0.2">
      <c r="A2" s="1908" t="s">
        <v>2044</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0" t="s">
        <v>1627</v>
      </c>
      <c r="B5" s="2321"/>
      <c r="C5" s="2322"/>
      <c r="D5" s="2322"/>
      <c r="E5" s="2322"/>
      <c r="F5" s="2322"/>
    </row>
    <row r="6" spans="1:10" ht="12" customHeight="1" x14ac:dyDescent="0.25">
      <c r="A6" s="1871"/>
      <c r="B6" s="1872"/>
      <c r="C6" s="2323" t="str">
        <f>COVER!A17</f>
        <v>Coal City Community Unit School District #1</v>
      </c>
      <c r="D6" s="2323"/>
      <c r="E6" s="2323"/>
      <c r="F6" s="1873"/>
    </row>
    <row r="7" spans="1:10" ht="11.25" customHeight="1" thickBot="1" x14ac:dyDescent="0.3">
      <c r="A7" s="1871"/>
      <c r="B7" s="1872"/>
      <c r="C7" s="2324">
        <f>COVER!A13</f>
        <v>24032001026</v>
      </c>
      <c r="D7" s="2324"/>
      <c r="E7" s="2324"/>
      <c r="F7" s="1873"/>
    </row>
    <row r="8" spans="1:10" ht="25.5" customHeight="1" thickBot="1" x14ac:dyDescent="0.25">
      <c r="A8" s="1914" t="s">
        <v>2021</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t="s">
        <v>2075</v>
      </c>
      <c r="D15" s="1886" t="s">
        <v>2075</v>
      </c>
      <c r="E15" s="1889"/>
      <c r="F15" s="1888" t="s">
        <v>2157</v>
      </c>
      <c r="H15" s="1899">
        <f t="shared" si="0"/>
        <v>5</v>
      </c>
      <c r="I15" s="1899">
        <f t="shared" si="1"/>
        <v>5</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t="s">
        <v>2075</v>
      </c>
      <c r="D20" s="1886" t="s">
        <v>2075</v>
      </c>
      <c r="E20" s="1889"/>
      <c r="F20" s="1888" t="s">
        <v>2158</v>
      </c>
      <c r="H20" s="1899">
        <f t="shared" si="0"/>
        <v>5</v>
      </c>
      <c r="I20" s="1899">
        <f t="shared" si="1"/>
        <v>5</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2075</v>
      </c>
      <c r="D26" s="1886" t="s">
        <v>2075</v>
      </c>
      <c r="E26" s="1889"/>
      <c r="F26" s="1888" t="s">
        <v>2159</v>
      </c>
      <c r="H26" s="1899">
        <f t="shared" si="0"/>
        <v>5</v>
      </c>
      <c r="I26" s="1899">
        <f t="shared" si="1"/>
        <v>5</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2075</v>
      </c>
      <c r="D28" s="1886" t="s">
        <v>2075</v>
      </c>
      <c r="E28" s="1889"/>
      <c r="F28" s="1888" t="s">
        <v>2160</v>
      </c>
      <c r="H28" s="1899">
        <f t="shared" si="0"/>
        <v>5</v>
      </c>
      <c r="I28" s="1899">
        <f t="shared" si="1"/>
        <v>5</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t="s">
        <v>2075</v>
      </c>
      <c r="D30" s="1886" t="s">
        <v>2075</v>
      </c>
      <c r="E30" s="1889"/>
      <c r="F30" s="1888" t="s">
        <v>2126</v>
      </c>
      <c r="H30" s="1899">
        <f t="shared" si="0"/>
        <v>5</v>
      </c>
      <c r="I30" s="1899">
        <f t="shared" si="1"/>
        <v>5</v>
      </c>
      <c r="J30" s="1899">
        <f t="shared" si="2"/>
        <v>0</v>
      </c>
    </row>
    <row r="31" spans="1:12" ht="12" customHeight="1" x14ac:dyDescent="0.2">
      <c r="A31" s="1884" t="s">
        <v>1620</v>
      </c>
      <c r="B31" s="1885"/>
      <c r="C31" s="1886" t="s">
        <v>2075</v>
      </c>
      <c r="D31" s="1886" t="s">
        <v>2075</v>
      </c>
      <c r="E31" s="1889"/>
      <c r="F31" s="1888" t="s">
        <v>2161</v>
      </c>
      <c r="H31" s="1899">
        <f t="shared" si="0"/>
        <v>5</v>
      </c>
      <c r="I31" s="1899">
        <f t="shared" si="1"/>
        <v>5</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30</v>
      </c>
      <c r="I34" s="1899">
        <f>SUM(I11:I32)</f>
        <v>30</v>
      </c>
      <c r="J34" s="1899">
        <f>SUM(J11:J32)</f>
        <v>0</v>
      </c>
      <c r="K34" s="1899">
        <f>SUM(H34:J34)</f>
        <v>60</v>
      </c>
    </row>
    <row r="35" spans="1:11" ht="12" customHeight="1" x14ac:dyDescent="0.2">
      <c r="A35" s="1892" t="s">
        <v>1459</v>
      </c>
      <c r="B35" s="1893"/>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4"/>
      <c r="B39" s="1894"/>
      <c r="C39" s="1894"/>
      <c r="D39" s="1894"/>
      <c r="E39" s="1894"/>
      <c r="F39" s="1894"/>
    </row>
    <row r="40" spans="1:11" s="1891" customFormat="1" ht="12" customHeight="1" x14ac:dyDescent="0.25">
      <c r="A40" s="1895" t="s">
        <v>1458</v>
      </c>
      <c r="B40" s="1896"/>
      <c r="C40" s="2314"/>
      <c r="D40" s="2314"/>
      <c r="E40" s="2314"/>
      <c r="F40" s="2315"/>
      <c r="H40" s="1900"/>
      <c r="I40" s="1900"/>
      <c r="J40" s="1900"/>
      <c r="K40" s="1900"/>
    </row>
    <row r="41" spans="1:11" s="1891" customFormat="1" ht="12" customHeight="1" x14ac:dyDescent="0.25">
      <c r="A41" s="2316"/>
      <c r="B41" s="2317"/>
      <c r="C41" s="2317"/>
      <c r="D41" s="2317"/>
      <c r="E41" s="2317"/>
      <c r="F41" s="2318"/>
      <c r="H41" s="1900"/>
      <c r="I41" s="1900"/>
      <c r="J41" s="1900"/>
      <c r="K41" s="1900"/>
    </row>
    <row r="42" spans="1:11" s="1891" customFormat="1" ht="12" customHeight="1" x14ac:dyDescent="0.25">
      <c r="A42" s="2316"/>
      <c r="B42" s="2317"/>
      <c r="C42" s="2317"/>
      <c r="D42" s="2317"/>
      <c r="E42" s="2317"/>
      <c r="F42" s="2318"/>
      <c r="H42" s="1900"/>
      <c r="I42" s="1900"/>
      <c r="J42" s="1900"/>
      <c r="K42" s="1900"/>
    </row>
    <row r="43" spans="1:11" s="1891" customFormat="1" ht="15" x14ac:dyDescent="0.25">
      <c r="A43" s="2305"/>
      <c r="B43" s="2306"/>
      <c r="C43" s="2306"/>
      <c r="D43" s="2306"/>
      <c r="E43" s="2306"/>
      <c r="F43" s="2307"/>
      <c r="H43" s="1900"/>
      <c r="I43" s="1900"/>
      <c r="J43" s="1900"/>
      <c r="K43" s="1900"/>
    </row>
    <row r="44" spans="1:11" s="1891" customFormat="1" ht="12" hidden="1" customHeight="1" x14ac:dyDescent="0.25">
      <c r="A44" s="2305"/>
      <c r="B44" s="2306"/>
      <c r="C44" s="2306"/>
      <c r="D44" s="2306"/>
      <c r="E44" s="2306"/>
      <c r="F44" s="230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2" t="str">
        <f>COVER!A17</f>
        <v>Coal City Community Unit School District #1</v>
      </c>
      <c r="J6" s="2333"/>
      <c r="Q6" s="1684"/>
    </row>
    <row r="7" spans="1:17" x14ac:dyDescent="0.2">
      <c r="A7" s="2334" t="s">
        <v>924</v>
      </c>
      <c r="B7" s="2335"/>
      <c r="C7" s="2335"/>
      <c r="D7" s="2335"/>
      <c r="E7" s="2336"/>
      <c r="F7" s="1018"/>
      <c r="G7" s="1010"/>
      <c r="H7" s="1017" t="s">
        <v>390</v>
      </c>
      <c r="I7" s="2337">
        <f>COVER!A13</f>
        <v>24032001026</v>
      </c>
      <c r="J7" s="233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8" t="s">
        <v>502</v>
      </c>
      <c r="B11" s="2339"/>
      <c r="C11" s="234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293076</v>
      </c>
      <c r="F12" s="1040"/>
      <c r="G12" s="1832">
        <f t="shared" ref="G12:G18" si="0">SUM(E12:F12)</f>
        <v>293076</v>
      </c>
      <c r="H12" s="1041">
        <v>297500</v>
      </c>
      <c r="I12" s="1040"/>
      <c r="J12" s="1832">
        <f t="shared" ref="J12:J18" si="1">SUM(H12:I12)</f>
        <v>297500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2560</v>
      </c>
      <c r="F14" s="1040"/>
      <c r="G14" s="1832">
        <f t="shared" si="0"/>
        <v>2560</v>
      </c>
      <c r="H14" s="1041">
        <v>3000</v>
      </c>
      <c r="I14" s="1040"/>
      <c r="J14" s="1832">
        <f t="shared" si="1"/>
        <v>3000</v>
      </c>
    </row>
    <row r="15" spans="1:17" ht="15" customHeight="1" x14ac:dyDescent="0.2">
      <c r="A15" s="1036">
        <v>4</v>
      </c>
      <c r="B15" s="1037" t="s">
        <v>1128</v>
      </c>
      <c r="C15" s="1038"/>
      <c r="D15" s="1039">
        <v>2510</v>
      </c>
      <c r="E15" s="1832">
        <f>'Expenditures 15-22'!K59</f>
        <v>78122</v>
      </c>
      <c r="F15" s="1832">
        <f>'Expenditures 15-22'!K122</f>
        <v>0</v>
      </c>
      <c r="G15" s="1832">
        <f t="shared" si="0"/>
        <v>78122</v>
      </c>
      <c r="H15" s="1041">
        <v>90200</v>
      </c>
      <c r="I15" s="1041"/>
      <c r="J15" s="1832">
        <f t="shared" si="1"/>
        <v>90200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1" t="s">
        <v>7</v>
      </c>
      <c r="C18" s="2342"/>
      <c r="D18" s="2343"/>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373758</v>
      </c>
      <c r="F19" s="1834">
        <f t="shared" si="2"/>
        <v>0</v>
      </c>
      <c r="G19" s="1834">
        <f t="shared" si="2"/>
        <v>373758</v>
      </c>
      <c r="H19" s="1834">
        <f t="shared" si="2"/>
        <v>390700</v>
      </c>
      <c r="I19" s="1834">
        <f t="shared" si="2"/>
        <v>0</v>
      </c>
      <c r="J19" s="1834">
        <f t="shared" si="2"/>
        <v>390700</v>
      </c>
    </row>
    <row r="20" spans="1:10" ht="13.5" thickTop="1" x14ac:dyDescent="0.2">
      <c r="A20" s="1036">
        <v>9</v>
      </c>
      <c r="B20" s="2344" t="s">
        <v>1703</v>
      </c>
      <c r="C20" s="2344"/>
      <c r="D20" s="2345"/>
      <c r="E20" s="1047"/>
      <c r="F20" s="1047"/>
      <c r="G20" s="1047"/>
      <c r="H20" s="1047"/>
      <c r="I20" s="1047"/>
      <c r="J20" s="1835">
        <f>IF(AND(G19&gt;0,J19&gt;0),(((J19-G19)/G19)),"Enter Budget Data")</f>
        <v>4.5328795637819122E-2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0"/>
      <c r="D26" s="2350"/>
      <c r="E26" s="1051"/>
      <c r="F26" s="2349"/>
      <c r="G26" s="2349"/>
    </row>
    <row r="27" spans="1:10" x14ac:dyDescent="0.2">
      <c r="B27" s="1048"/>
      <c r="C27" s="1052" t="s">
        <v>1093</v>
      </c>
      <c r="D27" s="1053"/>
      <c r="E27" s="1054"/>
      <c r="F27" s="2346" t="s">
        <v>1589</v>
      </c>
      <c r="G27" s="2346"/>
    </row>
    <row r="28" spans="1:10" ht="28.5" customHeight="1" x14ac:dyDescent="0.2">
      <c r="B28" s="1048"/>
      <c r="C28" s="2348"/>
      <c r="D28" s="2348"/>
      <c r="E28" s="1055"/>
      <c r="F28" s="2348"/>
      <c r="G28" s="2348"/>
    </row>
    <row r="29" spans="1:10" x14ac:dyDescent="0.2">
      <c r="B29" s="1048"/>
      <c r="C29" s="1056" t="s">
        <v>1642</v>
      </c>
      <c r="E29" s="1057"/>
      <c r="F29" s="2347" t="s">
        <v>1590</v>
      </c>
      <c r="G29" s="234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3"/>
    </row>
    <row r="36" spans="1:10" ht="13.5" customHeight="1" x14ac:dyDescent="0.2">
      <c r="B36" s="1062"/>
      <c r="C36" s="2331" t="s">
        <v>1941</v>
      </c>
      <c r="D36" s="2330"/>
      <c r="E36" s="2330"/>
      <c r="F36" s="2330"/>
      <c r="G36" s="2330"/>
      <c r="H36" s="2330"/>
      <c r="I36" s="2330"/>
      <c r="J36" s="1064"/>
    </row>
    <row r="37" spans="1:10" ht="22.5" customHeight="1" x14ac:dyDescent="0.2">
      <c r="C37" s="2330"/>
      <c r="D37" s="2330"/>
      <c r="E37" s="2330"/>
      <c r="F37" s="2330"/>
      <c r="G37" s="2330"/>
      <c r="H37" s="2330"/>
      <c r="I37" s="2330"/>
      <c r="J37" s="1064"/>
    </row>
    <row r="38" spans="1:10" ht="7.5" customHeight="1" x14ac:dyDescent="0.2">
      <c r="C38" s="1063"/>
      <c r="D38" s="1065"/>
      <c r="E38" s="1066"/>
      <c r="F38" s="1067"/>
      <c r="G38" s="1066"/>
    </row>
    <row r="39" spans="1:10" ht="13.5" customHeight="1" x14ac:dyDescent="0.2">
      <c r="B39" s="1062"/>
      <c r="C39" s="2327" t="s">
        <v>937</v>
      </c>
      <c r="D39" s="2328"/>
      <c r="E39" s="2328"/>
      <c r="F39" s="2328"/>
      <c r="G39" s="2328"/>
      <c r="H39" s="2328"/>
      <c r="I39" s="232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7" sqref="A1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2162</v>
      </c>
    </row>
    <row r="6" spans="1:2" x14ac:dyDescent="0.2">
      <c r="A6" s="1069">
        <v>2</v>
      </c>
      <c r="B6" s="329" t="s">
        <v>2163</v>
      </c>
    </row>
    <row r="7" spans="1:2" x14ac:dyDescent="0.2">
      <c r="A7" s="1069">
        <v>3</v>
      </c>
      <c r="B7" s="329" t="s">
        <v>2164</v>
      </c>
    </row>
    <row r="8" spans="1:2" x14ac:dyDescent="0.2">
      <c r="A8" s="1069">
        <v>4</v>
      </c>
      <c r="B8" s="329" t="s">
        <v>2165</v>
      </c>
    </row>
    <row r="9" spans="1:2" x14ac:dyDescent="0.2">
      <c r="A9" s="1069">
        <v>5</v>
      </c>
      <c r="B9" s="329" t="s">
        <v>2186</v>
      </c>
    </row>
    <row r="10" spans="1:2" x14ac:dyDescent="0.2">
      <c r="A10" s="1069">
        <v>6</v>
      </c>
      <c r="B10" s="329" t="s">
        <v>2187</v>
      </c>
    </row>
    <row r="11" spans="1:2" x14ac:dyDescent="0.2">
      <c r="A11" s="1069">
        <v>7</v>
      </c>
      <c r="B11" s="329" t="s">
        <v>2166</v>
      </c>
    </row>
    <row r="12" spans="1:2" x14ac:dyDescent="0.2">
      <c r="A12" s="1069">
        <v>8</v>
      </c>
      <c r="B12" s="329" t="s">
        <v>2167</v>
      </c>
    </row>
    <row r="13" spans="1:2" x14ac:dyDescent="0.2">
      <c r="A13" s="1069">
        <v>9</v>
      </c>
      <c r="B13" s="329" t="s">
        <v>2188</v>
      </c>
    </row>
    <row r="14" spans="1:2" x14ac:dyDescent="0.2">
      <c r="A14" s="1069">
        <v>10</v>
      </c>
      <c r="B14" s="329" t="s">
        <v>2189</v>
      </c>
    </row>
    <row r="15" spans="1:2" x14ac:dyDescent="0.2">
      <c r="A15" s="1069">
        <v>11</v>
      </c>
      <c r="B15" s="329" t="s">
        <v>2190</v>
      </c>
    </row>
    <row r="16" spans="1:2" x14ac:dyDescent="0.2">
      <c r="A16" s="1069">
        <v>12</v>
      </c>
      <c r="B16" s="329" t="s">
        <v>2191</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Coal City Community Unit School District #1</v>
      </c>
    </row>
    <row r="65" spans="2:2" x14ac:dyDescent="0.2">
      <c r="B65" s="1071">
        <f>COVER!A13</f>
        <v>24032001026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1" t="s">
        <v>1784</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11" dvAspect="DVASPECT_ICON" shapeId="50177" r:id="rId4"/>
      </mc:Fallback>
    </mc:AlternateContent>
    <mc:AlternateContent xmlns:mc="http://schemas.openxmlformats.org/markup-compatibility/2006">
      <mc:Choice Requires="x14">
        <oleObject progId="AcroExch.Document.11" dvAspect="DVASPECT_ICON" shapeId="50178" r:id="rId6">
          <objectPr defaultSize="0" r:id="rId5">
            <anchor moveWithCells="1">
              <from>
                <xdr:col>0</xdr:col>
                <xdr:colOff>0</xdr:colOff>
                <xdr:row>5</xdr:row>
                <xdr:rowOff>0</xdr:rowOff>
              </from>
              <to>
                <xdr:col>1</xdr:col>
                <xdr:colOff>790575</xdr:colOff>
                <xdr:row>9</xdr:row>
                <xdr:rowOff>38100</xdr:rowOff>
              </to>
            </anchor>
          </objectPr>
        </oleObject>
      </mc:Choice>
      <mc:Fallback>
        <oleObject progId="AcroExch.Document.11" dvAspect="DVASPECT_ICON" shapeId="50178" r:id="rId6"/>
      </mc:Fallback>
    </mc:AlternateContent>
    <mc:AlternateContent xmlns:mc="http://schemas.openxmlformats.org/markup-compatibility/2006">
      <mc:Choice Requires="x14">
        <oleObject progId="AcroExch.Document.11" dvAspect="DVASPECT_ICON" shapeId="50179" r:id="rId7">
          <objectPr defaultSize="0" r:id="rId5">
            <anchor moveWithCells="1">
              <from>
                <xdr:col>0</xdr:col>
                <xdr:colOff>0</xdr:colOff>
                <xdr:row>10</xdr:row>
                <xdr:rowOff>0</xdr:rowOff>
              </from>
              <to>
                <xdr:col>1</xdr:col>
                <xdr:colOff>790575</xdr:colOff>
                <xdr:row>14</xdr:row>
                <xdr:rowOff>38100</xdr:rowOff>
              </to>
            </anchor>
          </objectPr>
        </oleObject>
      </mc:Choice>
      <mc:Fallback>
        <oleObject progId="AcroExch.Document.11" dvAspect="DVASPECT_ICON" shapeId="50179" r:id="rId7"/>
      </mc:Fallback>
    </mc:AlternateContent>
    <mc:AlternateContent xmlns:mc="http://schemas.openxmlformats.org/markup-compatibility/2006">
      <mc:Choice Requires="x14">
        <oleObject progId="AcroExch.Document.11" dvAspect="DVASPECT_ICON" shapeId="50180" r:id="rId8">
          <objectPr defaultSize="0" r:id="rId9">
            <anchor moveWithCells="1">
              <from>
                <xdr:col>1</xdr:col>
                <xdr:colOff>885825</xdr:colOff>
                <xdr:row>0</xdr:row>
                <xdr:rowOff>0</xdr:rowOff>
              </from>
              <to>
                <xdr:col>1</xdr:col>
                <xdr:colOff>1800225</xdr:colOff>
                <xdr:row>4</xdr:row>
                <xdr:rowOff>38100</xdr:rowOff>
              </to>
            </anchor>
          </objectPr>
        </oleObject>
      </mc:Choice>
      <mc:Fallback>
        <oleObject progId="AcroExch.Document.11"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5"/>
      <c r="H2" s="1075"/>
    </row>
    <row r="3" spans="1:8" ht="57" customHeight="1" x14ac:dyDescent="0.2">
      <c r="A3" s="2365" t="s">
        <v>1786</v>
      </c>
      <c r="B3" s="2366"/>
      <c r="C3" s="2366"/>
      <c r="D3" s="2366"/>
      <c r="E3" s="2366"/>
      <c r="F3" s="2367"/>
      <c r="G3" s="1075"/>
      <c r="H3" s="1075"/>
    </row>
    <row r="4" spans="1:8" ht="14.25" customHeight="1" x14ac:dyDescent="0.2">
      <c r="A4" s="2371" t="s">
        <v>2052</v>
      </c>
      <c r="B4" s="2372"/>
      <c r="C4" s="2372"/>
      <c r="D4" s="2372"/>
      <c r="E4" s="2372"/>
      <c r="F4" s="2373"/>
      <c r="G4" s="1075"/>
      <c r="H4" s="1075"/>
    </row>
    <row r="5" spans="1:8" ht="14.25" customHeight="1" x14ac:dyDescent="0.2">
      <c r="A5" s="2374" t="s">
        <v>2053</v>
      </c>
      <c r="B5" s="2375"/>
      <c r="C5" s="2375"/>
      <c r="D5" s="2375"/>
      <c r="E5" s="2375"/>
      <c r="F5" s="2376"/>
      <c r="G5" s="1075"/>
      <c r="H5" s="1075"/>
    </row>
    <row r="6" spans="1:8" s="1076" customFormat="1" ht="41.25" customHeight="1" x14ac:dyDescent="0.2">
      <c r="A6" s="2368" t="s">
        <v>1792</v>
      </c>
      <c r="B6" s="2369"/>
      <c r="C6" s="2369"/>
      <c r="D6" s="2369"/>
      <c r="E6" s="2369"/>
      <c r="F6" s="237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21325939</v>
      </c>
      <c r="C8" s="1836">
        <f>'Acct Summary 7-8'!D8</f>
        <v>3265855</v>
      </c>
      <c r="D8" s="1836">
        <f>'Acct Summary 7-8'!F8</f>
        <v>2148029</v>
      </c>
      <c r="E8" s="1836">
        <f>'Acct Summary 7-8'!I8</f>
        <v>193663</v>
      </c>
      <c r="F8" s="1836">
        <f>SUM(B8:E8)</f>
        <v>26933486</v>
      </c>
    </row>
    <row r="9" spans="1:8" s="1080" customFormat="1" ht="14.25" customHeight="1" thickBot="1" x14ac:dyDescent="0.25">
      <c r="A9" s="1079" t="s">
        <v>1436</v>
      </c>
      <c r="B9" s="1837">
        <f>'Acct Summary 7-8'!C17</f>
        <v>21437122</v>
      </c>
      <c r="C9" s="1837">
        <f>'Acct Summary 7-8'!D17</f>
        <v>3172208</v>
      </c>
      <c r="D9" s="1837">
        <f>'Acct Summary 7-8'!F17</f>
        <v>2036499</v>
      </c>
      <c r="E9" s="1836"/>
      <c r="F9" s="1836">
        <f>SUM(B9:E9)</f>
        <v>26645829</v>
      </c>
    </row>
    <row r="10" spans="1:8" s="1080" customFormat="1" ht="14.25" thickTop="1" thickBot="1" x14ac:dyDescent="0.25">
      <c r="A10" s="1081" t="s">
        <v>1437</v>
      </c>
      <c r="B10" s="1838">
        <f>(B8-B9)</f>
        <v>-111183</v>
      </c>
      <c r="C10" s="1838">
        <f>(C8-C9)</f>
        <v>93647</v>
      </c>
      <c r="D10" s="1838">
        <f>(D8-D9)</f>
        <v>111530</v>
      </c>
      <c r="E10" s="1837">
        <f>(E8-E9)</f>
        <v>193663</v>
      </c>
      <c r="F10" s="1839">
        <f>SUM(F8-F9)</f>
        <v>287657</v>
      </c>
    </row>
    <row r="11" spans="1:8" s="1080" customFormat="1" ht="14.25" thickTop="1" thickBot="1" x14ac:dyDescent="0.25">
      <c r="A11" s="1082" t="s">
        <v>1785</v>
      </c>
      <c r="B11" s="1840">
        <f>'Acct Summary 7-8'!C81</f>
        <v>12197025</v>
      </c>
      <c r="C11" s="1840">
        <f>'Acct Summary 7-8'!D81</f>
        <v>1209779</v>
      </c>
      <c r="D11" s="1840">
        <f>'Acct Summary 7-8'!F81</f>
        <v>2244200</v>
      </c>
      <c r="E11" s="1840">
        <f>'Acct Summary 7-8'!I81</f>
        <v>879001</v>
      </c>
      <c r="F11" s="1841">
        <f>SUM(B11:E11)</f>
        <v>16530005</v>
      </c>
    </row>
    <row r="12" spans="1:8" ht="16.5" customHeight="1" thickTop="1" x14ac:dyDescent="0.2">
      <c r="A12" s="1083"/>
      <c r="B12" s="1084"/>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5"/>
      <c r="B13" s="1086"/>
      <c r="C13" s="2356"/>
      <c r="D13" s="2357"/>
      <c r="E13" s="2357"/>
      <c r="F13" s="2358"/>
      <c r="H13" s="1075"/>
    </row>
    <row r="14" spans="1:8" ht="19.5" customHeight="1" x14ac:dyDescent="0.2">
      <c r="A14" s="1085"/>
      <c r="B14" s="1086"/>
      <c r="C14" s="2356"/>
      <c r="D14" s="2357"/>
      <c r="E14" s="2357"/>
      <c r="F14" s="2358"/>
      <c r="H14" s="1075"/>
    </row>
    <row r="15" spans="1:8" ht="17.25" customHeight="1" x14ac:dyDescent="0.2">
      <c r="A15" s="1085"/>
      <c r="B15" s="1086"/>
      <c r="C15" s="2359"/>
      <c r="D15" s="2360"/>
      <c r="E15" s="2360"/>
      <c r="F15" s="2361"/>
      <c r="H15" s="1075"/>
    </row>
    <row r="16" spans="1:8" s="310" customFormat="1" ht="51.75" hidden="1" customHeight="1" x14ac:dyDescent="0.2">
      <c r="A16" s="2355" t="s">
        <v>1787</v>
      </c>
      <c r="B16" s="2355"/>
      <c r="C16" s="2355"/>
      <c r="D16" s="2355"/>
      <c r="E16" s="235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election activeCell="C59" sqref="C5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77" t="s">
        <v>686</v>
      </c>
      <c r="B3" s="2378"/>
      <c r="C3" s="2378"/>
      <c r="D3" s="2379"/>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8" t="s">
        <v>1584</v>
      </c>
      <c r="D7" s="2389"/>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0" t="s">
        <v>1065</v>
      </c>
      <c r="B15" s="2381"/>
      <c r="C15" s="2381"/>
      <c r="D15" s="2382"/>
    </row>
    <row r="16" spans="1:4" s="669" customFormat="1" ht="24" customHeight="1" x14ac:dyDescent="0.2">
      <c r="A16" s="2383" t="s">
        <v>684</v>
      </c>
      <c r="B16" s="2384"/>
      <c r="C16" s="2384"/>
      <c r="D16" s="238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2" t="s">
        <v>332</v>
      </c>
      <c r="D21" s="2393"/>
    </row>
    <row r="22" spans="1:10" ht="12.75" x14ac:dyDescent="0.2">
      <c r="A22" s="1140"/>
      <c r="B22" s="1141">
        <v>2</v>
      </c>
      <c r="C22" s="2390" t="s">
        <v>1605</v>
      </c>
      <c r="D22" s="239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4" t="s">
        <v>557</v>
      </c>
      <c r="D43" s="239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6" t="s">
        <v>817</v>
      </c>
      <c r="D56" s="238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86" t="s">
        <v>1797</v>
      </c>
      <c r="D70" s="238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24032001026</v>
      </c>
    </row>
    <row r="3" spans="1:2" x14ac:dyDescent="0.2">
      <c r="A3" t="s">
        <v>1013</v>
      </c>
      <c r="B3" s="138" t="str">
        <f>COVER!A15</f>
        <v>Grundy</v>
      </c>
    </row>
    <row r="4" spans="1:2" x14ac:dyDescent="0.2">
      <c r="A4" t="s">
        <v>1064</v>
      </c>
      <c r="B4" s="138" t="str">
        <f>COVER!A17</f>
        <v>Coal City Community Unit School District #1</v>
      </c>
    </row>
    <row r="5" spans="1:2" x14ac:dyDescent="0.2">
      <c r="A5" t="s">
        <v>728</v>
      </c>
      <c r="B5" s="138" t="str">
        <f>COVER!A38</f>
        <v>Dr. Kent Bugg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066-005100</v>
      </c>
    </row>
    <row r="16" spans="1:2" x14ac:dyDescent="0.2">
      <c r="A16" t="s">
        <v>442</v>
      </c>
      <c r="B16" s="138" t="str">
        <f>COVER!T13</f>
        <v>Mack &amp; Associates, P.C.</v>
      </c>
    </row>
    <row r="17" spans="1:2" x14ac:dyDescent="0.2">
      <c r="A17" t="s">
        <v>939</v>
      </c>
      <c r="B17" s="138" t="str">
        <f>COVER!T15</f>
        <v>Tawnya Mack, CPA</v>
      </c>
    </row>
    <row r="18" spans="1:2" x14ac:dyDescent="0.2">
      <c r="A18" t="s">
        <v>1212</v>
      </c>
      <c r="B18" s="138" t="str">
        <f>COVER!T17</f>
        <v>116 E. Washington Street, Suite One</v>
      </c>
    </row>
    <row r="19" spans="1:2" x14ac:dyDescent="0.2">
      <c r="A19" t="s">
        <v>941</v>
      </c>
      <c r="B19" s="138" t="str">
        <f>COVER!T25</f>
        <v>tmack@mackcpas.com</v>
      </c>
    </row>
    <row r="20" spans="1:2" x14ac:dyDescent="0.2">
      <c r="A20" t="s">
        <v>942</v>
      </c>
      <c r="B20" s="138" t="str">
        <f>COVER!T19</f>
        <v>Morris</v>
      </c>
    </row>
    <row r="21" spans="1:2" x14ac:dyDescent="0.2">
      <c r="A21" t="s">
        <v>500</v>
      </c>
      <c r="B21" s="138" t="str">
        <f>COVER!X19</f>
        <v>IL</v>
      </c>
    </row>
    <row r="22" spans="1:2" x14ac:dyDescent="0.2">
      <c r="A22" t="s">
        <v>943</v>
      </c>
      <c r="B22" s="138">
        <f>COVER!Z19</f>
        <v>60450</v>
      </c>
    </row>
    <row r="23" spans="1:2" x14ac:dyDescent="0.2">
      <c r="A23" t="s">
        <v>1214</v>
      </c>
      <c r="B23" s="138" t="str">
        <f>COVER!T21</f>
        <v>(815) 942-3306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10956222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12589600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392575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392575</v>
      </c>
      <c r="C91" s="2" t="s">
        <v>594</v>
      </c>
      <c r="D91" s="2" t="str">
        <f t="shared" si="0"/>
        <v>Error?</v>
      </c>
    </row>
    <row r="92" spans="1:4" x14ac:dyDescent="0.2">
      <c r="A92" s="5">
        <v>31</v>
      </c>
      <c r="B92" s="138">
        <f>'Assets-Liab 5-6'!C39</f>
        <v>10926428</v>
      </c>
      <c r="D92" s="2" t="str">
        <f t="shared" si="0"/>
        <v>Error?</v>
      </c>
    </row>
    <row r="93" spans="1:4" x14ac:dyDescent="0.2">
      <c r="A93" s="5">
        <v>32</v>
      </c>
      <c r="B93" s="138">
        <f>'Assets-Liab 5-6'!C41</f>
        <v>12589600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816950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1218292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8513</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8513</v>
      </c>
      <c r="C122" s="2" t="s">
        <v>594</v>
      </c>
      <c r="D122" s="2" t="str">
        <f t="shared" si="0"/>
        <v>Error?</v>
      </c>
    </row>
    <row r="123" spans="1:4" x14ac:dyDescent="0.2">
      <c r="A123" s="5">
        <v>62</v>
      </c>
      <c r="B123" s="138">
        <f>'Assets-Liab 5-6'!D39</f>
        <v>1209779</v>
      </c>
      <c r="D123" s="2" t="str">
        <f t="shared" si="0"/>
        <v>Error?</v>
      </c>
    </row>
    <row r="124" spans="1:4" x14ac:dyDescent="0.2">
      <c r="A124" s="5">
        <v>63</v>
      </c>
      <c r="B124" s="138">
        <f>'Assets-Liab 5-6'!D41</f>
        <v>1218292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86109</v>
      </c>
      <c r="D129" s="2" t="str">
        <f t="shared" si="1"/>
        <v>Error?</v>
      </c>
    </row>
    <row r="130" spans="1:4" x14ac:dyDescent="0.2">
      <c r="A130" s="5">
        <v>69</v>
      </c>
      <c r="B130" s="138">
        <f>'Assets-Liab 5-6'!E12</f>
        <v>0</v>
      </c>
      <c r="D130" s="2" t="str">
        <f t="shared" si="1"/>
        <v>Error?</v>
      </c>
    </row>
    <row r="131" spans="1:4" x14ac:dyDescent="0.2">
      <c r="A131" s="5">
        <v>70</v>
      </c>
      <c r="B131" s="138">
        <f>'Assets-Liab 5-6'!E13</f>
        <v>89957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89957</v>
      </c>
      <c r="D140" s="2" t="str">
        <f t="shared" si="1"/>
        <v>Error?</v>
      </c>
    </row>
    <row r="141" spans="1:4" x14ac:dyDescent="0.2">
      <c r="A141" s="5">
        <v>80</v>
      </c>
      <c r="B141" s="138">
        <f>'Assets-Liab 5-6'!E41</f>
        <v>89957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2380443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2380443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136243</v>
      </c>
      <c r="C169" s="2" t="s">
        <v>594</v>
      </c>
      <c r="D169" s="2" t="str">
        <f t="shared" si="1"/>
        <v>Error?</v>
      </c>
    </row>
    <row r="170" spans="1:4" x14ac:dyDescent="0.2">
      <c r="A170" s="5">
        <v>109</v>
      </c>
      <c r="B170" s="138">
        <f>'Assets-Liab 5-6'!F39</f>
        <v>2244200</v>
      </c>
      <c r="D170" s="2" t="str">
        <f t="shared" si="1"/>
        <v>Error?</v>
      </c>
    </row>
    <row r="171" spans="1:4" x14ac:dyDescent="0.2">
      <c r="A171" s="5">
        <v>110</v>
      </c>
      <c r="B171" s="138">
        <f>'Assets-Liab 5-6'!F41</f>
        <v>2380443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371773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371773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163686</v>
      </c>
      <c r="C188" s="2" t="s">
        <v>594</v>
      </c>
      <c r="D188" s="2" t="str">
        <f t="shared" si="1"/>
        <v>Error?</v>
      </c>
    </row>
    <row r="189" spans="1:4" x14ac:dyDescent="0.2">
      <c r="A189" s="5">
        <v>128</v>
      </c>
      <c r="B189" s="138">
        <f>'Assets-Liab 5-6'!G39</f>
        <v>196747</v>
      </c>
      <c r="D189" s="2" t="str">
        <f t="shared" si="1"/>
        <v>Error?</v>
      </c>
    </row>
    <row r="190" spans="1:4" x14ac:dyDescent="0.2">
      <c r="A190" s="5">
        <v>129</v>
      </c>
      <c r="B190" s="138">
        <f>'Assets-Liab 5-6'!G41</f>
        <v>371773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1004872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195658</v>
      </c>
      <c r="C211" s="2" t="s">
        <v>594</v>
      </c>
      <c r="D211" s="2" t="str">
        <f t="shared" si="2"/>
        <v>Error?</v>
      </c>
    </row>
    <row r="212" spans="1:4" x14ac:dyDescent="0.2">
      <c r="A212" s="5">
        <v>151</v>
      </c>
      <c r="B212" s="138">
        <f>'Assets-Liab 5-6'!H39</f>
        <v>809214</v>
      </c>
      <c r="D212" s="2" t="str">
        <f t="shared" si="2"/>
        <v>Error?</v>
      </c>
    </row>
    <row r="213" spans="1:4" x14ac:dyDescent="0.2">
      <c r="A213" s="12">
        <v>152</v>
      </c>
      <c r="B213" s="138">
        <f>'Assets-Liab 5-6'!H41</f>
        <v>1004872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6186420</v>
      </c>
      <c r="D273" s="2" t="str">
        <f t="shared" si="3"/>
        <v>Error?</v>
      </c>
    </row>
    <row r="274" spans="1:4" x14ac:dyDescent="0.2">
      <c r="A274" s="5">
        <v>213</v>
      </c>
      <c r="B274" s="138">
        <f>'Assets-Liab 5-6'!M17</f>
        <v>53388784</v>
      </c>
      <c r="D274" s="2" t="str">
        <f t="shared" si="3"/>
        <v>Error?</v>
      </c>
    </row>
    <row r="275" spans="1:4" x14ac:dyDescent="0.2">
      <c r="A275" s="5">
        <v>214</v>
      </c>
      <c r="B275" s="138">
        <f>'Assets-Liab 5-6'!M18</f>
        <v>1526011</v>
      </c>
      <c r="D275" s="2" t="str">
        <f t="shared" si="3"/>
        <v>Error?</v>
      </c>
    </row>
    <row r="276" spans="1:4" x14ac:dyDescent="0.2">
      <c r="A276" s="5">
        <v>215</v>
      </c>
      <c r="B276" s="138">
        <f>'Assets-Liab 5-6'!M19</f>
        <v>558948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61660163</v>
      </c>
      <c r="C279" s="2" t="s">
        <v>594</v>
      </c>
      <c r="D279" s="2" t="str">
        <f t="shared" si="3"/>
        <v>Error?</v>
      </c>
    </row>
    <row r="280" spans="1:4" x14ac:dyDescent="0.2">
      <c r="A280" s="5">
        <v>219</v>
      </c>
      <c r="B280" s="138">
        <f>'Assets-Liab 5-6'!M40</f>
        <v>61660163</v>
      </c>
      <c r="D280" s="2" t="str">
        <f t="shared" si="3"/>
        <v>Error?</v>
      </c>
    </row>
    <row r="281" spans="1:4" x14ac:dyDescent="0.2">
      <c r="A281" s="5">
        <v>220</v>
      </c>
      <c r="B281" s="138">
        <f>'Assets-Liab 5-6'!M41</f>
        <v>61660163</v>
      </c>
      <c r="C281" s="2" t="s">
        <v>594</v>
      </c>
      <c r="D281" s="2" t="str">
        <f t="shared" si="3"/>
        <v>Error?</v>
      </c>
    </row>
    <row r="282" spans="1:4" x14ac:dyDescent="0.2">
      <c r="A282" s="5">
        <v>221</v>
      </c>
      <c r="B282" s="138">
        <f>'Assets-Liab 5-6'!N21</f>
        <v>89957</v>
      </c>
      <c r="D282" s="2" t="str">
        <f t="shared" si="3"/>
        <v>Error?</v>
      </c>
    </row>
    <row r="283" spans="1:4" x14ac:dyDescent="0.2">
      <c r="A283" s="5">
        <v>222</v>
      </c>
      <c r="B283" s="138">
        <f>'Assets-Liab 5-6'!N22</f>
        <v>34460043</v>
      </c>
      <c r="D283" s="2" t="str">
        <f t="shared" si="3"/>
        <v>Error?</v>
      </c>
    </row>
    <row r="284" spans="1:4" x14ac:dyDescent="0.2">
      <c r="A284" s="5">
        <v>223</v>
      </c>
      <c r="B284" s="138">
        <f>'Assets-Liab 5-6'!N23</f>
        <v>34550000</v>
      </c>
      <c r="C284" s="2" t="s">
        <v>594</v>
      </c>
      <c r="D284" s="2" t="str">
        <f t="shared" si="3"/>
        <v>Error?</v>
      </c>
    </row>
    <row r="285" spans="1:4" x14ac:dyDescent="0.2">
      <c r="A285" s="5">
        <v>224</v>
      </c>
      <c r="B285" s="138">
        <f>'Assets-Liab 5-6'!N36</f>
        <v>34550000</v>
      </c>
      <c r="D285" s="2" t="str">
        <f t="shared" si="3"/>
        <v>Error?</v>
      </c>
    </row>
    <row r="286" spans="1:4" x14ac:dyDescent="0.2">
      <c r="A286" s="10">
        <v>225</v>
      </c>
      <c r="D286" s="2" t="str">
        <f t="shared" si="3"/>
        <v>OK</v>
      </c>
    </row>
    <row r="287" spans="1:4" x14ac:dyDescent="0.2">
      <c r="A287" s="5">
        <v>226</v>
      </c>
      <c r="B287" s="138">
        <f>'Assets-Liab 5-6'!N37</f>
        <v>34550000</v>
      </c>
      <c r="C287" s="2" t="s">
        <v>594</v>
      </c>
      <c r="D287" s="2" t="str">
        <f t="shared" si="3"/>
        <v>Error?</v>
      </c>
    </row>
    <row r="288" spans="1:4" x14ac:dyDescent="0.2">
      <c r="A288" s="5">
        <v>227</v>
      </c>
      <c r="B288" s="138">
        <f>'Assets-Liab 5-6'!N41</f>
        <v>34550000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2436721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8040302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315448</v>
      </c>
      <c r="D717" s="2" t="str">
        <f t="shared" si="10"/>
        <v>Error?</v>
      </c>
    </row>
    <row r="718" spans="1:4" x14ac:dyDescent="0.2">
      <c r="A718" s="5">
        <v>657</v>
      </c>
      <c r="B718" s="138">
        <f>'Expenditures 15-22'!C14</f>
        <v>555504</v>
      </c>
      <c r="D718" s="2" t="str">
        <f t="shared" si="10"/>
        <v>Error?</v>
      </c>
    </row>
    <row r="719" spans="1:4" x14ac:dyDescent="0.2">
      <c r="A719" s="5">
        <v>658</v>
      </c>
      <c r="B719" s="138">
        <f>'Expenditures 15-22'!C15</f>
        <v>18851</v>
      </c>
      <c r="D719" s="2" t="str">
        <f t="shared" si="10"/>
        <v>Error?</v>
      </c>
    </row>
    <row r="720" spans="1:4" x14ac:dyDescent="0.2">
      <c r="A720" s="5">
        <v>659</v>
      </c>
      <c r="B720" s="138">
        <f>'Expenditures 15-22'!C33</f>
        <v>11142658</v>
      </c>
      <c r="C720" s="2" t="s">
        <v>594</v>
      </c>
      <c r="D720" s="2" t="str">
        <f t="shared" si="10"/>
        <v>Error?</v>
      </c>
    </row>
    <row r="721" spans="1:4" x14ac:dyDescent="0.2">
      <c r="A721" s="5">
        <v>660</v>
      </c>
      <c r="B721" s="138">
        <f>'Expenditures 15-22'!C36</f>
        <v>234942</v>
      </c>
      <c r="D721" s="2" t="str">
        <f t="shared" si="10"/>
        <v>Error?</v>
      </c>
    </row>
    <row r="722" spans="1:4" x14ac:dyDescent="0.2">
      <c r="A722" s="5">
        <v>661</v>
      </c>
      <c r="B722" s="138">
        <f>'Expenditures 15-22'!C37</f>
        <v>218607</v>
      </c>
      <c r="D722" s="2" t="str">
        <f t="shared" si="10"/>
        <v>Error?</v>
      </c>
    </row>
    <row r="723" spans="1:4" x14ac:dyDescent="0.2">
      <c r="A723" s="5">
        <v>662</v>
      </c>
      <c r="B723" s="138">
        <f>'Expenditures 15-22'!C38</f>
        <v>101841</v>
      </c>
      <c r="D723" s="2" t="str">
        <f t="shared" si="10"/>
        <v>Error?</v>
      </c>
    </row>
    <row r="724" spans="1:4" x14ac:dyDescent="0.2">
      <c r="A724" s="5">
        <v>663</v>
      </c>
      <c r="B724" s="138">
        <f>'Expenditures 15-22'!C39</f>
        <v>130202</v>
      </c>
      <c r="D724" s="2" t="str">
        <f t="shared" si="10"/>
        <v>Error?</v>
      </c>
    </row>
    <row r="725" spans="1:4" x14ac:dyDescent="0.2">
      <c r="A725" s="5">
        <v>664</v>
      </c>
      <c r="B725" s="138">
        <f>'Expenditures 15-22'!C40</f>
        <v>227484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913076</v>
      </c>
      <c r="C727" s="2" t="s">
        <v>594</v>
      </c>
      <c r="D727" s="2" t="str">
        <f t="shared" si="10"/>
        <v>Error?</v>
      </c>
    </row>
    <row r="728" spans="1:4" x14ac:dyDescent="0.2">
      <c r="A728" s="5">
        <v>667</v>
      </c>
      <c r="B728" s="138">
        <f>'Expenditures 15-22'!C44</f>
        <v>199632</v>
      </c>
      <c r="D728" s="2" t="str">
        <f t="shared" si="10"/>
        <v>Error?</v>
      </c>
    </row>
    <row r="729" spans="1:4" x14ac:dyDescent="0.2">
      <c r="A729" s="5">
        <v>668</v>
      </c>
      <c r="B729" s="138">
        <f>'Expenditures 15-22'!C45</f>
        <v>367644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567276</v>
      </c>
      <c r="C731" s="2" t="s">
        <v>594</v>
      </c>
      <c r="D731" s="2" t="str">
        <f t="shared" si="10"/>
        <v>Error?</v>
      </c>
    </row>
    <row r="732" spans="1:4" x14ac:dyDescent="0.2">
      <c r="A732" s="5">
        <v>671</v>
      </c>
      <c r="B732" s="138">
        <f>'Expenditures 15-22'!C49</f>
        <v>7323</v>
      </c>
      <c r="D732" s="2" t="str">
        <f t="shared" si="10"/>
        <v>Error?</v>
      </c>
    </row>
    <row r="733" spans="1:4" x14ac:dyDescent="0.2">
      <c r="A733" s="5">
        <v>672</v>
      </c>
      <c r="B733" s="138">
        <f>'Expenditures 15-22'!C50</f>
        <v>229968</v>
      </c>
      <c r="D733" s="2" t="str">
        <f t="shared" si="10"/>
        <v>Error?</v>
      </c>
    </row>
    <row r="734" spans="1:4" x14ac:dyDescent="0.2">
      <c r="A734" s="5">
        <v>673</v>
      </c>
      <c r="B734" s="138">
        <f>'Expenditures 15-22'!C53</f>
        <v>237291</v>
      </c>
      <c r="C734" s="2" t="s">
        <v>594</v>
      </c>
      <c r="D734" s="2" t="str">
        <f t="shared" si="10"/>
        <v>Error?</v>
      </c>
    </row>
    <row r="735" spans="1:4" x14ac:dyDescent="0.2">
      <c r="A735" s="5">
        <v>674</v>
      </c>
      <c r="B735" s="138">
        <f>'Expenditures 15-22'!C55</f>
        <v>829342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829342</v>
      </c>
      <c r="C737" s="2" t="s">
        <v>594</v>
      </c>
      <c r="D737" s="2" t="str">
        <f t="shared" si="10"/>
        <v>Error?</v>
      </c>
    </row>
    <row r="738" spans="1:4" x14ac:dyDescent="0.2">
      <c r="A738" s="5">
        <v>677</v>
      </c>
      <c r="B738" s="138">
        <f>'Expenditures 15-22'!C59</f>
        <v>54562</v>
      </c>
      <c r="D738" s="2" t="str">
        <f t="shared" si="10"/>
        <v>Error?</v>
      </c>
    </row>
    <row r="739" spans="1:4" x14ac:dyDescent="0.2">
      <c r="A739" s="5">
        <v>678</v>
      </c>
      <c r="B739" s="138">
        <f>'Expenditures 15-22'!C60</f>
        <v>134430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315910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504902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3051887</v>
      </c>
      <c r="C755" s="2" t="s">
        <v>594</v>
      </c>
      <c r="D755" s="2" t="str">
        <f t="shared" si="10"/>
        <v>Error?</v>
      </c>
    </row>
    <row r="756" spans="1:4" x14ac:dyDescent="0.2">
      <c r="A756" s="5">
        <v>695</v>
      </c>
      <c r="B756" s="138">
        <f>'Expenditures 15-22'!C75</f>
        <v>6115</v>
      </c>
      <c r="D756" s="2" t="str">
        <f t="shared" si="10"/>
        <v>Error?</v>
      </c>
    </row>
    <row r="757" spans="1:4" x14ac:dyDescent="0.2">
      <c r="A757" s="5">
        <v>696</v>
      </c>
      <c r="B757" s="138">
        <f>'Expenditures 15-22'!C114</f>
        <v>14200660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1855634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59392</v>
      </c>
      <c r="D775" s="2" t="str">
        <f t="shared" si="11"/>
        <v>Error?</v>
      </c>
    </row>
    <row r="776" spans="1:4" x14ac:dyDescent="0.2">
      <c r="A776" s="5">
        <v>715</v>
      </c>
      <c r="B776" s="138">
        <f>'Expenditures 15-22'!D14</f>
        <v>124056</v>
      </c>
      <c r="D776" s="2" t="str">
        <f t="shared" si="11"/>
        <v>Error?</v>
      </c>
    </row>
    <row r="777" spans="1:4" x14ac:dyDescent="0.2">
      <c r="A777" s="5">
        <v>716</v>
      </c>
      <c r="B777" s="138">
        <f>'Expenditures 15-22'!D15</f>
        <v>3061</v>
      </c>
      <c r="D777" s="2" t="str">
        <f t="shared" si="11"/>
        <v>Error?</v>
      </c>
    </row>
    <row r="778" spans="1:4" x14ac:dyDescent="0.2">
      <c r="A778" s="5">
        <v>717</v>
      </c>
      <c r="B778" s="138">
        <f>'Expenditures 15-22'!D33</f>
        <v>2481917</v>
      </c>
      <c r="C778" s="2" t="s">
        <v>594</v>
      </c>
      <c r="D778" s="2" t="str">
        <f t="shared" si="11"/>
        <v>Error?</v>
      </c>
    </row>
    <row r="779" spans="1:4" x14ac:dyDescent="0.2">
      <c r="A779" s="5">
        <v>718</v>
      </c>
      <c r="B779" s="138">
        <f>'Expenditures 15-22'!D36</f>
        <v>54931</v>
      </c>
      <c r="D779" s="2" t="str">
        <f t="shared" si="11"/>
        <v>Error?</v>
      </c>
    </row>
    <row r="780" spans="1:4" x14ac:dyDescent="0.2">
      <c r="A780" s="5">
        <v>719</v>
      </c>
      <c r="B780" s="138">
        <f>'Expenditures 15-22'!D37</f>
        <v>75367</v>
      </c>
      <c r="D780" s="2" t="str">
        <f t="shared" si="11"/>
        <v>Error?</v>
      </c>
    </row>
    <row r="781" spans="1:4" x14ac:dyDescent="0.2">
      <c r="A781" s="5">
        <v>720</v>
      </c>
      <c r="B781" s="138">
        <f>'Expenditures 15-22'!D38</f>
        <v>22229</v>
      </c>
      <c r="D781" s="2" t="str">
        <f t="shared" si="11"/>
        <v>Error?</v>
      </c>
    </row>
    <row r="782" spans="1:4" x14ac:dyDescent="0.2">
      <c r="A782" s="5">
        <v>721</v>
      </c>
      <c r="B782" s="138">
        <f>'Expenditures 15-22'!D39</f>
        <v>29501</v>
      </c>
      <c r="D782" s="2" t="str">
        <f t="shared" si="11"/>
        <v>Error?</v>
      </c>
    </row>
    <row r="783" spans="1:4" x14ac:dyDescent="0.2">
      <c r="A783" s="5">
        <v>722</v>
      </c>
      <c r="B783" s="138">
        <f>'Expenditures 15-22'!D40</f>
        <v>34679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216707</v>
      </c>
      <c r="C785" s="2" t="s">
        <v>594</v>
      </c>
      <c r="D785" s="2" t="str">
        <f t="shared" si="11"/>
        <v>Error?</v>
      </c>
    </row>
    <row r="786" spans="1:4" x14ac:dyDescent="0.2">
      <c r="A786" s="5">
        <v>725</v>
      </c>
      <c r="B786" s="138">
        <f>'Expenditures 15-22'!D44</f>
        <v>67821</v>
      </c>
      <c r="D786" s="2" t="str">
        <f t="shared" si="11"/>
        <v>Error?</v>
      </c>
    </row>
    <row r="787" spans="1:4" x14ac:dyDescent="0.2">
      <c r="A787" s="5">
        <v>726</v>
      </c>
      <c r="B787" s="138">
        <f>'Expenditures 15-22'!D45</f>
        <v>74309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142130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56855</v>
      </c>
      <c r="D791" s="2" t="str">
        <f t="shared" si="11"/>
        <v>Error?</v>
      </c>
    </row>
    <row r="792" spans="1:4" x14ac:dyDescent="0.2">
      <c r="A792" s="5">
        <v>731</v>
      </c>
      <c r="B792" s="138">
        <f>'Expenditures 15-22'!D53</f>
        <v>56855</v>
      </c>
      <c r="C792" s="2" t="s">
        <v>594</v>
      </c>
      <c r="D792" s="2" t="str">
        <f t="shared" si="11"/>
        <v>Error?</v>
      </c>
    </row>
    <row r="793" spans="1:4" x14ac:dyDescent="0.2">
      <c r="A793" s="5">
        <v>732</v>
      </c>
      <c r="B793" s="138">
        <f>'Expenditures 15-22'!D55</f>
        <v>234193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234193</v>
      </c>
      <c r="C795" s="2" t="s">
        <v>594</v>
      </c>
      <c r="D795" s="2" t="str">
        <f t="shared" si="11"/>
        <v>Error?</v>
      </c>
    </row>
    <row r="796" spans="1:4" x14ac:dyDescent="0.2">
      <c r="A796" s="5">
        <v>735</v>
      </c>
      <c r="B796" s="138">
        <f>'Expenditures 15-22'!D59</f>
        <v>17932</v>
      </c>
      <c r="D796" s="2" t="str">
        <f t="shared" si="11"/>
        <v>Error?</v>
      </c>
    </row>
    <row r="797" spans="1:4" x14ac:dyDescent="0.2">
      <c r="A797" s="5">
        <v>736</v>
      </c>
      <c r="B797" s="138">
        <f>'Expenditures 15-22'!D60</f>
        <v>23253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26813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67998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717883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3199800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85877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2579</v>
      </c>
      <c r="D833" s="2" t="str">
        <f t="shared" si="12"/>
        <v>Error?</v>
      </c>
    </row>
    <row r="834" spans="1:4" x14ac:dyDescent="0.2">
      <c r="A834" s="5">
        <v>773</v>
      </c>
      <c r="B834" s="138">
        <f>'Expenditures 15-22'!E14</f>
        <v>90927</v>
      </c>
      <c r="D834" s="2" t="str">
        <f t="shared" si="12"/>
        <v>Error?</v>
      </c>
    </row>
    <row r="835" spans="1:4" x14ac:dyDescent="0.2">
      <c r="A835" s="5">
        <v>774</v>
      </c>
      <c r="B835" s="138">
        <f>'Expenditures 15-22'!E15</f>
        <v>1282</v>
      </c>
      <c r="D835" s="2" t="str">
        <f t="shared" si="12"/>
        <v>Error?</v>
      </c>
    </row>
    <row r="836" spans="1:4" x14ac:dyDescent="0.2">
      <c r="A836" s="5">
        <v>775</v>
      </c>
      <c r="B836" s="138">
        <f>'Expenditures 15-22'!E33</f>
        <v>245322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387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73437</v>
      </c>
      <c r="D842" s="2" t="str">
        <f t="shared" si="12"/>
        <v>Error?</v>
      </c>
    </row>
    <row r="843" spans="1:4" x14ac:dyDescent="0.2">
      <c r="A843" s="5">
        <v>782</v>
      </c>
      <c r="B843" s="138">
        <f>'Expenditures 15-22'!E42</f>
        <v>73824</v>
      </c>
      <c r="C843" s="2" t="s">
        <v>594</v>
      </c>
      <c r="D843" s="2" t="str">
        <f t="shared" si="12"/>
        <v>Error?</v>
      </c>
    </row>
    <row r="844" spans="1:4" x14ac:dyDescent="0.2">
      <c r="A844" s="5">
        <v>783</v>
      </c>
      <c r="B844" s="138">
        <f>'Expenditures 15-22'!E44</f>
        <v>107619</v>
      </c>
      <c r="D844" s="2" t="str">
        <f t="shared" si="12"/>
        <v>Error?</v>
      </c>
    </row>
    <row r="845" spans="1:4" x14ac:dyDescent="0.2">
      <c r="A845" s="5">
        <v>784</v>
      </c>
      <c r="B845" s="138">
        <f>'Expenditures 15-22'!E45</f>
        <v>471480</v>
      </c>
      <c r="D845" s="2" t="str">
        <f t="shared" si="12"/>
        <v>Error?</v>
      </c>
    </row>
    <row r="846" spans="1:4" x14ac:dyDescent="0.2">
      <c r="A846" s="5">
        <v>785</v>
      </c>
      <c r="B846" s="138">
        <f>'Expenditures 15-22'!E46</f>
        <v>3741</v>
      </c>
      <c r="D846" s="2" t="str">
        <f t="shared" si="12"/>
        <v>Error?</v>
      </c>
    </row>
    <row r="847" spans="1:4" x14ac:dyDescent="0.2">
      <c r="A847" s="5">
        <v>786</v>
      </c>
      <c r="B847" s="138">
        <f>'Expenditures 15-22'!E47</f>
        <v>582840</v>
      </c>
      <c r="C847" s="2" t="s">
        <v>594</v>
      </c>
      <c r="D847" s="2" t="str">
        <f t="shared" si="12"/>
        <v>Error?</v>
      </c>
    </row>
    <row r="848" spans="1:4" x14ac:dyDescent="0.2">
      <c r="A848" s="5">
        <v>787</v>
      </c>
      <c r="B848" s="138">
        <f>'Expenditures 15-22'!E49</f>
        <v>412966</v>
      </c>
      <c r="D848" s="2" t="str">
        <f t="shared" si="12"/>
        <v>Error?</v>
      </c>
    </row>
    <row r="849" spans="1:4" x14ac:dyDescent="0.2">
      <c r="A849" s="5">
        <v>788</v>
      </c>
      <c r="B849" s="138">
        <f>'Expenditures 15-22'!E50</f>
        <v>3688</v>
      </c>
      <c r="D849" s="2" t="str">
        <f t="shared" si="12"/>
        <v>Error?</v>
      </c>
    </row>
    <row r="850" spans="1:4" x14ac:dyDescent="0.2">
      <c r="A850" s="5">
        <v>789</v>
      </c>
      <c r="B850" s="138">
        <f>'Expenditures 15-22'!E53</f>
        <v>416654</v>
      </c>
      <c r="C850" s="2" t="s">
        <v>594</v>
      </c>
      <c r="D850" s="2" t="str">
        <f t="shared" si="12"/>
        <v>Error?</v>
      </c>
    </row>
    <row r="851" spans="1:4" x14ac:dyDescent="0.2">
      <c r="A851" s="5">
        <v>790</v>
      </c>
      <c r="B851" s="138">
        <f>'Expenditures 15-22'!E55</f>
        <v>7686</v>
      </c>
      <c r="D851" s="2" t="str">
        <f t="shared" si="12"/>
        <v>Error?</v>
      </c>
    </row>
    <row r="852" spans="1:4" x14ac:dyDescent="0.2">
      <c r="A852" s="5">
        <v>791</v>
      </c>
      <c r="B852" s="138">
        <f>'Expenditures 15-22'!E56</f>
        <v>2560</v>
      </c>
      <c r="D852" s="2" t="str">
        <f t="shared" si="12"/>
        <v>Error?</v>
      </c>
    </row>
    <row r="853" spans="1:4" x14ac:dyDescent="0.2">
      <c r="A853" s="5">
        <v>792</v>
      </c>
      <c r="B853" s="138">
        <f>'Expenditures 15-22'!E57</f>
        <v>10246</v>
      </c>
      <c r="C853" s="2" t="s">
        <v>594</v>
      </c>
      <c r="D853" s="2" t="str">
        <f t="shared" si="12"/>
        <v>Error?</v>
      </c>
    </row>
    <row r="854" spans="1:4" x14ac:dyDescent="0.2">
      <c r="A854" s="5">
        <v>793</v>
      </c>
      <c r="B854" s="138">
        <f>'Expenditures 15-22'!E59</f>
        <v>1727</v>
      </c>
      <c r="D854" s="2" t="str">
        <f t="shared" si="12"/>
        <v>Error?</v>
      </c>
    </row>
    <row r="855" spans="1:4" x14ac:dyDescent="0.2">
      <c r="A855" s="5">
        <v>794</v>
      </c>
      <c r="B855" s="138">
        <f>'Expenditures 15-22'!E60</f>
        <v>1101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13060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4823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4823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1101447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1346769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414137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22000</v>
      </c>
      <c r="D891" s="2" t="str">
        <f t="shared" si="12"/>
        <v>Error?</v>
      </c>
    </row>
    <row r="892" spans="1:4" x14ac:dyDescent="0.2">
      <c r="A892" s="5">
        <v>831</v>
      </c>
      <c r="B892" s="138">
        <f>'Expenditures 15-22'!F14</f>
        <v>50198</v>
      </c>
      <c r="D892" s="2" t="str">
        <f t="shared" si="12"/>
        <v>Error?</v>
      </c>
    </row>
    <row r="893" spans="1:4" x14ac:dyDescent="0.2">
      <c r="A893" s="5">
        <v>832</v>
      </c>
      <c r="B893" s="138">
        <f>'Expenditures 15-22'!F15</f>
        <v>11510</v>
      </c>
      <c r="D893" s="2" t="str">
        <f t="shared" si="12"/>
        <v>Error?</v>
      </c>
    </row>
    <row r="894" spans="1:4" x14ac:dyDescent="0.2">
      <c r="A894" s="5">
        <v>833</v>
      </c>
      <c r="B894" s="138">
        <f>'Expenditures 15-22'!F33</f>
        <v>560816</v>
      </c>
      <c r="C894" s="2" t="s">
        <v>594</v>
      </c>
      <c r="D894" s="2" t="str">
        <f t="shared" si="12"/>
        <v>Error?</v>
      </c>
    </row>
    <row r="895" spans="1:4" x14ac:dyDescent="0.2">
      <c r="A895" s="5">
        <v>834</v>
      </c>
      <c r="B895" s="138">
        <f>'Expenditures 15-22'!F36</f>
        <v>1456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233</v>
      </c>
      <c r="D899" s="2" t="str">
        <f t="shared" si="13"/>
        <v>Error?</v>
      </c>
    </row>
    <row r="900" spans="1:4" x14ac:dyDescent="0.2">
      <c r="A900" s="5">
        <v>839</v>
      </c>
      <c r="B900" s="138">
        <f>'Expenditures 15-22'!F41</f>
        <v>8579</v>
      </c>
      <c r="D900" s="2" t="str">
        <f t="shared" si="13"/>
        <v>Error?</v>
      </c>
    </row>
    <row r="901" spans="1:4" x14ac:dyDescent="0.2">
      <c r="A901" s="5">
        <v>840</v>
      </c>
      <c r="B901" s="138">
        <f>'Expenditures 15-22'!F42</f>
        <v>12470</v>
      </c>
      <c r="C901" s="2" t="s">
        <v>594</v>
      </c>
      <c r="D901" s="2" t="str">
        <f t="shared" si="13"/>
        <v>Error?</v>
      </c>
    </row>
    <row r="902" spans="1:4" x14ac:dyDescent="0.2">
      <c r="A902" s="5">
        <v>841</v>
      </c>
      <c r="B902" s="138">
        <f>'Expenditures 15-22'!F44</f>
        <v>6206</v>
      </c>
      <c r="D902" s="2" t="str">
        <f t="shared" si="13"/>
        <v>Error?</v>
      </c>
    </row>
    <row r="903" spans="1:4" x14ac:dyDescent="0.2">
      <c r="A903" s="5">
        <v>842</v>
      </c>
      <c r="B903" s="138">
        <f>'Expenditures 15-22'!F45</f>
        <v>27865</v>
      </c>
      <c r="D903" s="2" t="str">
        <f t="shared" si="13"/>
        <v>Error?</v>
      </c>
    </row>
    <row r="904" spans="1:4" x14ac:dyDescent="0.2">
      <c r="A904" s="5">
        <v>843</v>
      </c>
      <c r="B904" s="138">
        <f>'Expenditures 15-22'!F46</f>
        <v>49900</v>
      </c>
      <c r="D904" s="2" t="str">
        <f t="shared" si="13"/>
        <v>Error?</v>
      </c>
    </row>
    <row r="905" spans="1:4" x14ac:dyDescent="0.2">
      <c r="A905" s="5">
        <v>844</v>
      </c>
      <c r="B905" s="138">
        <f>'Expenditures 15-22'!F47</f>
        <v>83971</v>
      </c>
      <c r="C905" s="2" t="s">
        <v>594</v>
      </c>
      <c r="D905" s="2" t="str">
        <f t="shared" si="13"/>
        <v>Error?</v>
      </c>
    </row>
    <row r="906" spans="1:4" x14ac:dyDescent="0.2">
      <c r="A906" s="5">
        <v>845</v>
      </c>
      <c r="B906" s="138">
        <f>'Expenditures 15-22'!F49</f>
        <v>11702</v>
      </c>
      <c r="D906" s="2" t="str">
        <f t="shared" si="13"/>
        <v>Error?</v>
      </c>
    </row>
    <row r="907" spans="1:4" x14ac:dyDescent="0.2">
      <c r="A907" s="5">
        <v>846</v>
      </c>
      <c r="B907" s="138">
        <f>'Expenditures 15-22'!F50</f>
        <v>361</v>
      </c>
      <c r="D907" s="2" t="str">
        <f t="shared" si="13"/>
        <v>Error?</v>
      </c>
    </row>
    <row r="908" spans="1:4" x14ac:dyDescent="0.2">
      <c r="A908" s="5">
        <v>847</v>
      </c>
      <c r="B908" s="138">
        <f>'Expenditures 15-22'!F53</f>
        <v>12063</v>
      </c>
      <c r="C908" s="2" t="s">
        <v>594</v>
      </c>
      <c r="D908" s="2" t="str">
        <f t="shared" si="13"/>
        <v>Error?</v>
      </c>
    </row>
    <row r="909" spans="1:4" x14ac:dyDescent="0.2">
      <c r="A909" s="5">
        <v>848</v>
      </c>
      <c r="B909" s="138">
        <f>'Expenditures 15-22'!F55</f>
        <v>24870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24870</v>
      </c>
      <c r="C911" s="2" t="s">
        <v>594</v>
      </c>
      <c r="D911" s="2" t="str">
        <f t="shared" si="13"/>
        <v>Error?</v>
      </c>
    </row>
    <row r="912" spans="1:4" x14ac:dyDescent="0.2">
      <c r="A912" s="5">
        <v>851</v>
      </c>
      <c r="B912" s="138">
        <f>'Expenditures 15-22'!F59</f>
        <v>2628</v>
      </c>
      <c r="D912" s="2" t="str">
        <f t="shared" si="13"/>
        <v>Error?</v>
      </c>
    </row>
    <row r="913" spans="1:4" x14ac:dyDescent="0.2">
      <c r="A913" s="5">
        <v>852</v>
      </c>
      <c r="B913" s="138">
        <f>'Expenditures 15-22'!F60</f>
        <v>31445</v>
      </c>
      <c r="D913" s="2" t="str">
        <f t="shared" si="13"/>
        <v>Error?</v>
      </c>
    </row>
    <row r="914" spans="1:4" x14ac:dyDescent="0.2">
      <c r="A914" s="5">
        <v>853</v>
      </c>
      <c r="B914" s="138">
        <f>'Expenditures 15-22'!F61</f>
        <v>3427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367413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404913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3246</v>
      </c>
      <c r="D928" s="2" t="str">
        <f t="shared" si="13"/>
        <v>Error?</v>
      </c>
    </row>
    <row r="929" spans="1:4" x14ac:dyDescent="0.2">
      <c r="A929" s="5">
        <v>868</v>
      </c>
      <c r="B929" s="138">
        <f>'Expenditures 15-22'!F74</f>
        <v>541533</v>
      </c>
      <c r="C929" s="2" t="s">
        <v>594</v>
      </c>
      <c r="D929" s="2" t="str">
        <f t="shared" si="13"/>
        <v>Error?</v>
      </c>
    </row>
    <row r="930" spans="1:4" x14ac:dyDescent="0.2">
      <c r="A930" s="5">
        <v>869</v>
      </c>
      <c r="B930" s="138">
        <f>'Expenditures 15-22'!F75</f>
        <v>47</v>
      </c>
      <c r="D930" s="2" t="str">
        <f t="shared" si="13"/>
        <v>Error?</v>
      </c>
    </row>
    <row r="931" spans="1:4" x14ac:dyDescent="0.2">
      <c r="A931" s="5">
        <v>870</v>
      </c>
      <c r="B931" s="138">
        <f>'Expenditures 15-22'!F114</f>
        <v>1102396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37495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2508</v>
      </c>
      <c r="D949" s="2" t="str">
        <f t="shared" si="13"/>
        <v>Error?</v>
      </c>
    </row>
    <row r="950" spans="1:4" x14ac:dyDescent="0.2">
      <c r="A950" s="5">
        <v>889</v>
      </c>
      <c r="B950" s="138">
        <f>'Expenditures 15-22'!G14</f>
        <v>27574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296289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14471</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14471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84826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84826</v>
      </c>
      <c r="C963" s="2" t="s">
        <v>594</v>
      </c>
      <c r="D963" s="2" t="str">
        <f t="shared" si="14"/>
        <v>Error?</v>
      </c>
    </row>
    <row r="964" spans="1:4" x14ac:dyDescent="0.2">
      <c r="A964" s="5">
        <v>903</v>
      </c>
      <c r="B964" s="138">
        <f>'Expenditures 15-22'!G49</f>
        <v>11251</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11251</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5113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31773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36886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147434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443723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32864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407258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358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358</v>
      </c>
      <c r="C1021" s="2" t="s">
        <v>594</v>
      </c>
      <c r="D1021" s="2" t="str">
        <f t="shared" si="14"/>
        <v>Error?</v>
      </c>
    </row>
    <row r="1022" spans="1:4" x14ac:dyDescent="0.2">
      <c r="A1022" s="5">
        <v>961</v>
      </c>
      <c r="B1022" s="138">
        <f>'Expenditures 15-22'!H49</f>
        <v>17440</v>
      </c>
      <c r="D1022" s="2" t="str">
        <f t="shared" si="14"/>
        <v>Error?</v>
      </c>
    </row>
    <row r="1023" spans="1:4" x14ac:dyDescent="0.2">
      <c r="A1023" s="5">
        <v>962</v>
      </c>
      <c r="B1023" s="138">
        <f>'Expenditures 15-22'!H50</f>
        <v>2204</v>
      </c>
      <c r="D1023" s="2" t="str">
        <f t="shared" ref="D1023:D1086" si="15">IF(ISBLANK(B1023),"OK",IF(A1023-B1023=0,"OK","Error?"))</f>
        <v>Error?</v>
      </c>
    </row>
    <row r="1024" spans="1:4" x14ac:dyDescent="0.2">
      <c r="A1024" s="5">
        <v>963</v>
      </c>
      <c r="B1024" s="138">
        <f>'Expenditures 15-22'!H53</f>
        <v>19644</v>
      </c>
      <c r="C1024" s="2" t="s">
        <v>594</v>
      </c>
      <c r="D1024" s="2" t="str">
        <f t="shared" si="15"/>
        <v>Error?</v>
      </c>
    </row>
    <row r="1025" spans="1:4" x14ac:dyDescent="0.2">
      <c r="A1025" s="5">
        <v>964</v>
      </c>
      <c r="B1025" s="138">
        <f>'Expenditures 15-22'!H55</f>
        <v>2293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2293</v>
      </c>
      <c r="C1027" s="2" t="s">
        <v>594</v>
      </c>
      <c r="D1027" s="2" t="str">
        <f t="shared" si="15"/>
        <v>Error?</v>
      </c>
    </row>
    <row r="1028" spans="1:4" x14ac:dyDescent="0.2">
      <c r="A1028" s="5">
        <v>967</v>
      </c>
      <c r="B1028" s="138">
        <f>'Expenditures 15-22'!H59</f>
        <v>1273</v>
      </c>
      <c r="D1028" s="2" t="str">
        <f t="shared" si="15"/>
        <v>Error?</v>
      </c>
    </row>
    <row r="1029" spans="1:4" x14ac:dyDescent="0.2">
      <c r="A1029" s="5">
        <v>968</v>
      </c>
      <c r="B1029" s="138">
        <f>'Expenditures 15-22'!H60</f>
        <v>5163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6436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28731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707785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1143774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10433445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401927</v>
      </c>
      <c r="C1105" s="2" t="s">
        <v>594</v>
      </c>
      <c r="D1105" s="2" t="str">
        <f t="shared" si="16"/>
        <v>Error?</v>
      </c>
    </row>
    <row r="1106" spans="1:4" x14ac:dyDescent="0.2">
      <c r="A1106" s="5">
        <v>1045</v>
      </c>
      <c r="B1106" s="138">
        <f>'Expenditures 15-22'!K14</f>
        <v>881123</v>
      </c>
      <c r="C1106" s="2" t="s">
        <v>594</v>
      </c>
      <c r="D1106" s="2" t="str">
        <f t="shared" si="16"/>
        <v>Error?</v>
      </c>
    </row>
    <row r="1107" spans="1:4" x14ac:dyDescent="0.2">
      <c r="A1107" s="5">
        <v>1046</v>
      </c>
      <c r="B1107" s="138">
        <f>'Expenditures 15-22'!K15</f>
        <v>34704</v>
      </c>
      <c r="C1107" s="2" t="s">
        <v>594</v>
      </c>
      <c r="D1107" s="2" t="str">
        <f t="shared" si="16"/>
        <v>Error?</v>
      </c>
    </row>
    <row r="1108" spans="1:4" x14ac:dyDescent="0.2">
      <c r="A1108" s="5">
        <v>1047</v>
      </c>
      <c r="B1108" s="138">
        <f>'Expenditures 15-22'!K33</f>
        <v>15134260</v>
      </c>
      <c r="C1108" s="2" t="s">
        <v>594</v>
      </c>
      <c r="D1108" s="2" t="str">
        <f t="shared" si="16"/>
        <v>Error?</v>
      </c>
    </row>
    <row r="1109" spans="1:4" x14ac:dyDescent="0.2">
      <c r="A1109" s="5">
        <v>1048</v>
      </c>
      <c r="B1109" s="138">
        <f>'Expenditures 15-22'!K36</f>
        <v>291329</v>
      </c>
      <c r="C1109" s="2" t="s">
        <v>594</v>
      </c>
      <c r="D1109" s="2" t="str">
        <f t="shared" si="16"/>
        <v>Error?</v>
      </c>
    </row>
    <row r="1110" spans="1:4" x14ac:dyDescent="0.2">
      <c r="A1110" s="5">
        <v>1049</v>
      </c>
      <c r="B1110" s="138">
        <f>'Expenditures 15-22'!K37</f>
        <v>293974</v>
      </c>
      <c r="C1110" s="2" t="s">
        <v>594</v>
      </c>
      <c r="D1110" s="2" t="str">
        <f t="shared" si="16"/>
        <v>Error?</v>
      </c>
    </row>
    <row r="1111" spans="1:4" x14ac:dyDescent="0.2">
      <c r="A1111" s="5">
        <v>1050</v>
      </c>
      <c r="B1111" s="138">
        <f>'Expenditures 15-22'!K38</f>
        <v>141130</v>
      </c>
      <c r="C1111" s="2" t="s">
        <v>594</v>
      </c>
      <c r="D1111" s="2" t="str">
        <f t="shared" si="16"/>
        <v>Error?</v>
      </c>
    </row>
    <row r="1112" spans="1:4" x14ac:dyDescent="0.2">
      <c r="A1112" s="5">
        <v>1051</v>
      </c>
      <c r="B1112" s="138">
        <f>'Expenditures 15-22'!K39</f>
        <v>159703</v>
      </c>
      <c r="C1112" s="2" t="s">
        <v>594</v>
      </c>
      <c r="D1112" s="2" t="str">
        <f t="shared" si="16"/>
        <v>Error?</v>
      </c>
    </row>
    <row r="1113" spans="1:4" x14ac:dyDescent="0.2">
      <c r="A1113" s="5">
        <v>1052</v>
      </c>
      <c r="B1113" s="138">
        <f>'Expenditures 15-22'!K40</f>
        <v>262396</v>
      </c>
      <c r="C1113" s="2" t="s">
        <v>594</v>
      </c>
      <c r="D1113" s="2" t="str">
        <f t="shared" si="16"/>
        <v>Error?</v>
      </c>
    </row>
    <row r="1114" spans="1:4" x14ac:dyDescent="0.2">
      <c r="A1114" s="5">
        <v>1053</v>
      </c>
      <c r="B1114" s="138">
        <f>'Expenditures 15-22'!K41</f>
        <v>82016</v>
      </c>
      <c r="C1114" s="2" t="s">
        <v>594</v>
      </c>
      <c r="D1114" s="2" t="str">
        <f t="shared" si="16"/>
        <v>Error?</v>
      </c>
    </row>
    <row r="1115" spans="1:4" x14ac:dyDescent="0.2">
      <c r="A1115" s="5">
        <v>1054</v>
      </c>
      <c r="B1115" s="138">
        <f>'Expenditures 15-22'!K42</f>
        <v>1230548</v>
      </c>
      <c r="C1115" s="2" t="s">
        <v>594</v>
      </c>
      <c r="D1115" s="2" t="str">
        <f t="shared" si="16"/>
        <v>Error?</v>
      </c>
    </row>
    <row r="1116" spans="1:4" x14ac:dyDescent="0.2">
      <c r="A1116" s="5">
        <v>1055</v>
      </c>
      <c r="B1116" s="138">
        <f>'Expenditures 15-22'!K44</f>
        <v>381636</v>
      </c>
      <c r="C1116" s="2" t="s">
        <v>594</v>
      </c>
      <c r="D1116" s="2" t="str">
        <f t="shared" si="16"/>
        <v>Error?</v>
      </c>
    </row>
    <row r="1117" spans="1:4" x14ac:dyDescent="0.2">
      <c r="A1117" s="5">
        <v>1056</v>
      </c>
      <c r="B1117" s="138">
        <f>'Expenditures 15-22'!K45</f>
        <v>1026124</v>
      </c>
      <c r="C1117" s="2" t="s">
        <v>594</v>
      </c>
      <c r="D1117" s="2" t="str">
        <f t="shared" si="16"/>
        <v>Error?</v>
      </c>
    </row>
    <row r="1118" spans="1:4" x14ac:dyDescent="0.2">
      <c r="A1118" s="5">
        <v>1057</v>
      </c>
      <c r="B1118" s="138">
        <f>'Expenditures 15-22'!K46</f>
        <v>53641</v>
      </c>
      <c r="C1118" s="2" t="s">
        <v>594</v>
      </c>
      <c r="D1118" s="2" t="str">
        <f t="shared" si="16"/>
        <v>Error?</v>
      </c>
    </row>
    <row r="1119" spans="1:4" x14ac:dyDescent="0.2">
      <c r="A1119" s="5">
        <v>1058</v>
      </c>
      <c r="B1119" s="138">
        <f>'Expenditures 15-22'!K47</f>
        <v>1461401</v>
      </c>
      <c r="C1119" s="2" t="s">
        <v>594</v>
      </c>
      <c r="D1119" s="2" t="str">
        <f t="shared" si="16"/>
        <v>Error?</v>
      </c>
    </row>
    <row r="1120" spans="1:4" x14ac:dyDescent="0.2">
      <c r="A1120" s="5">
        <v>1059</v>
      </c>
      <c r="B1120" s="138">
        <f>'Expenditures 15-22'!K49</f>
        <v>460682</v>
      </c>
      <c r="C1120" s="2" t="s">
        <v>594</v>
      </c>
      <c r="D1120" s="2" t="str">
        <f t="shared" si="16"/>
        <v>Error?</v>
      </c>
    </row>
    <row r="1121" spans="1:4" x14ac:dyDescent="0.2">
      <c r="A1121" s="5">
        <v>1060</v>
      </c>
      <c r="B1121" s="138">
        <f>'Expenditures 15-22'!K50</f>
        <v>293076</v>
      </c>
      <c r="C1121" s="2" t="s">
        <v>594</v>
      </c>
      <c r="D1121" s="2" t="str">
        <f t="shared" si="16"/>
        <v>Error?</v>
      </c>
    </row>
    <row r="1122" spans="1:4" x14ac:dyDescent="0.2">
      <c r="A1122" s="5">
        <v>1061</v>
      </c>
      <c r="B1122" s="138">
        <f>'Expenditures 15-22'!K53</f>
        <v>753758</v>
      </c>
      <c r="C1122" s="2" t="s">
        <v>594</v>
      </c>
      <c r="D1122" s="2" t="str">
        <f t="shared" si="16"/>
        <v>Error?</v>
      </c>
    </row>
    <row r="1123" spans="1:4" x14ac:dyDescent="0.2">
      <c r="A1123" s="5">
        <v>1062</v>
      </c>
      <c r="B1123" s="138">
        <f>'Expenditures 15-22'!K55</f>
        <v>1098384</v>
      </c>
      <c r="C1123" s="2" t="s">
        <v>594</v>
      </c>
      <c r="D1123" s="2" t="str">
        <f t="shared" si="16"/>
        <v>Error?</v>
      </c>
    </row>
    <row r="1124" spans="1:4" x14ac:dyDescent="0.2">
      <c r="A1124" s="5">
        <v>1063</v>
      </c>
      <c r="B1124" s="138">
        <f>'Expenditures 15-22'!K56</f>
        <v>2560</v>
      </c>
      <c r="C1124" s="2" t="s">
        <v>594</v>
      </c>
      <c r="D1124" s="2" t="str">
        <f t="shared" si="16"/>
        <v>Error?</v>
      </c>
    </row>
    <row r="1125" spans="1:4" x14ac:dyDescent="0.2">
      <c r="A1125" s="5">
        <v>1064</v>
      </c>
      <c r="B1125" s="138">
        <f>'Expenditures 15-22'!K57</f>
        <v>1100944</v>
      </c>
      <c r="C1125" s="2" t="s">
        <v>594</v>
      </c>
      <c r="D1125" s="2" t="str">
        <f t="shared" si="16"/>
        <v>Error?</v>
      </c>
    </row>
    <row r="1126" spans="1:4" x14ac:dyDescent="0.2">
      <c r="A1126" s="5">
        <v>1065</v>
      </c>
      <c r="B1126" s="138">
        <f>'Expenditures 15-22'!K59</f>
        <v>78122</v>
      </c>
      <c r="C1126" s="2" t="s">
        <v>594</v>
      </c>
      <c r="D1126" s="2" t="str">
        <f t="shared" si="16"/>
        <v>Error?</v>
      </c>
    </row>
    <row r="1127" spans="1:4" x14ac:dyDescent="0.2">
      <c r="A1127" s="5">
        <v>1066</v>
      </c>
      <c r="B1127" s="138">
        <f>'Expenditures 15-22'!K60</f>
        <v>200505</v>
      </c>
      <c r="C1127" s="2" t="s">
        <v>594</v>
      </c>
      <c r="D1127" s="2" t="str">
        <f t="shared" si="16"/>
        <v>Error?</v>
      </c>
    </row>
    <row r="1128" spans="1:4" x14ac:dyDescent="0.2">
      <c r="A1128" s="5">
        <v>1067</v>
      </c>
      <c r="B1128" s="138">
        <f>'Expenditures 15-22'!K61</f>
        <v>3427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752141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1034195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4823</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4823</v>
      </c>
      <c r="C1141" s="2" t="s">
        <v>594</v>
      </c>
      <c r="D1141" s="2" t="str">
        <f t="shared" si="16"/>
        <v>Error?</v>
      </c>
    </row>
    <row r="1142" spans="1:4" x14ac:dyDescent="0.2">
      <c r="A1142" s="5">
        <v>1081</v>
      </c>
      <c r="B1142" s="138">
        <f>'Expenditures 15-22'!K73</f>
        <v>3246</v>
      </c>
      <c r="C1142" s="2" t="s">
        <v>594</v>
      </c>
      <c r="D1142" s="2" t="str">
        <f t="shared" si="16"/>
        <v>Error?</v>
      </c>
    </row>
    <row r="1143" spans="1:4" x14ac:dyDescent="0.2">
      <c r="A1143" s="5">
        <v>1082</v>
      </c>
      <c r="B1143" s="138">
        <f>'Expenditures 15-22'!K74</f>
        <v>5588915</v>
      </c>
      <c r="C1143" s="2" t="s">
        <v>594</v>
      </c>
      <c r="D1143" s="2" t="str">
        <f t="shared" si="16"/>
        <v>Error?</v>
      </c>
    </row>
    <row r="1144" spans="1:4" x14ac:dyDescent="0.2">
      <c r="A1144" s="5">
        <v>1083</v>
      </c>
      <c r="B1144" s="138">
        <f>'Expenditures 15-22'!K75</f>
        <v>6162</v>
      </c>
      <c r="C1144" s="2" t="s">
        <v>594</v>
      </c>
      <c r="D1144" s="2" t="str">
        <f t="shared" si="16"/>
        <v>Error?</v>
      </c>
    </row>
    <row r="1145" spans="1:4" x14ac:dyDescent="0.2">
      <c r="A1145" s="5">
        <v>1084</v>
      </c>
      <c r="B1145" s="138">
        <f>'Expenditures 15-22'!K102</f>
        <v>707785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21437122</v>
      </c>
      <c r="C1152" s="2" t="s">
        <v>594</v>
      </c>
      <c r="D1152" s="2" t="str">
        <f t="shared" si="17"/>
        <v>Error?</v>
      </c>
    </row>
    <row r="1153" spans="1:4" x14ac:dyDescent="0.2">
      <c r="A1153" s="5">
        <v>1092</v>
      </c>
      <c r="B1153" s="138">
        <f>'Expenditures 15-22'!K115</f>
        <v>-111183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1126746</v>
      </c>
      <c r="D1221" s="2" t="str">
        <f t="shared" si="18"/>
        <v>Error?</v>
      </c>
    </row>
    <row r="1222" spans="1:4" x14ac:dyDescent="0.2">
      <c r="A1222" s="10">
        <v>1161</v>
      </c>
      <c r="D1222" s="2" t="str">
        <f t="shared" si="18"/>
        <v>OK</v>
      </c>
    </row>
    <row r="1223" spans="1:4" x14ac:dyDescent="0.2">
      <c r="A1223" s="5">
        <v>1162</v>
      </c>
      <c r="B1223" s="138">
        <f>'Expenditures 15-22'!C127</f>
        <v>1126746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1126746</v>
      </c>
      <c r="C1225" s="2" t="s">
        <v>594</v>
      </c>
      <c r="D1225" s="2" t="str">
        <f t="shared" si="18"/>
        <v>Error?</v>
      </c>
    </row>
    <row r="1226" spans="1:4" x14ac:dyDescent="0.2">
      <c r="A1226" s="5">
        <v>1165</v>
      </c>
      <c r="B1226" s="138">
        <f>'Expenditures 15-22'!C151</f>
        <v>1126746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202091</v>
      </c>
      <c r="D1229" s="2" t="str">
        <f t="shared" si="18"/>
        <v>Error?</v>
      </c>
    </row>
    <row r="1230" spans="1:4" x14ac:dyDescent="0.2">
      <c r="A1230" s="10">
        <v>1169</v>
      </c>
      <c r="D1230" s="2" t="str">
        <f t="shared" si="18"/>
        <v>OK</v>
      </c>
    </row>
    <row r="1231" spans="1:4" x14ac:dyDescent="0.2">
      <c r="A1231" s="5">
        <v>1170</v>
      </c>
      <c r="B1231" s="138">
        <f>'Expenditures 15-22'!D127</f>
        <v>202091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202091</v>
      </c>
      <c r="C1233" s="2" t="s">
        <v>594</v>
      </c>
      <c r="D1233" s="2" t="str">
        <f t="shared" si="18"/>
        <v>Error?</v>
      </c>
    </row>
    <row r="1234" spans="1:4" x14ac:dyDescent="0.2">
      <c r="A1234" s="5">
        <v>1173</v>
      </c>
      <c r="B1234" s="138">
        <f>'Expenditures 15-22'!D151</f>
        <v>202091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6794</v>
      </c>
      <c r="D1236" s="2" t="str">
        <f t="shared" si="18"/>
        <v>Error?</v>
      </c>
    </row>
    <row r="1237" spans="1:4" x14ac:dyDescent="0.2">
      <c r="A1237" s="5">
        <v>1176</v>
      </c>
      <c r="B1237" s="138">
        <f>'Expenditures 15-22'!E124</f>
        <v>578634</v>
      </c>
      <c r="D1237" s="2" t="str">
        <f t="shared" si="18"/>
        <v>Error?</v>
      </c>
    </row>
    <row r="1238" spans="1:4" x14ac:dyDescent="0.2">
      <c r="A1238" s="10">
        <v>1177</v>
      </c>
      <c r="D1238" s="2" t="str">
        <f t="shared" si="18"/>
        <v>OK</v>
      </c>
    </row>
    <row r="1239" spans="1:4" x14ac:dyDescent="0.2">
      <c r="A1239" s="5">
        <v>1178</v>
      </c>
      <c r="B1239" s="138">
        <f>'Expenditures 15-22'!E127</f>
        <v>585428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585428</v>
      </c>
      <c r="C1241" s="2" t="s">
        <v>594</v>
      </c>
      <c r="D1241" s="2" t="str">
        <f t="shared" si="18"/>
        <v>Error?</v>
      </c>
    </row>
    <row r="1242" spans="1:4" x14ac:dyDescent="0.2">
      <c r="A1242" s="5">
        <v>1181</v>
      </c>
      <c r="B1242" s="138">
        <f>'Expenditures 15-22'!E151</f>
        <v>585428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837278</v>
      </c>
      <c r="D1245" s="2" t="str">
        <f t="shared" si="18"/>
        <v>Error?</v>
      </c>
    </row>
    <row r="1246" spans="1:4" x14ac:dyDescent="0.2">
      <c r="A1246" s="10">
        <v>1185</v>
      </c>
      <c r="D1246" s="2" t="str">
        <f t="shared" si="18"/>
        <v>OK</v>
      </c>
    </row>
    <row r="1247" spans="1:4" x14ac:dyDescent="0.2">
      <c r="A1247" s="5">
        <v>1186</v>
      </c>
      <c r="B1247" s="138">
        <f>'Expenditures 15-22'!F127</f>
        <v>837278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837278</v>
      </c>
      <c r="C1249" s="2" t="s">
        <v>594</v>
      </c>
      <c r="D1249" s="2" t="str">
        <f t="shared" si="18"/>
        <v>Error?</v>
      </c>
    </row>
    <row r="1250" spans="1:4" x14ac:dyDescent="0.2">
      <c r="A1250" s="5">
        <v>1189</v>
      </c>
      <c r="B1250" s="138">
        <f>'Expenditures 15-22'!F151</f>
        <v>837278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197044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197044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197044</v>
      </c>
      <c r="C1258" s="2" t="s">
        <v>594</v>
      </c>
      <c r="D1258" s="2" t="str">
        <f t="shared" si="18"/>
        <v>Error?</v>
      </c>
    </row>
    <row r="1259" spans="1:4" x14ac:dyDescent="0.2">
      <c r="A1259" s="5">
        <v>1198</v>
      </c>
      <c r="B1259" s="138">
        <f>'Expenditures 15-22'!G151</f>
        <v>197044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1135</v>
      </c>
      <c r="D1262" s="2" t="str">
        <f t="shared" si="18"/>
        <v>Error?</v>
      </c>
    </row>
    <row r="1263" spans="1:4" x14ac:dyDescent="0.2">
      <c r="A1263" s="10">
        <v>1202</v>
      </c>
      <c r="D1263" s="2" t="str">
        <f t="shared" si="18"/>
        <v>OK</v>
      </c>
    </row>
    <row r="1264" spans="1:4" x14ac:dyDescent="0.2">
      <c r="A1264" s="5">
        <v>1203</v>
      </c>
      <c r="B1264" s="138">
        <f>'Expenditures 15-22'!H127</f>
        <v>1135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1135</v>
      </c>
      <c r="C1266" s="2" t="s">
        <v>594</v>
      </c>
      <c r="D1266" s="2" t="str">
        <f t="shared" si="18"/>
        <v>Error?</v>
      </c>
    </row>
    <row r="1267" spans="1:4" x14ac:dyDescent="0.2">
      <c r="A1267" s="5">
        <v>1206</v>
      </c>
      <c r="B1267" s="138">
        <f>'Expenditures 15-22'!H139</f>
        <v>222486</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223621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6794</v>
      </c>
      <c r="C1275" s="2" t="s">
        <v>594</v>
      </c>
      <c r="D1275" s="2" t="str">
        <f t="shared" si="18"/>
        <v>Error?</v>
      </c>
    </row>
    <row r="1276" spans="1:4" x14ac:dyDescent="0.2">
      <c r="A1276" s="5">
        <v>1215</v>
      </c>
      <c r="B1276" s="138">
        <f>'Expenditures 15-22'!K124</f>
        <v>2942928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2949722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2949722</v>
      </c>
      <c r="C1281" s="2" t="s">
        <v>594</v>
      </c>
      <c r="D1281" s="2" t="str">
        <f t="shared" si="19"/>
        <v>Error?</v>
      </c>
    </row>
    <row r="1282" spans="1:4" x14ac:dyDescent="0.2">
      <c r="A1282" s="5">
        <v>1221</v>
      </c>
      <c r="B1282" s="138">
        <f>'Expenditures 15-22'!K139</f>
        <v>222486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3172208</v>
      </c>
      <c r="C1288" s="2" t="s">
        <v>594</v>
      </c>
      <c r="D1288" s="2" t="str">
        <f t="shared" si="19"/>
        <v>Error?</v>
      </c>
    </row>
    <row r="1289" spans="1:4" x14ac:dyDescent="0.2">
      <c r="A1289" s="5">
        <v>1228</v>
      </c>
      <c r="B1289" s="138">
        <f>'Expenditures 15-22'!K152</f>
        <v>93647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445595</v>
      </c>
      <c r="D1307" s="2" t="str">
        <f t="shared" si="19"/>
        <v>Error?</v>
      </c>
    </row>
    <row r="1308" spans="1:4" x14ac:dyDescent="0.2">
      <c r="A1308" s="5">
        <v>1247</v>
      </c>
      <c r="B1308" s="138">
        <f>'Expenditures 15-22'!E172</f>
        <v>445595</v>
      </c>
      <c r="C1308" s="2" t="s">
        <v>594</v>
      </c>
      <c r="D1308" s="2" t="str">
        <f t="shared" si="19"/>
        <v>Error?</v>
      </c>
    </row>
    <row r="1309" spans="1:4" x14ac:dyDescent="0.2">
      <c r="A1309" s="5">
        <v>1248</v>
      </c>
      <c r="B1309" s="138">
        <f>'Expenditures 15-22'!E174</f>
        <v>445595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1238491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1425000</v>
      </c>
      <c r="D1315" s="2" t="str">
        <f t="shared" si="19"/>
        <v>Error?</v>
      </c>
    </row>
    <row r="1316" spans="1:4" x14ac:dyDescent="0.2">
      <c r="A1316" s="5">
        <v>1255</v>
      </c>
      <c r="B1316" s="138">
        <f>'Expenditures 15-22'!H171</f>
        <v>1425</v>
      </c>
      <c r="D1316" s="2" t="str">
        <f t="shared" si="19"/>
        <v>Error?</v>
      </c>
    </row>
    <row r="1317" spans="1:4" x14ac:dyDescent="0.2">
      <c r="A1317" s="5">
        <v>1256</v>
      </c>
      <c r="B1317" s="138">
        <f>'Expenditures 15-22'!H172</f>
        <v>2664916</v>
      </c>
      <c r="C1317" s="2" t="s">
        <v>594</v>
      </c>
      <c r="D1317" s="2" t="str">
        <f t="shared" si="19"/>
        <v>Error?</v>
      </c>
    </row>
    <row r="1318" spans="1:4" x14ac:dyDescent="0.2">
      <c r="A1318" s="5">
        <v>1257</v>
      </c>
      <c r="B1318" s="138">
        <f>'Expenditures 15-22'!H174</f>
        <v>2664916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1238491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1425000</v>
      </c>
      <c r="C1329" s="2" t="s">
        <v>594</v>
      </c>
      <c r="D1329" s="2" t="str">
        <f t="shared" si="19"/>
        <v>Error?</v>
      </c>
    </row>
    <row r="1330" spans="1:4" x14ac:dyDescent="0.2">
      <c r="A1330" s="5">
        <v>1269</v>
      </c>
      <c r="B1330" s="138">
        <f>'Expenditures 15-22'!K171</f>
        <v>447020</v>
      </c>
      <c r="C1330" s="2" t="s">
        <v>594</v>
      </c>
      <c r="D1330" s="2" t="str">
        <f t="shared" si="19"/>
        <v>Error?</v>
      </c>
    </row>
    <row r="1331" spans="1:4" x14ac:dyDescent="0.2">
      <c r="A1331" s="5">
        <v>1270</v>
      </c>
      <c r="B1331" s="138">
        <f>'Expenditures 15-22'!K172</f>
        <v>3110511</v>
      </c>
      <c r="C1331" s="2" t="s">
        <v>594</v>
      </c>
      <c r="D1331" s="2" t="str">
        <f t="shared" si="19"/>
        <v>Error?</v>
      </c>
    </row>
    <row r="1332" spans="1:4" x14ac:dyDescent="0.2">
      <c r="A1332" s="5">
        <v>1271</v>
      </c>
      <c r="B1332" s="138">
        <f>'Expenditures 15-22'!K174</f>
        <v>3110511</v>
      </c>
      <c r="C1332" s="2" t="s">
        <v>594</v>
      </c>
      <c r="D1332" s="2" t="str">
        <f t="shared" si="19"/>
        <v>Error?</v>
      </c>
    </row>
    <row r="1333" spans="1:4" x14ac:dyDescent="0.2">
      <c r="A1333" s="5">
        <v>1272</v>
      </c>
      <c r="B1333" s="138">
        <f>'Expenditures 15-22'!K175</f>
        <v>293972</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2036229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2036229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2036229</v>
      </c>
      <c r="C1353" s="2" t="s">
        <v>594</v>
      </c>
      <c r="D1353" s="2" t="str">
        <f t="shared" si="20"/>
        <v>Error?</v>
      </c>
    </row>
    <row r="1354" spans="1:4" x14ac:dyDescent="0.2">
      <c r="A1354" s="5">
        <v>1293</v>
      </c>
      <c r="B1354" s="138">
        <f>'Expenditures 15-22'!F182</f>
        <v>270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270</v>
      </c>
      <c r="C1358" s="2" t="s">
        <v>594</v>
      </c>
      <c r="D1358" s="2" t="str">
        <f t="shared" si="20"/>
        <v>Error?</v>
      </c>
    </row>
    <row r="1359" spans="1:4" x14ac:dyDescent="0.2">
      <c r="A1359" s="5">
        <v>1298</v>
      </c>
      <c r="B1359" s="138">
        <f>'Expenditures 15-22'!F210</f>
        <v>270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2036499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2036499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2036499</v>
      </c>
      <c r="C1388" s="2" t="s">
        <v>594</v>
      </c>
      <c r="D1388" s="2" t="str">
        <f t="shared" si="20"/>
        <v>Error?</v>
      </c>
    </row>
    <row r="1389" spans="1:4" x14ac:dyDescent="0.2">
      <c r="A1389" s="5">
        <v>1328</v>
      </c>
      <c r="B1389" s="138">
        <f>'Expenditures 15-22'!K211</f>
        <v>111530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4490</v>
      </c>
      <c r="D1407" s="2" t="str">
        <f t="shared" ref="D1407:D1470" si="21">IF(ISBLANK(B1407),"OK",IF(A1407-B1407=0,"OK","Error?"))</f>
        <v>Error?</v>
      </c>
    </row>
    <row r="1408" spans="1:4" x14ac:dyDescent="0.2">
      <c r="A1408" s="5">
        <v>1347</v>
      </c>
      <c r="B1408" s="138">
        <f>'Expenditures 15-22'!D223</f>
        <v>13148</v>
      </c>
      <c r="D1408" s="2" t="str">
        <f t="shared" si="21"/>
        <v>Error?</v>
      </c>
    </row>
    <row r="1409" spans="1:4" x14ac:dyDescent="0.2">
      <c r="A1409" s="5">
        <v>1348</v>
      </c>
      <c r="B1409" s="138">
        <f>'Expenditures 15-22'!D224</f>
        <v>330</v>
      </c>
      <c r="D1409" s="2" t="str">
        <f t="shared" si="21"/>
        <v>Error?</v>
      </c>
    </row>
    <row r="1410" spans="1:4" x14ac:dyDescent="0.2">
      <c r="A1410" s="5">
        <v>1349</v>
      </c>
      <c r="B1410" s="138">
        <f>'Expenditures 15-22'!D229</f>
        <v>277398</v>
      </c>
      <c r="C1410" s="2" t="s">
        <v>594</v>
      </c>
      <c r="D1410" s="2" t="str">
        <f t="shared" si="21"/>
        <v>Error?</v>
      </c>
    </row>
    <row r="1411" spans="1:4" x14ac:dyDescent="0.2">
      <c r="A1411" s="5">
        <v>1350</v>
      </c>
      <c r="B1411" s="138">
        <f>'Expenditures 15-22'!D232</f>
        <v>3337</v>
      </c>
      <c r="D1411" s="2" t="str">
        <f t="shared" si="21"/>
        <v>Error?</v>
      </c>
    </row>
    <row r="1412" spans="1:4" x14ac:dyDescent="0.2">
      <c r="A1412" s="5">
        <v>1351</v>
      </c>
      <c r="B1412" s="138">
        <f>'Expenditures 15-22'!D233</f>
        <v>3000</v>
      </c>
      <c r="D1412" s="2" t="str">
        <f t="shared" si="21"/>
        <v>Error?</v>
      </c>
    </row>
    <row r="1413" spans="1:4" x14ac:dyDescent="0.2">
      <c r="A1413" s="5">
        <v>1352</v>
      </c>
      <c r="B1413" s="138">
        <f>'Expenditures 15-22'!D234</f>
        <v>17580</v>
      </c>
      <c r="D1413" s="2" t="str">
        <f t="shared" si="21"/>
        <v>Error?</v>
      </c>
    </row>
    <row r="1414" spans="1:4" x14ac:dyDescent="0.2">
      <c r="A1414" s="5">
        <v>1353</v>
      </c>
      <c r="B1414" s="138">
        <f>'Expenditures 15-22'!D235</f>
        <v>1829</v>
      </c>
      <c r="D1414" s="2" t="str">
        <f t="shared" si="21"/>
        <v>Error?</v>
      </c>
    </row>
    <row r="1415" spans="1:4" x14ac:dyDescent="0.2">
      <c r="A1415" s="5">
        <v>1354</v>
      </c>
      <c r="B1415" s="138">
        <f>'Expenditures 15-22'!D236</f>
        <v>3280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29026</v>
      </c>
      <c r="C1417" s="2" t="s">
        <v>594</v>
      </c>
      <c r="D1417" s="2" t="str">
        <f t="shared" si="21"/>
        <v>Error?</v>
      </c>
    </row>
    <row r="1418" spans="1:4" x14ac:dyDescent="0.2">
      <c r="A1418" s="5">
        <v>1357</v>
      </c>
      <c r="B1418" s="138">
        <f>'Expenditures 15-22'!D240</f>
        <v>10943</v>
      </c>
      <c r="D1418" s="2" t="str">
        <f t="shared" si="21"/>
        <v>Error?</v>
      </c>
    </row>
    <row r="1419" spans="1:4" x14ac:dyDescent="0.2">
      <c r="A1419" s="5">
        <v>1358</v>
      </c>
      <c r="B1419" s="138">
        <f>'Expenditures 15-22'!D241</f>
        <v>47253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58196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13652</v>
      </c>
      <c r="D1423" s="2" t="str">
        <f t="shared" si="21"/>
        <v>Error?</v>
      </c>
    </row>
    <row r="1424" spans="1:4" x14ac:dyDescent="0.2">
      <c r="A1424" s="5">
        <v>1363</v>
      </c>
      <c r="B1424" s="138">
        <f>'Expenditures 15-22'!D257</f>
        <v>13652</v>
      </c>
      <c r="C1424" s="2" t="s">
        <v>594</v>
      </c>
      <c r="D1424" s="2" t="str">
        <f t="shared" si="21"/>
        <v>Error?</v>
      </c>
    </row>
    <row r="1425" spans="1:4" x14ac:dyDescent="0.2">
      <c r="A1425" s="5">
        <v>1364</v>
      </c>
      <c r="B1425" s="138">
        <f>'Expenditures 15-22'!D259</f>
        <v>47049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47049</v>
      </c>
      <c r="C1427" s="2" t="s">
        <v>594</v>
      </c>
      <c r="D1427" s="2" t="str">
        <f t="shared" si="21"/>
        <v>Error?</v>
      </c>
    </row>
    <row r="1428" spans="1:4" x14ac:dyDescent="0.2">
      <c r="A1428" s="5">
        <v>1367</v>
      </c>
      <c r="B1428" s="138">
        <f>'Expenditures 15-22'!D263</f>
        <v>791</v>
      </c>
      <c r="D1428" s="2" t="str">
        <f t="shared" si="21"/>
        <v>Error?</v>
      </c>
    </row>
    <row r="1429" spans="1:4" x14ac:dyDescent="0.2">
      <c r="A1429" s="5">
        <v>1368</v>
      </c>
      <c r="B1429" s="138">
        <f>'Expenditures 15-22'!D264</f>
        <v>26484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209433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48124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284832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432755</v>
      </c>
      <c r="C1446" s="2" t="s">
        <v>594</v>
      </c>
      <c r="D1446" s="2" t="str">
        <f t="shared" si="21"/>
        <v>Error?</v>
      </c>
    </row>
    <row r="1447" spans="1:4" x14ac:dyDescent="0.2">
      <c r="A1447" s="5">
        <v>1386</v>
      </c>
      <c r="B1447" s="138">
        <f>'Expenditures 15-22'!D280</f>
        <v>468</v>
      </c>
      <c r="D1447" s="2" t="str">
        <f t="shared" si="21"/>
        <v>Error?</v>
      </c>
    </row>
    <row r="1448" spans="1:4" x14ac:dyDescent="0.2">
      <c r="A1448" s="5">
        <v>1387</v>
      </c>
      <c r="B1448" s="138">
        <f>'Expenditures 15-22'!D295</f>
        <v>710621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4490</v>
      </c>
      <c r="C1471" s="2" t="s">
        <v>594</v>
      </c>
      <c r="D1471" s="2" t="str">
        <f t="shared" ref="D1471:D1534" si="22">IF(ISBLANK(B1471),"OK",IF(A1471-B1471=0,"OK","Error?"))</f>
        <v>Error?</v>
      </c>
    </row>
    <row r="1472" spans="1:4" x14ac:dyDescent="0.2">
      <c r="A1472" s="5">
        <v>1411</v>
      </c>
      <c r="B1472" s="138">
        <f>'Expenditures 15-22'!K223</f>
        <v>13148</v>
      </c>
      <c r="C1472" s="2" t="s">
        <v>594</v>
      </c>
      <c r="D1472" s="2" t="str">
        <f t="shared" si="22"/>
        <v>Error?</v>
      </c>
    </row>
    <row r="1473" spans="1:4" x14ac:dyDescent="0.2">
      <c r="A1473" s="5">
        <v>1412</v>
      </c>
      <c r="B1473" s="138">
        <f>'Expenditures 15-22'!K224</f>
        <v>330</v>
      </c>
      <c r="C1473" s="2" t="s">
        <v>594</v>
      </c>
      <c r="D1473" s="2" t="str">
        <f t="shared" si="22"/>
        <v>Error?</v>
      </c>
    </row>
    <row r="1474" spans="1:4" x14ac:dyDescent="0.2">
      <c r="A1474" s="5">
        <v>1413</v>
      </c>
      <c r="B1474" s="138">
        <f>'Expenditures 15-22'!K229</f>
        <v>277398</v>
      </c>
      <c r="C1474" s="2" t="s">
        <v>594</v>
      </c>
      <c r="D1474" s="2" t="str">
        <f t="shared" si="22"/>
        <v>Error?</v>
      </c>
    </row>
    <row r="1475" spans="1:4" x14ac:dyDescent="0.2">
      <c r="A1475" s="5">
        <v>1414</v>
      </c>
      <c r="B1475" s="138">
        <f>'Expenditures 15-22'!K232</f>
        <v>3337</v>
      </c>
      <c r="C1475" s="2" t="s">
        <v>594</v>
      </c>
      <c r="D1475" s="2" t="str">
        <f t="shared" si="22"/>
        <v>Error?</v>
      </c>
    </row>
    <row r="1476" spans="1:4" x14ac:dyDescent="0.2">
      <c r="A1476" s="5">
        <v>1415</v>
      </c>
      <c r="B1476" s="138">
        <f>'Expenditures 15-22'!K233</f>
        <v>3000</v>
      </c>
      <c r="C1476" s="2" t="s">
        <v>594</v>
      </c>
      <c r="D1476" s="2" t="str">
        <f t="shared" si="22"/>
        <v>Error?</v>
      </c>
    </row>
    <row r="1477" spans="1:4" x14ac:dyDescent="0.2">
      <c r="A1477" s="5">
        <v>1416</v>
      </c>
      <c r="B1477" s="138">
        <f>'Expenditures 15-22'!K234</f>
        <v>17580</v>
      </c>
      <c r="C1477" s="2" t="s">
        <v>594</v>
      </c>
      <c r="D1477" s="2" t="str">
        <f t="shared" si="22"/>
        <v>Error?</v>
      </c>
    </row>
    <row r="1478" spans="1:4" x14ac:dyDescent="0.2">
      <c r="A1478" s="5">
        <v>1417</v>
      </c>
      <c r="B1478" s="138">
        <f>'Expenditures 15-22'!K235</f>
        <v>1829</v>
      </c>
      <c r="C1478" s="2" t="s">
        <v>594</v>
      </c>
      <c r="D1478" s="2" t="str">
        <f t="shared" si="22"/>
        <v>Error?</v>
      </c>
    </row>
    <row r="1479" spans="1:4" x14ac:dyDescent="0.2">
      <c r="A1479" s="5">
        <v>1418</v>
      </c>
      <c r="B1479" s="138">
        <f>'Expenditures 15-22'!K236</f>
        <v>3280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29026</v>
      </c>
      <c r="C1481" s="2" t="s">
        <v>594</v>
      </c>
      <c r="D1481" s="2" t="str">
        <f t="shared" si="22"/>
        <v>Error?</v>
      </c>
    </row>
    <row r="1482" spans="1:4" x14ac:dyDescent="0.2">
      <c r="A1482" s="5">
        <v>1421</v>
      </c>
      <c r="B1482" s="138">
        <f>'Expenditures 15-22'!K240</f>
        <v>10943</v>
      </c>
      <c r="C1482" s="2" t="s">
        <v>594</v>
      </c>
      <c r="D1482" s="2" t="str">
        <f t="shared" si="22"/>
        <v>Error?</v>
      </c>
    </row>
    <row r="1483" spans="1:4" x14ac:dyDescent="0.2">
      <c r="A1483" s="5">
        <v>1422</v>
      </c>
      <c r="B1483" s="138">
        <f>'Expenditures 15-22'!K241</f>
        <v>47253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58196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13652</v>
      </c>
      <c r="C1487" s="2" t="s">
        <v>594</v>
      </c>
      <c r="D1487" s="2" t="str">
        <f t="shared" si="22"/>
        <v>Error?</v>
      </c>
    </row>
    <row r="1488" spans="1:4" x14ac:dyDescent="0.2">
      <c r="A1488" s="5">
        <v>1427</v>
      </c>
      <c r="B1488" s="138">
        <f>'Expenditures 15-22'!K257</f>
        <v>13652</v>
      </c>
      <c r="C1488" s="2" t="s">
        <v>594</v>
      </c>
      <c r="D1488" s="2" t="str">
        <f t="shared" si="22"/>
        <v>Error?</v>
      </c>
    </row>
    <row r="1489" spans="1:4" x14ac:dyDescent="0.2">
      <c r="A1489" s="5">
        <v>1428</v>
      </c>
      <c r="B1489" s="138">
        <f>'Expenditures 15-22'!K259</f>
        <v>47049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47049</v>
      </c>
      <c r="C1491" s="2" t="s">
        <v>594</v>
      </c>
      <c r="D1491" s="2" t="str">
        <f t="shared" si="22"/>
        <v>Error?</v>
      </c>
    </row>
    <row r="1492" spans="1:4" x14ac:dyDescent="0.2">
      <c r="A1492" s="5">
        <v>1431</v>
      </c>
      <c r="B1492" s="138">
        <f>'Expenditures 15-22'!K263</f>
        <v>791</v>
      </c>
      <c r="C1492" s="2" t="s">
        <v>594</v>
      </c>
      <c r="D1492" s="2" t="str">
        <f t="shared" si="22"/>
        <v>Error?</v>
      </c>
    </row>
    <row r="1493" spans="1:4" x14ac:dyDescent="0.2">
      <c r="A1493" s="5">
        <v>1432</v>
      </c>
      <c r="B1493" s="138">
        <f>'Expenditures 15-22'!K264</f>
        <v>26484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209433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48124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284832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432755</v>
      </c>
      <c r="C1510" s="2" t="s">
        <v>594</v>
      </c>
      <c r="D1510" s="2" t="str">
        <f t="shared" si="22"/>
        <v>Error?</v>
      </c>
    </row>
    <row r="1511" spans="1:4" x14ac:dyDescent="0.2">
      <c r="A1511" s="5">
        <v>1450</v>
      </c>
      <c r="B1511" s="138">
        <f>'Expenditures 15-22'!K280</f>
        <v>468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710621</v>
      </c>
      <c r="C1517" s="2" t="s">
        <v>594</v>
      </c>
      <c r="D1517" s="2" t="str">
        <f t="shared" si="22"/>
        <v>Error?</v>
      </c>
    </row>
    <row r="1518" spans="1:4" x14ac:dyDescent="0.2">
      <c r="A1518" s="5">
        <v>1457</v>
      </c>
      <c r="B1518" s="138">
        <f>'Expenditures 15-22'!K296</f>
        <v>-21385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119012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119012</v>
      </c>
      <c r="C1535" s="2" t="s">
        <v>594</v>
      </c>
      <c r="D1535" s="2" t="str">
        <f t="shared" ref="D1535:D1598" si="23">IF(ISBLANK(B1535),"OK",IF(A1535-B1535=0,"OK","Error?"))</f>
        <v>Error?</v>
      </c>
    </row>
    <row r="1536" spans="1:4" x14ac:dyDescent="0.2">
      <c r="A1536" s="5">
        <v>1475</v>
      </c>
      <c r="B1536" s="138">
        <f>'Expenditures 15-22'!E312</f>
        <v>119012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2461808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2461808</v>
      </c>
      <c r="C1547" s="2" t="s">
        <v>594</v>
      </c>
      <c r="D1547" s="2" t="str">
        <f t="shared" si="23"/>
        <v>Error?</v>
      </c>
    </row>
    <row r="1548" spans="1:4" x14ac:dyDescent="0.2">
      <c r="A1548" s="5">
        <v>1487</v>
      </c>
      <c r="B1548" s="138">
        <f>'Expenditures 15-22'!G312</f>
        <v>2461808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2580820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2580820</v>
      </c>
      <c r="C1559" s="2" t="s">
        <v>594</v>
      </c>
      <c r="D1559" s="2" t="str">
        <f t="shared" si="23"/>
        <v>Error?</v>
      </c>
    </row>
    <row r="1560" spans="1:4" x14ac:dyDescent="0.2">
      <c r="A1560" s="5">
        <v>1499</v>
      </c>
      <c r="B1560" s="138">
        <f>'Expenditures 15-22'!K312</f>
        <v>2580820</v>
      </c>
      <c r="C1560" s="2" t="s">
        <v>594</v>
      </c>
      <c r="D1560" s="2" t="str">
        <f t="shared" si="23"/>
        <v>Error?</v>
      </c>
    </row>
    <row r="1561" spans="1:4" x14ac:dyDescent="0.2">
      <c r="A1561" s="5">
        <v>1500</v>
      </c>
      <c r="B1561" s="138">
        <f>'Expenditures 15-22'!K313</f>
        <v>-2537266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12308208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12197025</v>
      </c>
      <c r="C1630" s="2" t="s">
        <v>594</v>
      </c>
      <c r="D1630" s="2" t="str">
        <f t="shared" si="24"/>
        <v>Error?</v>
      </c>
    </row>
    <row r="1631" spans="1:4" x14ac:dyDescent="0.2">
      <c r="A1631" s="5">
        <v>1570</v>
      </c>
      <c r="B1631" s="138">
        <f>'Acct Summary 7-8'!D79</f>
        <v>1116132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1209779</v>
      </c>
      <c r="C1644" s="2" t="s">
        <v>594</v>
      </c>
      <c r="D1644" s="2" t="str">
        <f t="shared" si="24"/>
        <v>Error?</v>
      </c>
    </row>
    <row r="1645" spans="1:4" x14ac:dyDescent="0.2">
      <c r="A1645" s="5">
        <v>1584</v>
      </c>
      <c r="B1645" s="138">
        <f>'Acct Summary 7-8'!E79</f>
        <v>128692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89957</v>
      </c>
      <c r="C1658" s="2" t="s">
        <v>594</v>
      </c>
      <c r="D1658" s="2" t="str">
        <f t="shared" si="24"/>
        <v>Error?</v>
      </c>
    </row>
    <row r="1659" spans="1:4" x14ac:dyDescent="0.2">
      <c r="A1659" s="5">
        <v>1598</v>
      </c>
      <c r="B1659" s="138">
        <f>'Acct Summary 7-8'!F79</f>
        <v>2132670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2244200</v>
      </c>
      <c r="C1672" s="2" t="s">
        <v>594</v>
      </c>
      <c r="D1672" s="2" t="str">
        <f t="shared" si="25"/>
        <v>Error?</v>
      </c>
    </row>
    <row r="1673" spans="1:4" x14ac:dyDescent="0.2">
      <c r="A1673" s="5">
        <v>1612</v>
      </c>
      <c r="B1673" s="138">
        <f>'Acct Summary 7-8'!G79</f>
        <v>229472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208087</v>
      </c>
      <c r="C1686" s="2" t="s">
        <v>594</v>
      </c>
      <c r="D1686" s="2" t="str">
        <f t="shared" si="25"/>
        <v>Error?</v>
      </c>
    </row>
    <row r="1687" spans="1:4" x14ac:dyDescent="0.2">
      <c r="A1687" s="5">
        <v>1626</v>
      </c>
      <c r="B1687" s="138">
        <f>'Acct Summary 7-8'!H79</f>
        <v>2846480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809214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15246276</v>
      </c>
      <c r="C1744" s="2" t="s">
        <v>594</v>
      </c>
      <c r="D1744" s="2" t="str">
        <f t="shared" si="26"/>
        <v>Error?</v>
      </c>
    </row>
    <row r="1745" spans="1:5" x14ac:dyDescent="0.2">
      <c r="A1745" s="5">
        <v>1684</v>
      </c>
      <c r="B1745" s="138">
        <f>'Tax Sched 23'!B5</f>
        <v>3242774</v>
      </c>
      <c r="C1745" s="2" t="s">
        <v>594</v>
      </c>
      <c r="D1745" s="2" t="str">
        <f t="shared" si="26"/>
        <v>Error?</v>
      </c>
    </row>
    <row r="1746" spans="1:5" x14ac:dyDescent="0.2">
      <c r="A1746" s="5">
        <v>1685</v>
      </c>
      <c r="B1746" s="138">
        <f>'Tax Sched 23'!B6</f>
        <v>3401035</v>
      </c>
      <c r="C1746" s="2" t="s">
        <v>594</v>
      </c>
      <c r="D1746" s="2" t="str">
        <f t="shared" si="26"/>
        <v>Error?</v>
      </c>
    </row>
    <row r="1747" spans="1:5" x14ac:dyDescent="0.2">
      <c r="A1747" s="5">
        <v>1686</v>
      </c>
      <c r="B1747" s="138">
        <f>'Tax Sched 23'!B7</f>
        <v>1220824</v>
      </c>
      <c r="C1747" s="2" t="s">
        <v>594</v>
      </c>
      <c r="D1747" s="2" t="str">
        <f t="shared" si="26"/>
        <v>Error?</v>
      </c>
    </row>
    <row r="1748" spans="1:5" x14ac:dyDescent="0.2">
      <c r="A1748" s="5">
        <v>1687</v>
      </c>
      <c r="B1748" s="138">
        <f>'Tax Sched 23'!B8</f>
        <v>297573</v>
      </c>
      <c r="C1748" s="2" t="s">
        <v>594</v>
      </c>
      <c r="D1748" s="2" t="str">
        <f t="shared" si="26"/>
        <v>Error?</v>
      </c>
    </row>
    <row r="1749" spans="1:5" x14ac:dyDescent="0.2">
      <c r="A1749" s="5">
        <v>1688</v>
      </c>
      <c r="B1749" s="138">
        <f>'Tax Sched 23'!B10</f>
        <v>152661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228915</v>
      </c>
      <c r="C1752" s="2" t="s">
        <v>594</v>
      </c>
      <c r="D1752" s="2" t="str">
        <f t="shared" si="26"/>
        <v>Error?</v>
      </c>
    </row>
    <row r="1753" spans="1:5" x14ac:dyDescent="0.2">
      <c r="A1753" s="5">
        <v>1692</v>
      </c>
      <c r="B1753" s="138">
        <f>'Tax Sched 23'!B12</f>
        <v>76330</v>
      </c>
      <c r="C1753" s="2" t="s">
        <v>594</v>
      </c>
      <c r="D1753" s="2" t="str">
        <f t="shared" si="26"/>
        <v>Error?</v>
      </c>
    </row>
    <row r="1754" spans="1:5" x14ac:dyDescent="0.2">
      <c r="A1754" s="5">
        <v>1693</v>
      </c>
      <c r="B1754" s="138">
        <f>'Tax Sched 23'!B14</f>
        <v>305245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24738085</v>
      </c>
      <c r="C1759" s="2" t="s">
        <v>594</v>
      </c>
      <c r="D1759" s="2" t="str">
        <f t="shared" si="26"/>
        <v>Error?</v>
      </c>
    </row>
    <row r="1760" spans="1:5" x14ac:dyDescent="0.2">
      <c r="A1760" s="5">
        <v>1699</v>
      </c>
      <c r="B1760" s="138">
        <f>'Tax Sched 23'!D4</f>
        <v>15246276</v>
      </c>
      <c r="C1760" s="2" t="s">
        <v>594</v>
      </c>
      <c r="D1760" s="2" t="str">
        <f t="shared" si="26"/>
        <v>Error?</v>
      </c>
    </row>
    <row r="1761" spans="1:5" x14ac:dyDescent="0.2">
      <c r="A1761" s="5">
        <v>1700</v>
      </c>
      <c r="B1761" s="138">
        <f>'Tax Sched 23'!D5</f>
        <v>3242774</v>
      </c>
      <c r="C1761" s="2" t="s">
        <v>594</v>
      </c>
      <c r="D1761" s="2" t="str">
        <f t="shared" si="26"/>
        <v>Error?</v>
      </c>
    </row>
    <row r="1762" spans="1:5" s="8" customFormat="1" x14ac:dyDescent="0.2">
      <c r="A1762" s="5">
        <v>1701</v>
      </c>
      <c r="B1762" s="138">
        <f>'Tax Sched 23'!D6</f>
        <v>3401035</v>
      </c>
      <c r="C1762" s="2" t="s">
        <v>594</v>
      </c>
      <c r="D1762" s="2" t="str">
        <f t="shared" si="26"/>
        <v>Error?</v>
      </c>
      <c r="E1762" s="9"/>
    </row>
    <row r="1763" spans="1:5" x14ac:dyDescent="0.2">
      <c r="A1763" s="5">
        <v>1702</v>
      </c>
      <c r="B1763" s="138">
        <f>'Tax Sched 23'!D7</f>
        <v>1220824</v>
      </c>
      <c r="C1763" s="2" t="s">
        <v>594</v>
      </c>
      <c r="D1763" s="2" t="str">
        <f t="shared" si="26"/>
        <v>Error?</v>
      </c>
    </row>
    <row r="1764" spans="1:5" x14ac:dyDescent="0.2">
      <c r="A1764" s="5">
        <v>1703</v>
      </c>
      <c r="B1764" s="138">
        <f>'Tax Sched 23'!D8</f>
        <v>297573</v>
      </c>
      <c r="C1764" s="2" t="s">
        <v>594</v>
      </c>
      <c r="D1764" s="2" t="str">
        <f t="shared" si="26"/>
        <v>Error?</v>
      </c>
    </row>
    <row r="1765" spans="1:5" x14ac:dyDescent="0.2">
      <c r="A1765" s="5">
        <v>1704</v>
      </c>
      <c r="B1765" s="138">
        <f>'Tax Sched 23'!D10</f>
        <v>152661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228915</v>
      </c>
      <c r="C1768" s="2" t="s">
        <v>594</v>
      </c>
      <c r="D1768" s="2" t="str">
        <f t="shared" si="26"/>
        <v>Error?</v>
      </c>
    </row>
    <row r="1769" spans="1:5" x14ac:dyDescent="0.2">
      <c r="A1769" s="5">
        <v>1708</v>
      </c>
      <c r="B1769" s="138">
        <f>'Tax Sched 23'!D12</f>
        <v>76330</v>
      </c>
      <c r="C1769" s="2" t="s">
        <v>594</v>
      </c>
      <c r="D1769" s="2" t="str">
        <f t="shared" si="26"/>
        <v>Error?</v>
      </c>
    </row>
    <row r="1770" spans="1:5" x14ac:dyDescent="0.2">
      <c r="A1770" s="5">
        <v>1709</v>
      </c>
      <c r="B1770" s="138">
        <f>'Tax Sched 23'!D14</f>
        <v>305245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24738085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15621919</v>
      </c>
      <c r="C1792" s="2" t="s">
        <v>594</v>
      </c>
      <c r="D1792" s="2" t="str">
        <f t="shared" si="27"/>
        <v>Error?</v>
      </c>
    </row>
    <row r="1793" spans="1:4" x14ac:dyDescent="0.2">
      <c r="A1793" s="5">
        <v>1732</v>
      </c>
      <c r="B1793" s="138">
        <f>'Tax Sched 23'!F5</f>
        <v>3323932</v>
      </c>
      <c r="C1793" s="2" t="s">
        <v>594</v>
      </c>
      <c r="D1793" s="2" t="str">
        <f t="shared" si="27"/>
        <v>Error?</v>
      </c>
    </row>
    <row r="1794" spans="1:4" x14ac:dyDescent="0.2">
      <c r="A1794" s="5">
        <v>1733</v>
      </c>
      <c r="B1794" s="138">
        <f>'Tax Sched 23'!F6</f>
        <v>3538134</v>
      </c>
      <c r="C1794" s="2" t="s">
        <v>594</v>
      </c>
      <c r="D1794" s="2" t="str">
        <f t="shared" si="27"/>
        <v>Error?</v>
      </c>
    </row>
    <row r="1795" spans="1:4" x14ac:dyDescent="0.2">
      <c r="A1795" s="5">
        <v>1734</v>
      </c>
      <c r="B1795" s="138">
        <f>'Tax Sched 23'!F7</f>
        <v>1414437</v>
      </c>
      <c r="C1795" s="2" t="s">
        <v>594</v>
      </c>
      <c r="D1795" s="2" t="str">
        <f t="shared" si="27"/>
        <v>Error?</v>
      </c>
    </row>
    <row r="1796" spans="1:4" x14ac:dyDescent="0.2">
      <c r="A1796" s="5">
        <v>1735</v>
      </c>
      <c r="B1796" s="138">
        <f>'Tax Sched 23'!F8</f>
        <v>314346</v>
      </c>
      <c r="C1796" s="2" t="s">
        <v>594</v>
      </c>
      <c r="D1796" s="2" t="str">
        <f t="shared" si="27"/>
        <v>Error?</v>
      </c>
    </row>
    <row r="1797" spans="1:4" x14ac:dyDescent="0.2">
      <c r="A1797" s="5">
        <v>1736</v>
      </c>
      <c r="B1797" s="138">
        <f>'Tax Sched 23'!F10</f>
        <v>224027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223241</v>
      </c>
      <c r="C1800" s="2" t="s">
        <v>594</v>
      </c>
      <c r="D1800" s="2" t="str">
        <f t="shared" si="27"/>
        <v>Error?</v>
      </c>
    </row>
    <row r="1801" spans="1:4" x14ac:dyDescent="0.2">
      <c r="A1801" s="5">
        <v>1740</v>
      </c>
      <c r="B1801" s="138">
        <f>'Tax Sched 23'!F12</f>
        <v>39303</v>
      </c>
      <c r="C1801" s="2" t="s">
        <v>594</v>
      </c>
      <c r="D1801" s="2" t="str">
        <f t="shared" si="27"/>
        <v>Error?</v>
      </c>
    </row>
    <row r="1802" spans="1:4" x14ac:dyDescent="0.2">
      <c r="A1802" s="5">
        <v>1741</v>
      </c>
      <c r="B1802" s="138">
        <f>'Tax Sched 23'!F14</f>
        <v>312695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25601421</v>
      </c>
      <c r="C1807" s="2" t="s">
        <v>594</v>
      </c>
      <c r="D1807" s="2" t="str">
        <f t="shared" si="27"/>
        <v>Error?</v>
      </c>
    </row>
    <row r="1808" spans="1:4" x14ac:dyDescent="0.2">
      <c r="A1808" s="5">
        <v>1747</v>
      </c>
      <c r="B1808" s="138">
        <f>'Tax Sched 23'!E4</f>
        <v>15621919</v>
      </c>
      <c r="D1808" s="2" t="str">
        <f t="shared" si="27"/>
        <v>Error?</v>
      </c>
    </row>
    <row r="1809" spans="1:4" x14ac:dyDescent="0.2">
      <c r="A1809" s="5">
        <v>1748</v>
      </c>
      <c r="B1809" s="138">
        <f>'Tax Sched 23'!E5</f>
        <v>3323932</v>
      </c>
      <c r="D1809" s="2" t="str">
        <f t="shared" si="27"/>
        <v>Error?</v>
      </c>
    </row>
    <row r="1810" spans="1:4" x14ac:dyDescent="0.2">
      <c r="A1810" s="5">
        <v>1749</v>
      </c>
      <c r="B1810" s="138">
        <f>'Tax Sched 23'!E6</f>
        <v>3538134</v>
      </c>
      <c r="D1810" s="2" t="str">
        <f t="shared" si="27"/>
        <v>Error?</v>
      </c>
    </row>
    <row r="1811" spans="1:4" x14ac:dyDescent="0.2">
      <c r="A1811" s="5">
        <v>1750</v>
      </c>
      <c r="B1811" s="138">
        <f>'Tax Sched 23'!E7</f>
        <v>1414437</v>
      </c>
      <c r="D1811" s="2" t="str">
        <f t="shared" si="27"/>
        <v>Error?</v>
      </c>
    </row>
    <row r="1812" spans="1:4" x14ac:dyDescent="0.2">
      <c r="A1812" s="5">
        <v>1751</v>
      </c>
      <c r="B1812" s="138">
        <f>'Tax Sched 23'!E8</f>
        <v>314346</v>
      </c>
      <c r="D1812" s="2" t="str">
        <f t="shared" si="27"/>
        <v>Error?</v>
      </c>
    </row>
    <row r="1813" spans="1:4" x14ac:dyDescent="0.2">
      <c r="A1813" s="5">
        <v>1752</v>
      </c>
      <c r="B1813" s="138">
        <f>'Tax Sched 23'!E10</f>
        <v>224027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223241</v>
      </c>
      <c r="D1816" s="2" t="str">
        <f t="shared" si="27"/>
        <v>Error?</v>
      </c>
    </row>
    <row r="1817" spans="1:4" x14ac:dyDescent="0.2">
      <c r="A1817" s="5">
        <v>1756</v>
      </c>
      <c r="B1817" s="138">
        <f>'Tax Sched 23'!E12</f>
        <v>39303</v>
      </c>
      <c r="D1817" s="2" t="str">
        <f t="shared" si="27"/>
        <v>Error?</v>
      </c>
    </row>
    <row r="1818" spans="1:4" x14ac:dyDescent="0.2">
      <c r="A1818" s="5">
        <v>1757</v>
      </c>
      <c r="B1818" s="138">
        <f>'Tax Sched 23'!E14</f>
        <v>312695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25601421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36980000</v>
      </c>
      <c r="C1939" s="2" t="s">
        <v>594</v>
      </c>
      <c r="D1939" s="2" t="str">
        <f t="shared" si="29"/>
        <v>Error?</v>
      </c>
    </row>
    <row r="1940" spans="1:5" x14ac:dyDescent="0.2">
      <c r="A1940" s="5">
        <v>1879</v>
      </c>
      <c r="B1940" s="138">
        <f>'Short-Term Long-Term Debt 24'!F49</f>
        <v>28105000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305245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305245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305245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6186420</v>
      </c>
      <c r="D2008" s="2" t="str">
        <f t="shared" si="30"/>
        <v>Error?</v>
      </c>
    </row>
    <row r="2009" spans="1:4" x14ac:dyDescent="0.2">
      <c r="A2009" s="5">
        <v>1948</v>
      </c>
      <c r="B2009" s="138">
        <f>'Cap Outlay Deprec 26'!C8</f>
        <v>76332655</v>
      </c>
      <c r="D2009" s="2" t="str">
        <f t="shared" si="30"/>
        <v>Error?</v>
      </c>
    </row>
    <row r="2010" spans="1:4" x14ac:dyDescent="0.2">
      <c r="A2010" s="5">
        <v>1949</v>
      </c>
      <c r="B2010" s="138">
        <f>'Cap Outlay Deprec 26'!C10</f>
        <v>5863196</v>
      </c>
      <c r="D2010" s="2" t="str">
        <f t="shared" si="30"/>
        <v>Error?</v>
      </c>
    </row>
    <row r="2011" spans="1:4" x14ac:dyDescent="0.2">
      <c r="A2011" s="5">
        <v>1950</v>
      </c>
      <c r="B2011" s="138">
        <f>'Cap Outlay Deprec 26'!C12</f>
        <v>3721514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93622254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3757485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211524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3969009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12537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1531006</v>
      </c>
      <c r="C2025" s="2" t="s">
        <v>594</v>
      </c>
      <c r="D2025" s="2" t="str">
        <f t="shared" si="30"/>
        <v>Error?</v>
      </c>
    </row>
    <row r="2026" spans="1:4" x14ac:dyDescent="0.2">
      <c r="A2026" s="5">
        <v>1965</v>
      </c>
      <c r="B2026" s="138">
        <f>'Cap Outlay Deprec 26'!F5</f>
        <v>6186420</v>
      </c>
      <c r="C2026" s="2" t="s">
        <v>594</v>
      </c>
      <c r="D2026" s="2" t="str">
        <f t="shared" si="30"/>
        <v>Error?</v>
      </c>
    </row>
    <row r="2027" spans="1:4" x14ac:dyDescent="0.2">
      <c r="A2027" s="5">
        <v>1966</v>
      </c>
      <c r="B2027" s="138">
        <f>'Cap Outlay Deprec 26'!F8</f>
        <v>80090140</v>
      </c>
      <c r="C2027" s="2" t="s">
        <v>594</v>
      </c>
      <c r="D2027" s="2" t="str">
        <f t="shared" si="30"/>
        <v>Error?</v>
      </c>
    </row>
    <row r="2028" spans="1:4" x14ac:dyDescent="0.2">
      <c r="A2028" s="5">
        <v>1967</v>
      </c>
      <c r="B2028" s="138">
        <f>'Cap Outlay Deprec 26'!F10</f>
        <v>5863196</v>
      </c>
      <c r="C2028" s="2" t="s">
        <v>594</v>
      </c>
      <c r="D2028" s="2" t="str">
        <f t="shared" si="30"/>
        <v>Error?</v>
      </c>
    </row>
    <row r="2029" spans="1:4" x14ac:dyDescent="0.2">
      <c r="A2029" s="5">
        <v>1968</v>
      </c>
      <c r="B2029" s="138">
        <f>'Cap Outlay Deprec 26'!F12</f>
        <v>3920501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96060257</v>
      </c>
      <c r="C2031" s="2" t="s">
        <v>594</v>
      </c>
      <c r="D2031" s="2" t="str">
        <f t="shared" si="30"/>
        <v>Error?</v>
      </c>
    </row>
    <row r="2032" spans="1:4" x14ac:dyDescent="0.2">
      <c r="A2032" s="10">
        <v>1971</v>
      </c>
      <c r="D2032" s="2" t="str">
        <f t="shared" si="30"/>
        <v>OK</v>
      </c>
    </row>
    <row r="2033" spans="1:4" x14ac:dyDescent="0.2">
      <c r="A2033" s="5">
        <v>1972</v>
      </c>
      <c r="B2033" s="138">
        <f>'Cap Outlay Deprec 26'!H8</f>
        <v>24626260</v>
      </c>
      <c r="D2033" s="2" t="str">
        <f t="shared" si="30"/>
        <v>Error?</v>
      </c>
    </row>
    <row r="2034" spans="1:4" x14ac:dyDescent="0.2">
      <c r="A2034" s="5">
        <v>1973</v>
      </c>
      <c r="B2034" s="138">
        <f>'Cap Outlay Deprec 26'!H10</f>
        <v>4070079</v>
      </c>
      <c r="D2034" s="2" t="str">
        <f t="shared" si="30"/>
        <v>Error?</v>
      </c>
    </row>
    <row r="2035" spans="1:4" x14ac:dyDescent="0.2">
      <c r="A2035" s="5">
        <v>1974</v>
      </c>
      <c r="B2035" s="138">
        <f>'Cap Outlay Deprec 26'!H12</f>
        <v>3211938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31908277</v>
      </c>
      <c r="C2037" s="2" t="s">
        <v>594</v>
      </c>
      <c r="D2037" s="2" t="str">
        <f t="shared" si="30"/>
        <v>Error?</v>
      </c>
    </row>
    <row r="2038" spans="1:4" x14ac:dyDescent="0.2">
      <c r="A2038" s="10">
        <v>1977</v>
      </c>
      <c r="D2038" s="2" t="str">
        <f t="shared" si="30"/>
        <v>OK</v>
      </c>
    </row>
    <row r="2039" spans="1:4" x14ac:dyDescent="0.2">
      <c r="A2039" s="5">
        <v>1978</v>
      </c>
      <c r="B2039" s="138">
        <f>'Cap Outlay Deprec 26'!I8</f>
        <v>2075097</v>
      </c>
      <c r="D2039" s="2" t="str">
        <f t="shared" si="30"/>
        <v>Error?</v>
      </c>
    </row>
    <row r="2040" spans="1:4" x14ac:dyDescent="0.2">
      <c r="A2040" s="5">
        <v>1979</v>
      </c>
      <c r="B2040" s="138">
        <f>'Cap Outlay Deprec 26'!I10</f>
        <v>267106</v>
      </c>
      <c r="D2040" s="2" t="str">
        <f t="shared" si="30"/>
        <v>Error?</v>
      </c>
    </row>
    <row r="2041" spans="1:4" x14ac:dyDescent="0.2">
      <c r="A2041" s="5">
        <v>1980</v>
      </c>
      <c r="B2041" s="138">
        <f>'Cap Outlay Deprec 26'!I12</f>
        <v>162151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2504354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12537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12537</v>
      </c>
      <c r="C2049" s="2" t="s">
        <v>594</v>
      </c>
      <c r="D2049" s="2" t="str">
        <f t="shared" si="31"/>
        <v>Error?</v>
      </c>
    </row>
    <row r="2050" spans="1:4" x14ac:dyDescent="0.2">
      <c r="A2050" s="10">
        <v>1989</v>
      </c>
      <c r="D2050" s="2" t="str">
        <f t="shared" si="31"/>
        <v>OK</v>
      </c>
    </row>
    <row r="2051" spans="1:4" x14ac:dyDescent="0.2">
      <c r="A2051" s="5">
        <v>1990</v>
      </c>
      <c r="B2051" s="138">
        <f>'Cap Outlay Deprec 26'!K8</f>
        <v>26701357</v>
      </c>
      <c r="C2051" s="2" t="s">
        <v>594</v>
      </c>
      <c r="D2051" s="2" t="str">
        <f t="shared" si="31"/>
        <v>Error?</v>
      </c>
    </row>
    <row r="2052" spans="1:4" x14ac:dyDescent="0.2">
      <c r="A2052" s="5">
        <v>1991</v>
      </c>
      <c r="B2052" s="138">
        <f>'Cap Outlay Deprec 26'!K10</f>
        <v>4337185</v>
      </c>
      <c r="C2052" s="2" t="s">
        <v>594</v>
      </c>
      <c r="D2052" s="2" t="str">
        <f t="shared" si="31"/>
        <v>Error?</v>
      </c>
    </row>
    <row r="2053" spans="1:4" x14ac:dyDescent="0.2">
      <c r="A2053" s="5">
        <v>1992</v>
      </c>
      <c r="B2053" s="138">
        <f>'Cap Outlay Deprec 26'!K12</f>
        <v>3361552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34400094</v>
      </c>
      <c r="C2055" s="2" t="s">
        <v>594</v>
      </c>
      <c r="D2055" s="2" t="str">
        <f t="shared" si="31"/>
        <v>Error?</v>
      </c>
    </row>
    <row r="2056" spans="1:4" x14ac:dyDescent="0.2">
      <c r="A2056" s="5">
        <v>1995</v>
      </c>
      <c r="B2056" s="138">
        <f>'Cap Outlay Deprec 26'!L5</f>
        <v>6186420</v>
      </c>
      <c r="C2056" s="2" t="s">
        <v>594</v>
      </c>
      <c r="D2056" s="2" t="str">
        <f t="shared" si="31"/>
        <v>Error?</v>
      </c>
    </row>
    <row r="2057" spans="1:4" x14ac:dyDescent="0.2">
      <c r="A2057" s="5">
        <v>1996</v>
      </c>
      <c r="B2057" s="138">
        <f>'Cap Outlay Deprec 26'!L8</f>
        <v>53388783</v>
      </c>
      <c r="C2057" s="2" t="s">
        <v>594</v>
      </c>
      <c r="D2057" s="2" t="str">
        <f t="shared" si="31"/>
        <v>Error?</v>
      </c>
    </row>
    <row r="2058" spans="1:4" x14ac:dyDescent="0.2">
      <c r="A2058" s="5">
        <v>1997</v>
      </c>
      <c r="B2058" s="138">
        <f>'Cap Outlay Deprec 26'!L10</f>
        <v>1526011</v>
      </c>
      <c r="C2058" s="2" t="s">
        <v>594</v>
      </c>
      <c r="D2058" s="2" t="str">
        <f t="shared" si="31"/>
        <v>Error?</v>
      </c>
    </row>
    <row r="2059" spans="1:4" x14ac:dyDescent="0.2">
      <c r="A2059" s="5">
        <v>1998</v>
      </c>
      <c r="B2059" s="138">
        <f>'Cap Outlay Deprec 26'!L12</f>
        <v>558949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61660163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38887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38887</v>
      </c>
      <c r="C2088" s="2" t="s">
        <v>594</v>
      </c>
      <c r="D2088" s="2" t="str">
        <f t="shared" si="31"/>
        <v>Error?</v>
      </c>
    </row>
    <row r="2089" spans="1:4" x14ac:dyDescent="0.2">
      <c r="A2089" s="5">
        <v>2028</v>
      </c>
      <c r="B2089" s="138">
        <f>'Expenditures 15-22'!K92</f>
        <v>668898</v>
      </c>
      <c r="C2089" s="2" t="s">
        <v>594</v>
      </c>
      <c r="D2089" s="2" t="str">
        <f t="shared" si="31"/>
        <v>Error?</v>
      </c>
    </row>
    <row r="2090" spans="1:4" x14ac:dyDescent="0.2">
      <c r="A2090" s="10">
        <v>2029</v>
      </c>
      <c r="D2090" s="2" t="str">
        <f t="shared" si="31"/>
        <v>OK</v>
      </c>
    </row>
    <row r="2091" spans="1:4" x14ac:dyDescent="0.2">
      <c r="A2091" s="5">
        <v>2030</v>
      </c>
      <c r="B2091" s="138">
        <f>'Expenditures 15-22'!H137</f>
        <v>222486</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222486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1270597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11340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18528729</v>
      </c>
      <c r="C2551" s="2" t="s">
        <v>594</v>
      </c>
      <c r="D2551" s="2" t="str">
        <f t="shared" si="38"/>
        <v>Error?</v>
      </c>
    </row>
    <row r="2552" spans="1:4" x14ac:dyDescent="0.2">
      <c r="A2552" s="10">
        <v>2491</v>
      </c>
      <c r="D2552" s="2" t="str">
        <f t="shared" si="38"/>
        <v>OK</v>
      </c>
    </row>
    <row r="2553" spans="1:4" x14ac:dyDescent="0.2">
      <c r="A2553" s="5">
        <v>2492</v>
      </c>
      <c r="B2553" s="138">
        <f>'Acct Summary 7-8'!C6</f>
        <v>1910879</v>
      </c>
      <c r="C2553" s="2" t="s">
        <v>594</v>
      </c>
      <c r="D2553" s="2" t="str">
        <f t="shared" si="38"/>
        <v>Error?</v>
      </c>
    </row>
    <row r="2554" spans="1:4" x14ac:dyDescent="0.2">
      <c r="A2554" s="5">
        <v>2493</v>
      </c>
      <c r="B2554" s="138">
        <f>'Acct Summary 7-8'!C7</f>
        <v>860276</v>
      </c>
      <c r="C2554" s="2" t="s">
        <v>594</v>
      </c>
      <c r="D2554" s="2" t="str">
        <f t="shared" si="38"/>
        <v>Error?</v>
      </c>
    </row>
    <row r="2555" spans="1:4" x14ac:dyDescent="0.2">
      <c r="A2555" s="5">
        <v>2494</v>
      </c>
      <c r="B2555" s="138">
        <f>'Acct Summary 7-8'!C8</f>
        <v>21325939</v>
      </c>
      <c r="C2555" s="2" t="s">
        <v>594</v>
      </c>
      <c r="D2555" s="2" t="str">
        <f t="shared" si="38"/>
        <v>Error?</v>
      </c>
    </row>
    <row r="2556" spans="1:4" x14ac:dyDescent="0.2">
      <c r="A2556" s="5">
        <v>2495</v>
      </c>
      <c r="B2556" s="138">
        <f>'Acct Summary 7-8'!C12</f>
        <v>15134260</v>
      </c>
      <c r="C2556" s="2" t="s">
        <v>594</v>
      </c>
      <c r="D2556" s="2" t="str">
        <f t="shared" si="38"/>
        <v>Error?</v>
      </c>
    </row>
    <row r="2557" spans="1:4" x14ac:dyDescent="0.2">
      <c r="A2557" s="5">
        <v>2496</v>
      </c>
      <c r="B2557" s="138">
        <f>'Acct Summary 7-8'!C13</f>
        <v>5588915</v>
      </c>
      <c r="C2557" s="2" t="s">
        <v>594</v>
      </c>
      <c r="D2557" s="2" t="str">
        <f t="shared" si="38"/>
        <v>Error?</v>
      </c>
    </row>
    <row r="2558" spans="1:4" x14ac:dyDescent="0.2">
      <c r="A2558" s="5">
        <v>2497</v>
      </c>
      <c r="B2558" s="138">
        <f>'Acct Summary 7-8'!C14</f>
        <v>6162</v>
      </c>
      <c r="C2558" s="2" t="s">
        <v>594</v>
      </c>
      <c r="D2558" s="2" t="str">
        <f t="shared" si="38"/>
        <v>Error?</v>
      </c>
    </row>
    <row r="2559" spans="1:4" x14ac:dyDescent="0.2">
      <c r="A2559" s="5">
        <v>2498</v>
      </c>
      <c r="B2559" s="138">
        <f>'Acct Summary 7-8'!C15</f>
        <v>707785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21437122</v>
      </c>
      <c r="C2561" s="2" t="s">
        <v>594</v>
      </c>
      <c r="D2561" s="2" t="str">
        <f t="shared" si="39"/>
        <v>Error?</v>
      </c>
    </row>
    <row r="2562" spans="1:4" x14ac:dyDescent="0.2">
      <c r="A2562" s="5">
        <v>2501</v>
      </c>
      <c r="B2562" s="138">
        <f>'Acct Summary 7-8'!C20</f>
        <v>-111183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3265855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3265855</v>
      </c>
      <c r="C2568" s="2" t="s">
        <v>594</v>
      </c>
      <c r="D2568" s="2" t="str">
        <f t="shared" si="39"/>
        <v>Error?</v>
      </c>
    </row>
    <row r="2569" spans="1:4" x14ac:dyDescent="0.2">
      <c r="A2569" s="5">
        <v>2508</v>
      </c>
      <c r="B2569" s="138">
        <f>'Acct Summary 7-8'!D13</f>
        <v>2949722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222486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3172208</v>
      </c>
      <c r="C2573" s="2" t="s">
        <v>594</v>
      </c>
      <c r="D2573" s="2" t="str">
        <f t="shared" si="39"/>
        <v>Error?</v>
      </c>
    </row>
    <row r="2574" spans="1:4" x14ac:dyDescent="0.2">
      <c r="A2574" s="5">
        <v>2513</v>
      </c>
      <c r="B2574" s="138">
        <f>'Acct Summary 7-8'!D20</f>
        <v>93647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1226568</v>
      </c>
      <c r="C2591" s="2" t="s">
        <v>594</v>
      </c>
      <c r="D2591" s="2" t="str">
        <f t="shared" si="39"/>
        <v>Error?</v>
      </c>
    </row>
    <row r="2592" spans="1:4" x14ac:dyDescent="0.2">
      <c r="A2592" s="10">
        <v>2531</v>
      </c>
      <c r="D2592" s="2" t="str">
        <f t="shared" si="39"/>
        <v>OK</v>
      </c>
    </row>
    <row r="2593" spans="1:4" x14ac:dyDescent="0.2">
      <c r="A2593" s="5">
        <v>2532</v>
      </c>
      <c r="B2593" s="138">
        <f>'Acct Summary 7-8'!F6</f>
        <v>921461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2148029</v>
      </c>
      <c r="C2595" s="2" t="s">
        <v>594</v>
      </c>
      <c r="D2595" s="2" t="str">
        <f t="shared" si="39"/>
        <v>Error?</v>
      </c>
    </row>
    <row r="2596" spans="1:4" x14ac:dyDescent="0.2">
      <c r="A2596" s="5">
        <v>2535</v>
      </c>
      <c r="B2596" s="138">
        <f>'Acct Summary 7-8'!F13</f>
        <v>2036499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2036499</v>
      </c>
      <c r="C2600" s="2" t="s">
        <v>594</v>
      </c>
      <c r="D2600" s="2" t="str">
        <f t="shared" si="39"/>
        <v>Error?</v>
      </c>
    </row>
    <row r="2601" spans="1:4" x14ac:dyDescent="0.2">
      <c r="A2601" s="5">
        <v>2540</v>
      </c>
      <c r="B2601" s="138">
        <f>'Acct Summary 7-8'!F20</f>
        <v>111530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689236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689236</v>
      </c>
      <c r="C2606" s="2" t="s">
        <v>594</v>
      </c>
      <c r="D2606" s="2" t="str">
        <f t="shared" si="39"/>
        <v>Error?</v>
      </c>
    </row>
    <row r="2607" spans="1:4" x14ac:dyDescent="0.2">
      <c r="A2607" s="5">
        <v>2546</v>
      </c>
      <c r="B2607" s="138">
        <f>'Acct Summary 7-8'!G12</f>
        <v>277398</v>
      </c>
      <c r="C2607" s="2" t="s">
        <v>594</v>
      </c>
      <c r="D2607" s="2" t="str">
        <f t="shared" si="39"/>
        <v>Error?</v>
      </c>
    </row>
    <row r="2608" spans="1:4" x14ac:dyDescent="0.2">
      <c r="A2608" s="5">
        <v>2547</v>
      </c>
      <c r="B2608" s="138">
        <f>'Acct Summary 7-8'!G13</f>
        <v>432755</v>
      </c>
      <c r="C2608" s="2" t="s">
        <v>594</v>
      </c>
      <c r="D2608" s="2" t="str">
        <f t="shared" si="39"/>
        <v>Error?</v>
      </c>
    </row>
    <row r="2609" spans="1:4" x14ac:dyDescent="0.2">
      <c r="A2609" s="5">
        <v>2548</v>
      </c>
      <c r="B2609" s="138">
        <f>'Acct Summary 7-8'!G14</f>
        <v>468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710621</v>
      </c>
      <c r="C2612" s="2" t="s">
        <v>594</v>
      </c>
      <c r="D2612" s="2" t="str">
        <f t="shared" si="39"/>
        <v>Error?</v>
      </c>
    </row>
    <row r="2613" spans="1:4" x14ac:dyDescent="0.2">
      <c r="A2613" s="5">
        <v>2552</v>
      </c>
      <c r="B2613" s="138">
        <f>'Acct Summary 7-8'!G20</f>
        <v>-21385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3404483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3404483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3110511</v>
      </c>
      <c r="C2634" s="2" t="s">
        <v>594</v>
      </c>
      <c r="D2634" s="2" t="str">
        <f t="shared" si="40"/>
        <v>Error?</v>
      </c>
    </row>
    <row r="2635" spans="1:4" x14ac:dyDescent="0.2">
      <c r="A2635" s="5">
        <v>2574</v>
      </c>
      <c r="B2635" s="138">
        <f>'Acct Summary 7-8'!E17</f>
        <v>3110511</v>
      </c>
      <c r="C2635" s="2" t="s">
        <v>594</v>
      </c>
      <c r="D2635" s="2" t="str">
        <f t="shared" si="40"/>
        <v>Error?</v>
      </c>
    </row>
    <row r="2636" spans="1:4" x14ac:dyDescent="0.2">
      <c r="A2636" s="5">
        <v>2575</v>
      </c>
      <c r="B2636" s="138">
        <f>'Acct Summary 7-8'!E20</f>
        <v>293972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43554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43554</v>
      </c>
      <c r="C2658" s="2" t="s">
        <v>594</v>
      </c>
      <c r="D2658" s="2" t="str">
        <f t="shared" si="40"/>
        <v>Error?</v>
      </c>
    </row>
    <row r="2659" spans="1:4" x14ac:dyDescent="0.2">
      <c r="A2659" s="5">
        <v>2598</v>
      </c>
      <c r="B2659" s="138">
        <f>'Acct Summary 7-8'!H13</f>
        <v>2580820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2580820</v>
      </c>
      <c r="C2661" s="2" t="s">
        <v>594</v>
      </c>
      <c r="D2661" s="2" t="str">
        <f t="shared" si="40"/>
        <v>Error?</v>
      </c>
    </row>
    <row r="2662" spans="1:4" x14ac:dyDescent="0.2">
      <c r="A2662" s="5">
        <v>2601</v>
      </c>
      <c r="B2662" s="138">
        <f>'Acct Summary 7-8'!H20</f>
        <v>-2537266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878200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879001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815793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879001</v>
      </c>
      <c r="D2912" s="2" t="str">
        <f t="shared" si="44"/>
        <v>Error?</v>
      </c>
    </row>
    <row r="2913" spans="1:4" x14ac:dyDescent="0.2">
      <c r="A2913" s="5">
        <v>2852</v>
      </c>
      <c r="B2913" s="138">
        <f>'Assets-Liab 5-6'!I41</f>
        <v>879001</v>
      </c>
      <c r="C2913" s="2" t="s">
        <v>594</v>
      </c>
      <c r="D2913" s="2" t="str">
        <f t="shared" si="44"/>
        <v>Error?</v>
      </c>
    </row>
    <row r="2914" spans="1:4" x14ac:dyDescent="0.2">
      <c r="A2914" s="5">
        <v>2853</v>
      </c>
      <c r="B2914" s="138">
        <f>'Assets-Liab 5-6'!L33</f>
        <v>815793</v>
      </c>
      <c r="D2914" s="2" t="str">
        <f t="shared" si="44"/>
        <v>Error?</v>
      </c>
    </row>
    <row r="2915" spans="1:4" x14ac:dyDescent="0.2">
      <c r="A2915" s="10">
        <v>2854</v>
      </c>
      <c r="D2915" s="2" t="str">
        <f t="shared" si="44"/>
        <v>OK</v>
      </c>
    </row>
    <row r="2916" spans="1:4" x14ac:dyDescent="0.2">
      <c r="A2916" s="5">
        <v>2855</v>
      </c>
      <c r="B2916" s="138">
        <f>'Assets-Liab 5-6'!L34</f>
        <v>815793</v>
      </c>
      <c r="C2916" s="2" t="s">
        <v>594</v>
      </c>
      <c r="D2916" s="2" t="str">
        <f t="shared" si="44"/>
        <v>Error?</v>
      </c>
    </row>
    <row r="2917" spans="1:4" x14ac:dyDescent="0.2">
      <c r="A2917" s="5">
        <v>2856</v>
      </c>
      <c r="B2917" s="138">
        <f>'Assets-Liab 5-6'!L41</f>
        <v>815793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15551</v>
      </c>
      <c r="D2955" s="2" t="str">
        <f t="shared" si="45"/>
        <v>Error?</v>
      </c>
    </row>
    <row r="2956" spans="1:4" x14ac:dyDescent="0.2">
      <c r="A2956" s="5">
        <v>2895</v>
      </c>
      <c r="B2956" s="138">
        <f>'Expenditures 15-22'!H79</f>
        <v>23336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15551</v>
      </c>
      <c r="C2973" s="2" t="s">
        <v>594</v>
      </c>
      <c r="D2973" s="2" t="str">
        <f t="shared" si="45"/>
        <v>Error?</v>
      </c>
    </row>
    <row r="2974" spans="1:4" x14ac:dyDescent="0.2">
      <c r="A2974" s="5">
        <v>2913</v>
      </c>
      <c r="B2974" s="138">
        <f>'Expenditures 15-22'!K79</f>
        <v>23336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222486</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222486</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88343</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1348</v>
      </c>
      <c r="D3057" s="2" t="str">
        <f t="shared" si="46"/>
        <v>Error?</v>
      </c>
    </row>
    <row r="3058" spans="1:4" x14ac:dyDescent="0.2">
      <c r="A3058" s="5">
        <v>2997</v>
      </c>
      <c r="B3058" s="138">
        <f>'Expenditures 15-22'!F10</f>
        <v>26884</v>
      </c>
      <c r="D3058" s="2" t="str">
        <f t="shared" si="46"/>
        <v>Error?</v>
      </c>
    </row>
    <row r="3059" spans="1:4" x14ac:dyDescent="0.2">
      <c r="A3059" s="5">
        <v>2998</v>
      </c>
      <c r="B3059" s="138">
        <f>'Expenditures 15-22'!G10</f>
        <v>220582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337157</v>
      </c>
      <c r="C3062" s="2" t="s">
        <v>594</v>
      </c>
      <c r="D3062" s="2" t="str">
        <f t="shared" si="46"/>
        <v>Error?</v>
      </c>
    </row>
    <row r="3063" spans="1:4" x14ac:dyDescent="0.2">
      <c r="A3063" s="10">
        <v>3002</v>
      </c>
      <c r="D3063" s="2" t="str">
        <f t="shared" si="46"/>
        <v>OK</v>
      </c>
    </row>
    <row r="3064" spans="1:4" x14ac:dyDescent="0.2">
      <c r="A3064" s="5">
        <v>3003</v>
      </c>
      <c r="B3064" s="138">
        <f>'Expenditures 15-22'!D219</f>
        <v>6758</v>
      </c>
      <c r="D3064" s="2" t="str">
        <f t="shared" si="46"/>
        <v>Error?</v>
      </c>
    </row>
    <row r="3065" spans="1:4" x14ac:dyDescent="0.2">
      <c r="A3065" s="5">
        <v>3004</v>
      </c>
      <c r="B3065" s="138">
        <f>'Expenditures 15-22'!K219</f>
        <v>6758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28105000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193663</v>
      </c>
      <c r="C3225" s="2" t="s">
        <v>594</v>
      </c>
      <c r="D3225" s="2" t="str">
        <f t="shared" si="49"/>
        <v>Error?</v>
      </c>
    </row>
    <row r="3226" spans="1:4" x14ac:dyDescent="0.2">
      <c r="A3226" s="5">
        <v>3165</v>
      </c>
      <c r="B3226" s="138">
        <f>'Acct Summary 7-8'!I8</f>
        <v>193663</v>
      </c>
      <c r="C3226" s="2" t="s">
        <v>594</v>
      </c>
      <c r="D3226" s="2" t="str">
        <f t="shared" si="49"/>
        <v>Error?</v>
      </c>
    </row>
    <row r="3227" spans="1:4" x14ac:dyDescent="0.2">
      <c r="A3227" s="5">
        <v>3166</v>
      </c>
      <c r="B3227" s="138">
        <f>'Acct Summary 7-8'!I20</f>
        <v>193663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-111183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93647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111530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-21385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30541721</v>
      </c>
      <c r="C3274" s="2" t="s">
        <v>594</v>
      </c>
      <c r="D3274" s="2" t="str">
        <f t="shared" si="50"/>
        <v>Error?</v>
      </c>
    </row>
    <row r="3275" spans="1:4" x14ac:dyDescent="0.2">
      <c r="A3275" s="5">
        <v>3214</v>
      </c>
      <c r="B3275" s="138">
        <f>'Acct Summary 7-8'!E75</f>
        <v>30874428</v>
      </c>
      <c r="D3275" s="2" t="str">
        <f t="shared" si="50"/>
        <v>Error?</v>
      </c>
    </row>
    <row r="3276" spans="1:4" x14ac:dyDescent="0.2">
      <c r="A3276" s="5">
        <v>3215</v>
      </c>
      <c r="B3276" s="138">
        <f>'Acct Summary 7-8'!E76</f>
        <v>30874428</v>
      </c>
      <c r="C3276" s="2" t="s">
        <v>594</v>
      </c>
      <c r="D3276" s="2" t="str">
        <f t="shared" si="50"/>
        <v>Error?</v>
      </c>
    </row>
    <row r="3277" spans="1:4" x14ac:dyDescent="0.2">
      <c r="A3277" s="5">
        <v>3216</v>
      </c>
      <c r="B3277" s="138">
        <f>'Acct Summary 7-8'!E77</f>
        <v>-332707</v>
      </c>
      <c r="C3277" s="2" t="s">
        <v>594</v>
      </c>
      <c r="D3277" s="2" t="str">
        <f t="shared" si="50"/>
        <v>Error?</v>
      </c>
    </row>
    <row r="3278" spans="1:4" x14ac:dyDescent="0.2">
      <c r="A3278" s="5">
        <v>3217</v>
      </c>
      <c r="B3278" s="138">
        <f>'Acct Summary 7-8'!E78</f>
        <v>-38735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500000</v>
      </c>
      <c r="C3299" s="2" t="s">
        <v>594</v>
      </c>
      <c r="D3299" s="2" t="str">
        <f t="shared" si="50"/>
        <v>Error?</v>
      </c>
    </row>
    <row r="3300" spans="1:4" x14ac:dyDescent="0.2">
      <c r="A3300" s="5">
        <v>3239</v>
      </c>
      <c r="B3300" s="138">
        <f>'Acct Summary 7-8'!H78</f>
        <v>-2037266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500000</v>
      </c>
      <c r="C3318" s="2" t="s">
        <v>594</v>
      </c>
      <c r="D3318" s="2" t="str">
        <f t="shared" si="50"/>
        <v>Error?</v>
      </c>
    </row>
    <row r="3319" spans="1:4" x14ac:dyDescent="0.2">
      <c r="A3319" s="5">
        <v>3258</v>
      </c>
      <c r="B3319" s="138">
        <f>'Acct Summary 7-8'!I77</f>
        <v>-500000</v>
      </c>
      <c r="C3319" s="2" t="s">
        <v>594</v>
      </c>
      <c r="D3319" s="2" t="str">
        <f t="shared" si="50"/>
        <v>Error?</v>
      </c>
    </row>
    <row r="3320" spans="1:4" x14ac:dyDescent="0.2">
      <c r="A3320" s="5">
        <v>3259</v>
      </c>
      <c r="B3320" s="138">
        <f>'Acct Summary 7-8'!I78</f>
        <v>-306337</v>
      </c>
      <c r="C3320" s="2" t="s">
        <v>594</v>
      </c>
      <c r="D3320" s="2" t="str">
        <f t="shared" si="50"/>
        <v>Error?</v>
      </c>
    </row>
    <row r="3321" spans="1:4" x14ac:dyDescent="0.2">
      <c r="A3321" s="5">
        <v>3260</v>
      </c>
      <c r="B3321" s="138">
        <f>'Acct Summary 7-8'!I79</f>
        <v>1185338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879001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1758249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374229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63309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35900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8130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374394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2614211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120730</v>
      </c>
      <c r="D3387" s="2" t="str">
        <f t="shared" si="51"/>
        <v>Error?</v>
      </c>
    </row>
    <row r="3388" spans="1:4" x14ac:dyDescent="0.2">
      <c r="A3388" s="5">
        <v>3327</v>
      </c>
      <c r="B3388" s="138">
        <f>'Expenditures 15-22'!D217</f>
        <v>110356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120730</v>
      </c>
      <c r="C3390" s="2" t="s">
        <v>594</v>
      </c>
      <c r="D3390" s="2" t="str">
        <f t="shared" si="51"/>
        <v>Error?</v>
      </c>
    </row>
    <row r="3391" spans="1:4" x14ac:dyDescent="0.2">
      <c r="A3391" s="5">
        <v>3330</v>
      </c>
      <c r="B3391" s="138">
        <f>'Expenditures 15-22'!K217</f>
        <v>110356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26055</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1633378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401342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3848</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1004872</v>
      </c>
      <c r="D3425" s="2" t="str">
        <f t="shared" si="52"/>
        <v>Error?</v>
      </c>
    </row>
    <row r="3426" spans="1:4" x14ac:dyDescent="0.2">
      <c r="A3426" s="10">
        <v>3365</v>
      </c>
      <c r="D3426" s="2" t="str">
        <f t="shared" si="52"/>
        <v>OK</v>
      </c>
    </row>
    <row r="3427" spans="1:4" x14ac:dyDescent="0.2">
      <c r="A3427" s="5">
        <v>3366</v>
      </c>
      <c r="B3427" s="138">
        <f>'Assets-Liab 5-6'!I4</f>
        <v>801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815793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335778</v>
      </c>
      <c r="C3446" s="2" t="s">
        <v>594</v>
      </c>
      <c r="D3446" s="2" t="str">
        <f t="shared" si="52"/>
        <v>Error?</v>
      </c>
    </row>
    <row r="3447" spans="1:4" x14ac:dyDescent="0.2">
      <c r="A3447" s="5">
        <v>3386</v>
      </c>
      <c r="B3447" s="138">
        <f>'Tax Sched 23'!D16</f>
        <v>335778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353648</v>
      </c>
      <c r="C3449" s="2" t="s">
        <v>594</v>
      </c>
      <c r="D3449" s="2" t="str">
        <f t="shared" si="52"/>
        <v>Error?</v>
      </c>
    </row>
    <row r="3450" spans="1:4" x14ac:dyDescent="0.2">
      <c r="A3450" s="5">
        <v>3389</v>
      </c>
      <c r="B3450" s="138">
        <f>'Tax Sched 23'!E16</f>
        <v>353648</v>
      </c>
      <c r="D3450" s="2" t="str">
        <f t="shared" si="52"/>
        <v>Error?</v>
      </c>
    </row>
    <row r="3451" spans="1:4" x14ac:dyDescent="0.2">
      <c r="A3451" s="5">
        <v>3390</v>
      </c>
      <c r="B3451" s="138">
        <f>'Cap Outlay Deprec 26'!C15</f>
        <v>1518469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1518469</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83646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303385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387031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387031</v>
      </c>
      <c r="D3567" s="2" t="str">
        <f t="shared" si="54"/>
        <v>Error?</v>
      </c>
    </row>
    <row r="3568" spans="1:4" x14ac:dyDescent="0.2">
      <c r="A3568" s="5">
        <v>3507</v>
      </c>
      <c r="B3568" s="138">
        <f>'Assets-Liab 5-6'!K41</f>
        <v>387031</v>
      </c>
      <c r="C3568" s="2" t="s">
        <v>594</v>
      </c>
      <c r="D3568" s="2" t="str">
        <f t="shared" si="54"/>
        <v>Error?</v>
      </c>
    </row>
    <row r="3569" spans="1:4" x14ac:dyDescent="0.2">
      <c r="A3569" s="5">
        <v>3508</v>
      </c>
      <c r="B3569" s="138">
        <f>'Acct Summary 7-8'!K4</f>
        <v>76330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76330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76330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76330</v>
      </c>
      <c r="C3588" s="2" t="s">
        <v>594</v>
      </c>
      <c r="D3588" s="2" t="str">
        <f t="shared" si="55"/>
        <v>Error?</v>
      </c>
    </row>
    <row r="3589" spans="1:4" x14ac:dyDescent="0.2">
      <c r="A3589" s="5">
        <v>3528</v>
      </c>
      <c r="B3589" s="138">
        <f>'Acct Summary 7-8'!K79</f>
        <v>310701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387031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76330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230674</v>
      </c>
      <c r="C3725" s="2" t="s">
        <v>594</v>
      </c>
      <c r="D3725" s="2" t="str">
        <f t="shared" si="57"/>
        <v>Error?</v>
      </c>
    </row>
    <row r="3726" spans="1:4" x14ac:dyDescent="0.2">
      <c r="A3726" s="5">
        <v>3665</v>
      </c>
      <c r="B3726" s="138">
        <f>'Tax Sched 23'!D13</f>
        <v>230674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235739</v>
      </c>
      <c r="C3728" s="2" t="s">
        <v>594</v>
      </c>
      <c r="D3728" s="2" t="str">
        <f t="shared" si="57"/>
        <v>Error?</v>
      </c>
    </row>
    <row r="3729" spans="1:4" x14ac:dyDescent="0.2">
      <c r="A3729" s="5">
        <v>3668</v>
      </c>
      <c r="B3729" s="138">
        <f>'Tax Sched 23'!E13</f>
        <v>235739</v>
      </c>
      <c r="D3729" s="2" t="str">
        <f t="shared" si="57"/>
        <v>Error?</v>
      </c>
    </row>
    <row r="3730" spans="1:4" x14ac:dyDescent="0.2">
      <c r="A3730" s="5">
        <v>3669</v>
      </c>
      <c r="B3730" s="138">
        <f>'ICR Computation 30'!E10</f>
        <v>299812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1496573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22822512</v>
      </c>
      <c r="C4122" s="2" t="s">
        <v>594</v>
      </c>
      <c r="D4122" s="2" t="str">
        <f t="shared" si="63"/>
        <v>Error?</v>
      </c>
    </row>
    <row r="4123" spans="1:4" x14ac:dyDescent="0.2">
      <c r="A4123" s="5">
        <v>4062</v>
      </c>
      <c r="B4123" s="138">
        <f>'Acct Summary 7-8'!D10</f>
        <v>3265855</v>
      </c>
      <c r="C4123" s="2" t="s">
        <v>594</v>
      </c>
      <c r="D4123" s="2" t="str">
        <f t="shared" si="63"/>
        <v>Error?</v>
      </c>
    </row>
    <row r="4124" spans="1:4" x14ac:dyDescent="0.2">
      <c r="A4124" s="5">
        <v>4063</v>
      </c>
      <c r="B4124" s="138">
        <f>'Acct Summary 7-8'!E10</f>
        <v>3404483</v>
      </c>
      <c r="C4124" s="2" t="s">
        <v>594</v>
      </c>
      <c r="D4124" s="2" t="str">
        <f t="shared" si="63"/>
        <v>Error?</v>
      </c>
    </row>
    <row r="4125" spans="1:4" x14ac:dyDescent="0.2">
      <c r="A4125" s="5">
        <v>4064</v>
      </c>
      <c r="B4125" s="138">
        <f>'Acct Summary 7-8'!F10</f>
        <v>2148029</v>
      </c>
      <c r="C4125" s="2" t="s">
        <v>594</v>
      </c>
      <c r="D4125" s="2" t="str">
        <f t="shared" si="63"/>
        <v>Error?</v>
      </c>
    </row>
    <row r="4126" spans="1:4" x14ac:dyDescent="0.2">
      <c r="A4126" s="5">
        <v>4065</v>
      </c>
      <c r="B4126" s="138">
        <f>'Acct Summary 7-8'!G10</f>
        <v>689236</v>
      </c>
      <c r="C4126" s="2" t="s">
        <v>594</v>
      </c>
      <c r="D4126" s="2" t="str">
        <f t="shared" si="63"/>
        <v>Error?</v>
      </c>
    </row>
    <row r="4127" spans="1:4" x14ac:dyDescent="0.2">
      <c r="A4127" s="5">
        <v>4066</v>
      </c>
      <c r="B4127" s="138">
        <f>'Acct Summary 7-8'!H10</f>
        <v>43554</v>
      </c>
      <c r="C4127" s="2" t="s">
        <v>594</v>
      </c>
      <c r="D4127" s="2" t="str">
        <f t="shared" si="63"/>
        <v>Error?</v>
      </c>
    </row>
    <row r="4128" spans="1:4" x14ac:dyDescent="0.2">
      <c r="A4128" s="5">
        <v>4067</v>
      </c>
      <c r="B4128" s="138">
        <f>'Acct Summary 7-8'!I10</f>
        <v>193663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76330</v>
      </c>
      <c r="C4130" s="2" t="s">
        <v>594</v>
      </c>
      <c r="D4130" s="2" t="str">
        <f t="shared" si="63"/>
        <v>Error?</v>
      </c>
    </row>
    <row r="4131" spans="1:4" x14ac:dyDescent="0.2">
      <c r="A4131" s="5">
        <v>4070</v>
      </c>
      <c r="B4131" s="138">
        <f>'Acct Summary 7-8'!C18</f>
        <v>1496573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22933695</v>
      </c>
      <c r="C4136" s="2" t="s">
        <v>594</v>
      </c>
      <c r="D4136" s="2" t="str">
        <f t="shared" si="63"/>
        <v>Error?</v>
      </c>
    </row>
    <row r="4137" spans="1:4" x14ac:dyDescent="0.2">
      <c r="A4137" s="5">
        <v>4076</v>
      </c>
      <c r="B4137" s="138">
        <f>'Acct Summary 7-8'!D19</f>
        <v>3172208</v>
      </c>
      <c r="C4137" s="2" t="s">
        <v>594</v>
      </c>
      <c r="D4137" s="2" t="str">
        <f t="shared" si="63"/>
        <v>Error?</v>
      </c>
    </row>
    <row r="4138" spans="1:4" x14ac:dyDescent="0.2">
      <c r="A4138" s="5">
        <v>4077</v>
      </c>
      <c r="B4138" s="138">
        <f>'Acct Summary 7-8'!E19</f>
        <v>3110511</v>
      </c>
      <c r="C4138" s="2" t="s">
        <v>594</v>
      </c>
      <c r="D4138" s="2" t="str">
        <f t="shared" si="63"/>
        <v>Error?</v>
      </c>
    </row>
    <row r="4139" spans="1:4" x14ac:dyDescent="0.2">
      <c r="A4139" s="5">
        <v>4078</v>
      </c>
      <c r="B4139" s="138">
        <f>'Acct Summary 7-8'!F19</f>
        <v>2036499</v>
      </c>
      <c r="C4139" s="2" t="s">
        <v>594</v>
      </c>
      <c r="D4139" s="2" t="str">
        <f t="shared" si="63"/>
        <v>Error?</v>
      </c>
    </row>
    <row r="4140" spans="1:4" x14ac:dyDescent="0.2">
      <c r="A4140" s="5">
        <v>4079</v>
      </c>
      <c r="B4140" s="138">
        <f>'Acct Summary 7-8'!G19</f>
        <v>710621</v>
      </c>
      <c r="C4140" s="2" t="s">
        <v>594</v>
      </c>
      <c r="D4140" s="2" t="str">
        <f t="shared" si="63"/>
        <v>Error?</v>
      </c>
    </row>
    <row r="4141" spans="1:4" x14ac:dyDescent="0.2">
      <c r="A4141" s="5">
        <v>4080</v>
      </c>
      <c r="B4141" s="138">
        <f>'Acct Summary 7-8'!H19</f>
        <v>2580820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34550000</v>
      </c>
      <c r="C4171" s="2" t="s">
        <v>594</v>
      </c>
      <c r="D4171" s="2" t="str">
        <f t="shared" si="64"/>
        <v>Error?</v>
      </c>
    </row>
    <row r="4172" spans="1:4" x14ac:dyDescent="0.2">
      <c r="A4172" s="5">
        <v>4111</v>
      </c>
      <c r="B4172" s="138">
        <f>'Short-Term Long-Term Debt 24'!J49</f>
        <v>34460043</v>
      </c>
      <c r="C4172" s="2" t="s">
        <v>594</v>
      </c>
      <c r="D4172" s="2" t="str">
        <f t="shared" si="64"/>
        <v>Error?</v>
      </c>
    </row>
    <row r="4173" spans="1:4" x14ac:dyDescent="0.2">
      <c r="A4173" s="5">
        <v>4112</v>
      </c>
      <c r="B4173" s="138">
        <f>'Short-Term Long-Term Debt 24'!H49</f>
        <v>1425000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-29110000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1987.3999999999999</v>
      </c>
      <c r="C4265" s="2" t="s">
        <v>594</v>
      </c>
      <c r="D4265" s="2" t="str">
        <f t="shared" si="65"/>
        <v>Error?</v>
      </c>
      <c r="E4265" s="128"/>
    </row>
    <row r="4266" spans="1:5" x14ac:dyDescent="0.2">
      <c r="A4266" s="12">
        <v>4205</v>
      </c>
      <c r="B4266" s="138">
        <f>('FP Info 3'!F10)*100000</f>
        <v>422.90000000000003</v>
      </c>
      <c r="C4266" s="2" t="s">
        <v>594</v>
      </c>
      <c r="D4266" s="2" t="str">
        <f t="shared" si="65"/>
        <v>Error?</v>
      </c>
      <c r="E4266" s="128"/>
    </row>
    <row r="4267" spans="1:5" x14ac:dyDescent="0.2">
      <c r="A4267" s="12">
        <v>4206</v>
      </c>
      <c r="B4267" s="138">
        <f>('FP Info 3'!H10)*100000</f>
        <v>179.9</v>
      </c>
      <c r="C4267" s="2" t="s">
        <v>594</v>
      </c>
      <c r="D4267" s="2" t="str">
        <f t="shared" si="65"/>
        <v>Error?</v>
      </c>
      <c r="E4267" s="128"/>
    </row>
    <row r="4268" spans="1:5" x14ac:dyDescent="0.2">
      <c r="A4268" s="12">
        <v>4207</v>
      </c>
      <c r="B4268" s="138">
        <f>('FP Info 3'!J10)*100000</f>
        <v>2590</v>
      </c>
      <c r="C4268" s="2" t="s">
        <v>594</v>
      </c>
      <c r="D4268" s="2" t="str">
        <f t="shared" si="65"/>
        <v>Error?</v>
      </c>
    </row>
    <row r="4269" spans="1:5" x14ac:dyDescent="0.2">
      <c r="A4269" s="12">
        <v>4208</v>
      </c>
      <c r="B4269" s="138">
        <f>'FP Info 3'!J16</f>
        <v>16530005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35287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63222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4762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28.5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7474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786052900</v>
      </c>
      <c r="D4995" s="2" t="str">
        <f t="shared" si="77"/>
        <v>Error?</v>
      </c>
    </row>
    <row r="4996" spans="1:4" x14ac:dyDescent="0.2">
      <c r="A4996" s="12">
        <v>4935</v>
      </c>
      <c r="B4996" s="138">
        <f>'FP Info 3'!H31</f>
        <v>108475300.2</v>
      </c>
      <c r="D4996" s="2" t="str">
        <f t="shared" si="77"/>
        <v>Error?</v>
      </c>
    </row>
    <row r="4997" spans="1:4" x14ac:dyDescent="0.2">
      <c r="A4997" s="12">
        <v>4936</v>
      </c>
      <c r="B4997" s="138">
        <f>'FP Info 3'!H37</f>
        <v>34550000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230674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15246276</v>
      </c>
      <c r="D5061" s="2" t="str">
        <f t="shared" si="78"/>
        <v>Error?</v>
      </c>
    </row>
    <row r="5062" spans="1:4" x14ac:dyDescent="0.2">
      <c r="A5062" s="10">
        <v>5001</v>
      </c>
      <c r="D5062" s="2" t="str">
        <f t="shared" si="78"/>
        <v>OK</v>
      </c>
    </row>
    <row r="5063" spans="1:4" x14ac:dyDescent="0.2">
      <c r="A5063" s="5">
        <v>5002</v>
      </c>
      <c r="B5063" s="138">
        <f>'Revenues 9-14'!C7</f>
        <v>305245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15782195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1267292</v>
      </c>
      <c r="D5069" s="2" t="str">
        <f t="shared" si="78"/>
        <v>Error?</v>
      </c>
    </row>
    <row r="5070" spans="1:4" x14ac:dyDescent="0.2">
      <c r="A5070" s="5">
        <v>5009</v>
      </c>
      <c r="B5070" s="138">
        <f>'Revenues 9-14'!C17</f>
        <v>25968</v>
      </c>
      <c r="D5070" s="2" t="str">
        <f t="shared" si="78"/>
        <v>Error?</v>
      </c>
    </row>
    <row r="5071" spans="1:4" x14ac:dyDescent="0.2">
      <c r="A5071" s="5">
        <v>5010</v>
      </c>
      <c r="B5071" s="138">
        <f>'Revenues 9-14'!C18</f>
        <v>1293260</v>
      </c>
      <c r="C5071" s="2" t="s">
        <v>594</v>
      </c>
      <c r="D5071" s="2" t="str">
        <f t="shared" si="78"/>
        <v>Error?</v>
      </c>
    </row>
    <row r="5072" spans="1:4" x14ac:dyDescent="0.2">
      <c r="A5072" s="5">
        <v>5011</v>
      </c>
      <c r="B5072" s="138">
        <f>'Revenues 9-14'!C20</f>
        <v>6481</v>
      </c>
      <c r="D5072" s="2" t="str">
        <f t="shared" si="78"/>
        <v>Error?</v>
      </c>
    </row>
    <row r="5073" spans="1:4" x14ac:dyDescent="0.2">
      <c r="A5073" s="5">
        <v>5012</v>
      </c>
      <c r="B5073" s="138">
        <f>'Revenues 9-14'!C21</f>
        <v>6837</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25970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42173</v>
      </c>
      <c r="C5087" s="2" t="s">
        <v>594</v>
      </c>
      <c r="D5087" s="2" t="str">
        <f t="shared" si="78"/>
        <v>Error?</v>
      </c>
    </row>
    <row r="5088" spans="1:4" x14ac:dyDescent="0.2">
      <c r="A5088" s="5">
        <v>5027</v>
      </c>
      <c r="B5088" s="138">
        <f>'Revenues 9-14'!C65</f>
        <v>260551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260551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4175</v>
      </c>
      <c r="D5093" s="2" t="str">
        <f t="shared" si="78"/>
        <v>Error?</v>
      </c>
    </row>
    <row r="5094" spans="1:4" x14ac:dyDescent="0.2">
      <c r="A5094" s="5">
        <v>5033</v>
      </c>
      <c r="B5094" s="138">
        <f>'Revenues 9-14'!C73</f>
        <v>10363</v>
      </c>
      <c r="D5094" s="2" t="str">
        <f t="shared" si="78"/>
        <v>Error?</v>
      </c>
    </row>
    <row r="5095" spans="1:4" x14ac:dyDescent="0.2">
      <c r="A5095" s="5">
        <v>5034</v>
      </c>
      <c r="B5095" s="138">
        <f>'Revenues 9-14'!C74</f>
        <v>18653</v>
      </c>
      <c r="D5095" s="2" t="str">
        <f t="shared" si="78"/>
        <v>Error?</v>
      </c>
    </row>
    <row r="5096" spans="1:4" x14ac:dyDescent="0.2">
      <c r="A5096" s="5">
        <v>5035</v>
      </c>
      <c r="B5096" s="138">
        <f>'Revenues 9-14'!C75</f>
        <v>522566</v>
      </c>
      <c r="C5096" s="2" t="s">
        <v>594</v>
      </c>
      <c r="D5096" s="2" t="str">
        <f t="shared" si="78"/>
        <v>Error?</v>
      </c>
    </row>
    <row r="5097" spans="1:4" x14ac:dyDescent="0.2">
      <c r="A5097" s="5">
        <v>5036</v>
      </c>
      <c r="B5097" s="138">
        <f>'Revenues 9-14'!C77</f>
        <v>11033</v>
      </c>
      <c r="D5097" s="2" t="str">
        <f t="shared" si="78"/>
        <v>Error?</v>
      </c>
    </row>
    <row r="5098" spans="1:4" x14ac:dyDescent="0.2">
      <c r="A5098" s="5">
        <v>5037</v>
      </c>
      <c r="B5098" s="138">
        <f>'Revenues 9-14'!C78</f>
        <v>68065</v>
      </c>
      <c r="D5098" s="2" t="str">
        <f t="shared" si="78"/>
        <v>Error?</v>
      </c>
    </row>
    <row r="5099" spans="1:4" x14ac:dyDescent="0.2">
      <c r="A5099" s="5">
        <v>5038</v>
      </c>
      <c r="B5099" s="138">
        <f>'Revenues 9-14'!C79</f>
        <v>8608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313</v>
      </c>
      <c r="D5101" s="2" t="str">
        <f t="shared" si="78"/>
        <v>Error?</v>
      </c>
    </row>
    <row r="5102" spans="1:4" x14ac:dyDescent="0.2">
      <c r="A5102" s="5">
        <v>5041</v>
      </c>
      <c r="B5102" s="138">
        <f>'Revenues 9-14'!C82</f>
        <v>88019</v>
      </c>
      <c r="C5102" s="2" t="s">
        <v>594</v>
      </c>
      <c r="D5102" s="2" t="str">
        <f t="shared" si="78"/>
        <v>Error?</v>
      </c>
    </row>
    <row r="5103" spans="1:4" x14ac:dyDescent="0.2">
      <c r="A5103" s="5">
        <v>5042</v>
      </c>
      <c r="B5103" s="138">
        <f>'Revenues 9-14'!C84</f>
        <v>79138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79138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301515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140252</v>
      </c>
      <c r="D5119" s="2" t="str">
        <f t="shared" ref="D5119:D5182" si="79">IF(ISBLANK(B5119),"OK",IF(A5119-B5119=0,"OK","Error?"))</f>
        <v>Error?</v>
      </c>
    </row>
    <row r="5120" spans="1:4" x14ac:dyDescent="0.2">
      <c r="A5120" s="5">
        <v>5059</v>
      </c>
      <c r="B5120" s="138">
        <f>'Revenues 9-14'!C108</f>
        <v>460827</v>
      </c>
      <c r="C5120" s="2" t="s">
        <v>594</v>
      </c>
      <c r="D5120" s="2" t="str">
        <f t="shared" si="79"/>
        <v>Error?</v>
      </c>
    </row>
    <row r="5121" spans="1:4" x14ac:dyDescent="0.2">
      <c r="A5121" s="5">
        <v>5060</v>
      </c>
      <c r="B5121" s="138">
        <f>'Revenues 9-14'!C109</f>
        <v>18528729</v>
      </c>
      <c r="C5121" s="2" t="s">
        <v>594</v>
      </c>
      <c r="D5121" s="2" t="str">
        <f t="shared" si="79"/>
        <v>Error?</v>
      </c>
    </row>
    <row r="5122" spans="1:4" x14ac:dyDescent="0.2">
      <c r="A5122" s="5">
        <v>5061</v>
      </c>
      <c r="B5122" s="138">
        <f>'Revenues 9-14'!C111</f>
        <v>26055</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26055</v>
      </c>
      <c r="C5125" s="2" t="s">
        <v>594</v>
      </c>
      <c r="D5125" s="2" t="str">
        <f t="shared" si="79"/>
        <v>Error?</v>
      </c>
    </row>
    <row r="5126" spans="1:4" x14ac:dyDescent="0.2">
      <c r="A5126" s="5">
        <v>5065</v>
      </c>
      <c r="B5126" s="138">
        <f>'Revenues 9-14'!C117</f>
        <v>1342287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1342287</v>
      </c>
      <c r="C5132" s="2" t="s">
        <v>594</v>
      </c>
      <c r="D5132" s="2" t="str">
        <f t="shared" si="79"/>
        <v>Error?</v>
      </c>
    </row>
    <row r="5133" spans="1:4" x14ac:dyDescent="0.2">
      <c r="A5133" s="5">
        <v>5072</v>
      </c>
      <c r="B5133" s="138">
        <f>'Revenues 9-14'!C124</f>
        <v>104495</v>
      </c>
      <c r="D5133" s="2" t="str">
        <f t="shared" si="79"/>
        <v>Error?</v>
      </c>
    </row>
    <row r="5134" spans="1:4" x14ac:dyDescent="0.2">
      <c r="A5134" s="5">
        <v>5073</v>
      </c>
      <c r="B5134" s="138">
        <f>'Revenues 9-14'!C125</f>
        <v>133389</v>
      </c>
      <c r="D5134" s="2" t="str">
        <f t="shared" si="79"/>
        <v>Error?</v>
      </c>
    </row>
    <row r="5135" spans="1:4" x14ac:dyDescent="0.2">
      <c r="A5135" s="5">
        <v>5074</v>
      </c>
      <c r="B5135" s="138">
        <f>'Revenues 9-14'!C126</f>
        <v>174281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385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412550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3816</v>
      </c>
      <c r="D5167" s="2" t="str">
        <f t="shared" si="79"/>
        <v>Error?</v>
      </c>
    </row>
    <row r="5168" spans="1:4" x14ac:dyDescent="0.2">
      <c r="A5168" s="5">
        <v>5107</v>
      </c>
      <c r="B5168" s="138">
        <f>'Revenues 9-14'!C147</f>
        <v>28912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115840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568592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1910879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265962</v>
      </c>
      <c r="D5239" s="2" t="str">
        <f t="shared" si="80"/>
        <v>Error?</v>
      </c>
    </row>
    <row r="5240" spans="1:4" x14ac:dyDescent="0.2">
      <c r="A5240" s="5">
        <v>5179</v>
      </c>
      <c r="B5240" s="138">
        <f>'Revenues 9-14'!C195</f>
        <v>3082</v>
      </c>
      <c r="D5240" s="2" t="str">
        <f t="shared" si="80"/>
        <v>Error?</v>
      </c>
    </row>
    <row r="5241" spans="1:4" x14ac:dyDescent="0.2">
      <c r="A5241" s="5">
        <v>5180</v>
      </c>
      <c r="B5241" s="138">
        <f>'Revenues 9-14'!C196</f>
        <v>30768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299812</v>
      </c>
      <c r="C5246" s="2" t="s">
        <v>594</v>
      </c>
      <c r="D5246" s="2" t="str">
        <f t="shared" si="80"/>
        <v>Error?</v>
      </c>
    </row>
    <row r="5247" spans="1:4" x14ac:dyDescent="0.2">
      <c r="A5247" s="5">
        <v>5186</v>
      </c>
      <c r="B5247" s="138">
        <f>'Revenues 9-14'!C203</f>
        <v>262567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4762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262567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194318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194318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860276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860276</v>
      </c>
      <c r="C5326" s="2" t="s">
        <v>594</v>
      </c>
      <c r="D5326" s="2" t="str">
        <f t="shared" si="82"/>
        <v>Error?</v>
      </c>
    </row>
    <row r="5327" spans="1:4" x14ac:dyDescent="0.2">
      <c r="A5327" s="5">
        <v>5266</v>
      </c>
      <c r="B5327" s="138">
        <f>'Revenues 9-14'!C275</f>
        <v>21325939</v>
      </c>
      <c r="C5327" s="2" t="s">
        <v>594</v>
      </c>
      <c r="D5327" s="2" t="str">
        <f t="shared" si="82"/>
        <v>Error?</v>
      </c>
    </row>
    <row r="5328" spans="1:4" x14ac:dyDescent="0.2">
      <c r="A5328" s="5">
        <v>5267</v>
      </c>
      <c r="B5328" s="138">
        <f>'Revenues 9-14'!D5</f>
        <v>3242774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3242774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23081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23081</v>
      </c>
      <c r="C5355" s="2" t="s">
        <v>594</v>
      </c>
      <c r="D5355" s="2" t="str">
        <f t="shared" si="82"/>
        <v>Error?</v>
      </c>
    </row>
    <row r="5356" spans="1:4" x14ac:dyDescent="0.2">
      <c r="A5356" s="5">
        <v>5295</v>
      </c>
      <c r="B5356" s="138">
        <f>'Revenues 9-14'!D109</f>
        <v>3265855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3265855</v>
      </c>
      <c r="C5508" s="2" t="s">
        <v>594</v>
      </c>
      <c r="D5508" s="2" t="str">
        <f t="shared" si="85"/>
        <v>Error?</v>
      </c>
    </row>
    <row r="5509" spans="1:4" x14ac:dyDescent="0.2">
      <c r="A5509" s="5">
        <v>5448</v>
      </c>
      <c r="B5509" s="138">
        <f>'Revenues 9-14'!E5</f>
        <v>3401035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3401035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3448</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3448</v>
      </c>
      <c r="C5526" s="2" t="s">
        <v>594</v>
      </c>
      <c r="D5526" s="2" t="str">
        <f t="shared" si="85"/>
        <v>Error?</v>
      </c>
    </row>
    <row r="5527" spans="1:4" x14ac:dyDescent="0.2">
      <c r="A5527" s="5">
        <v>5466</v>
      </c>
      <c r="B5527" s="138">
        <f>'Revenues 9-14'!E109</f>
        <v>3404483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3404483</v>
      </c>
      <c r="C5552" s="2" t="s">
        <v>594</v>
      </c>
      <c r="D5552" s="2" t="str">
        <f t="shared" si="85"/>
        <v>Error?</v>
      </c>
    </row>
    <row r="5553" spans="1:4" x14ac:dyDescent="0.2">
      <c r="A5553" s="5">
        <v>5492</v>
      </c>
      <c r="B5553" s="138">
        <f>'Revenues 9-14'!F5</f>
        <v>1220824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1220824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5744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5744</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1226568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334436</v>
      </c>
      <c r="D5615" s="2" t="str">
        <f t="shared" si="86"/>
        <v>Error?</v>
      </c>
    </row>
    <row r="5616" spans="1:4" x14ac:dyDescent="0.2">
      <c r="A5616" s="10">
        <v>5555</v>
      </c>
      <c r="D5616" s="2" t="str">
        <f t="shared" si="86"/>
        <v>OK</v>
      </c>
    </row>
    <row r="5617" spans="1:4" x14ac:dyDescent="0.2">
      <c r="A5617" s="5">
        <v>5556</v>
      </c>
      <c r="B5617" s="138">
        <f>'Revenues 9-14'!F152</f>
        <v>587025</v>
      </c>
      <c r="D5617" s="2" t="str">
        <f t="shared" si="86"/>
        <v>Error?</v>
      </c>
    </row>
    <row r="5618" spans="1:4" x14ac:dyDescent="0.2">
      <c r="A5618" s="5">
        <v>5557</v>
      </c>
      <c r="B5618" s="138">
        <f>'Revenues 9-14'!F154</f>
        <v>921461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921461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921461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2148029</v>
      </c>
      <c r="C5720" s="2" t="s">
        <v>594</v>
      </c>
      <c r="D5720" s="2" t="str">
        <f t="shared" si="88"/>
        <v>Error?</v>
      </c>
    </row>
    <row r="5721" spans="1:4" x14ac:dyDescent="0.2">
      <c r="A5721" s="5">
        <v>5660</v>
      </c>
      <c r="B5721" s="138">
        <f>'Revenues 9-14'!G5</f>
        <v>297573</v>
      </c>
      <c r="D5721" s="2" t="str">
        <f t="shared" si="88"/>
        <v>Error?</v>
      </c>
    </row>
    <row r="5722" spans="1:4" x14ac:dyDescent="0.2">
      <c r="A5722" s="5">
        <v>5661</v>
      </c>
      <c r="B5722" s="138">
        <f>'Revenues 9-14'!G7</f>
        <v>0</v>
      </c>
      <c r="D5722" s="2" t="str">
        <f t="shared" si="88"/>
        <v>Error?</v>
      </c>
    </row>
    <row r="5723" spans="1:4" x14ac:dyDescent="0.2">
      <c r="A5723" s="5">
        <v>5662</v>
      </c>
      <c r="B5723" s="138">
        <f>'Revenues 9-14'!G8</f>
        <v>335778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633351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55885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55885</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689236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43554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43554</v>
      </c>
      <c r="C5915" s="2" t="s">
        <v>594</v>
      </c>
      <c r="D5915" s="2" t="str">
        <f t="shared" si="91"/>
        <v>Error?</v>
      </c>
    </row>
    <row r="5916" spans="1:4" x14ac:dyDescent="0.2">
      <c r="A5916" s="5">
        <v>5855</v>
      </c>
      <c r="B5916" s="138">
        <f>'Revenues 9-14'!I5</f>
        <v>152661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152661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41002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41002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193663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76330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76330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76330</v>
      </c>
      <c r="C6023" s="2" t="s">
        <v>594</v>
      </c>
      <c r="D6023" s="2" t="str">
        <f t="shared" si="93"/>
        <v>Error?</v>
      </c>
    </row>
    <row r="6024" spans="1:5" x14ac:dyDescent="0.2">
      <c r="A6024" s="5">
        <v>5963</v>
      </c>
      <c r="B6024" s="138">
        <f>'Revenues 9-14'!G109</f>
        <v>689236</v>
      </c>
      <c r="C6024" s="2" t="s">
        <v>594</v>
      </c>
      <c r="D6024" s="2" t="str">
        <f t="shared" si="93"/>
        <v>Error?</v>
      </c>
    </row>
    <row r="6025" spans="1:5" x14ac:dyDescent="0.2">
      <c r="A6025" s="5">
        <v>5964</v>
      </c>
      <c r="B6025" s="138">
        <f>'Revenues 9-14'!H109</f>
        <v>43554</v>
      </c>
      <c r="C6025" s="2" t="s">
        <v>594</v>
      </c>
      <c r="D6025" s="2" t="str">
        <f t="shared" si="93"/>
        <v>Error?</v>
      </c>
    </row>
    <row r="6026" spans="1:5" x14ac:dyDescent="0.2">
      <c r="A6026" s="5">
        <v>5965</v>
      </c>
      <c r="B6026" s="138">
        <f>'Revenues 9-14'!I109</f>
        <v>193663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76330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489375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65188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2023.73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400066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136243</v>
      </c>
      <c r="D6145" s="2" t="str">
        <f t="shared" si="95"/>
        <v>Error?</v>
      </c>
      <c r="E6145" s="2" t="s">
        <v>199</v>
      </c>
    </row>
    <row r="6146" spans="1:5" x14ac:dyDescent="0.2">
      <c r="A6146">
        <v>6085</v>
      </c>
      <c r="B6146" s="138">
        <f>'Assets-Liab 5-6'!G27</f>
        <v>163686</v>
      </c>
      <c r="D6146" s="2" t="str">
        <f t="shared" si="95"/>
        <v>Error?</v>
      </c>
      <c r="E6146" s="2" t="s">
        <v>199</v>
      </c>
    </row>
    <row r="6147" spans="1:5" x14ac:dyDescent="0.2">
      <c r="A6147">
        <v>6086</v>
      </c>
      <c r="B6147" s="138">
        <f>'Assets-Liab 5-6'!H27</f>
        <v>195658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9203</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9203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390863</v>
      </c>
      <c r="D6215" s="2" t="str">
        <f t="shared" si="96"/>
        <v>Error?</v>
      </c>
      <c r="E6215" s="2" t="s">
        <v>199</v>
      </c>
    </row>
    <row r="6216" spans="1:5" x14ac:dyDescent="0.2">
      <c r="A6216">
        <v>6155</v>
      </c>
      <c r="B6216" s="138">
        <f>'Assets-Liab 5-6'!J41</f>
        <v>400066</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400066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228915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228915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228915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97186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97186</v>
      </c>
      <c r="D6229" s="2" t="str">
        <f t="shared" si="96"/>
        <v>Error?</v>
      </c>
      <c r="E6229" s="2" t="s">
        <v>199</v>
      </c>
    </row>
    <row r="6230" spans="1:5" x14ac:dyDescent="0.2">
      <c r="A6230">
        <v>6169</v>
      </c>
      <c r="B6230" s="138">
        <f>'Acct Summary 7-8'!J20</f>
        <v>131729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131729</v>
      </c>
      <c r="D6263" s="2" t="str">
        <f t="shared" si="96"/>
        <v>Error?</v>
      </c>
      <c r="E6263" s="2" t="s">
        <v>199</v>
      </c>
    </row>
    <row r="6264" spans="1:5" x14ac:dyDescent="0.2">
      <c r="A6264">
        <v>6203</v>
      </c>
      <c r="B6264" s="138">
        <f>'Acct Summary 7-8'!J79</f>
        <v>259134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390863</v>
      </c>
      <c r="D6266" s="2" t="str">
        <f t="shared" si="96"/>
        <v>Error?</v>
      </c>
      <c r="E6266" s="2" t="s">
        <v>199</v>
      </c>
    </row>
    <row r="6267" spans="1:5" x14ac:dyDescent="0.2">
      <c r="A6267">
        <v>6206</v>
      </c>
      <c r="B6267" s="138">
        <f>'Acct Summary 7-8'!C82</f>
        <v>-111183</v>
      </c>
      <c r="D6267" s="2" t="str">
        <f t="shared" si="96"/>
        <v>Error?</v>
      </c>
      <c r="E6267" s="2" t="s">
        <v>199</v>
      </c>
    </row>
    <row r="6268" spans="1:5" x14ac:dyDescent="0.2">
      <c r="A6268">
        <v>6207</v>
      </c>
      <c r="B6268" s="138">
        <f>'Acct Summary 7-8'!D82</f>
        <v>93647</v>
      </c>
      <c r="D6268" s="2" t="str">
        <f t="shared" si="96"/>
        <v>Error?</v>
      </c>
      <c r="E6268" s="2" t="s">
        <v>199</v>
      </c>
    </row>
    <row r="6269" spans="1:5" x14ac:dyDescent="0.2">
      <c r="A6269">
        <v>6208</v>
      </c>
      <c r="B6269" s="138">
        <f>'Acct Summary 7-8'!E82</f>
        <v>-38735</v>
      </c>
      <c r="D6269" s="2" t="str">
        <f t="shared" si="96"/>
        <v>Error?</v>
      </c>
      <c r="E6269" s="2" t="s">
        <v>199</v>
      </c>
    </row>
    <row r="6270" spans="1:5" x14ac:dyDescent="0.2">
      <c r="A6270">
        <v>6209</v>
      </c>
      <c r="B6270" s="138">
        <f>'Acct Summary 7-8'!F82</f>
        <v>111530</v>
      </c>
      <c r="D6270" s="2" t="str">
        <f t="shared" si="96"/>
        <v>Error?</v>
      </c>
      <c r="E6270" s="2" t="s">
        <v>199</v>
      </c>
    </row>
    <row r="6271" spans="1:5" x14ac:dyDescent="0.2">
      <c r="A6271">
        <v>6210</v>
      </c>
      <c r="B6271" s="138">
        <f>'Acct Summary 7-8'!G82</f>
        <v>-21385</v>
      </c>
      <c r="D6271" s="2" t="str">
        <f t="shared" ref="D6271:D6334" si="97">IF(ISBLANK(B6271),"OK",IF(A6271-B6271=0,"OK","Error?"))</f>
        <v>Error?</v>
      </c>
      <c r="E6271" s="2" t="s">
        <v>199</v>
      </c>
    </row>
    <row r="6272" spans="1:5" x14ac:dyDescent="0.2">
      <c r="A6272">
        <v>6211</v>
      </c>
      <c r="B6272" s="138">
        <f>'Acct Summary 7-8'!H82</f>
        <v>-2037266</v>
      </c>
      <c r="D6272" s="2" t="str">
        <f t="shared" si="97"/>
        <v>Error?</v>
      </c>
      <c r="E6272" s="2" t="s">
        <v>199</v>
      </c>
    </row>
    <row r="6273" spans="1:5" x14ac:dyDescent="0.2">
      <c r="A6273">
        <v>6212</v>
      </c>
      <c r="B6273" s="138">
        <f>'Acct Summary 7-8'!I82</f>
        <v>-306337</v>
      </c>
      <c r="D6273" s="2" t="str">
        <f t="shared" si="97"/>
        <v>Error?</v>
      </c>
      <c r="E6273" s="2" t="s">
        <v>199</v>
      </c>
    </row>
    <row r="6274" spans="1:5" x14ac:dyDescent="0.2">
      <c r="A6274">
        <v>6213</v>
      </c>
      <c r="B6274" s="138">
        <f>'Acct Summary 7-8'!J82</f>
        <v>131729</v>
      </c>
      <c r="D6274" s="2" t="str">
        <f t="shared" si="97"/>
        <v>Error?</v>
      </c>
      <c r="E6274" s="2" t="s">
        <v>199</v>
      </c>
    </row>
    <row r="6275" spans="1:5" x14ac:dyDescent="0.2">
      <c r="A6275">
        <v>6214</v>
      </c>
      <c r="B6275" s="138">
        <f>'Acct Summary 7-8'!K82</f>
        <v>76330</v>
      </c>
      <c r="D6275" s="2" t="str">
        <f t="shared" si="97"/>
        <v>Error?</v>
      </c>
      <c r="E6275" s="2" t="s">
        <v>199</v>
      </c>
    </row>
    <row r="6276" spans="1:5" x14ac:dyDescent="0.2">
      <c r="A6276">
        <v>6215</v>
      </c>
      <c r="B6276" s="138">
        <f>'Acct Summary 7-8'!C83</f>
        <v>-9.1155835131927661E-3</v>
      </c>
      <c r="D6276" s="2" t="str">
        <f t="shared" si="97"/>
        <v>Error?</v>
      </c>
      <c r="E6276" s="2" t="s">
        <v>199</v>
      </c>
    </row>
    <row r="6277" spans="1:5" x14ac:dyDescent="0.2">
      <c r="A6277">
        <v>6216</v>
      </c>
      <c r="B6277" s="138">
        <f>'Acct Summary 7-8'!D83</f>
        <v>7.7408353095896026E-2</v>
      </c>
      <c r="D6277" s="2" t="str">
        <f t="shared" si="97"/>
        <v>Error?</v>
      </c>
      <c r="E6277" s="2" t="s">
        <v>199</v>
      </c>
    </row>
    <row r="6278" spans="1:5" x14ac:dyDescent="0.2">
      <c r="A6278">
        <v>6217</v>
      </c>
      <c r="B6278" s="138">
        <f>'Acct Summary 7-8'!E83</f>
        <v>-0.43059461742832689</v>
      </c>
      <c r="D6278" s="2" t="str">
        <f t="shared" si="97"/>
        <v>Error?</v>
      </c>
      <c r="E6278" s="2" t="s">
        <v>199</v>
      </c>
    </row>
    <row r="6279" spans="1:5" x14ac:dyDescent="0.2">
      <c r="A6279">
        <v>6218</v>
      </c>
      <c r="B6279" s="138">
        <f>'Acct Summary 7-8'!F83</f>
        <v>4.9696996702611178E-2</v>
      </c>
      <c r="D6279" s="2" t="str">
        <f t="shared" si="97"/>
        <v>Error?</v>
      </c>
      <c r="E6279" s="2" t="s">
        <v>199</v>
      </c>
    </row>
    <row r="6280" spans="1:5" x14ac:dyDescent="0.2">
      <c r="A6280">
        <v>6219</v>
      </c>
      <c r="B6280" s="138">
        <f>'Acct Summary 7-8'!G83</f>
        <v>-0.10276951467415071</v>
      </c>
      <c r="D6280" s="2" t="str">
        <f t="shared" si="97"/>
        <v>Error?</v>
      </c>
      <c r="E6280" s="2" t="s">
        <v>199</v>
      </c>
    </row>
    <row r="6281" spans="1:5" x14ac:dyDescent="0.2">
      <c r="A6281">
        <v>6220</v>
      </c>
      <c r="B6281" s="138">
        <f>'Acct Summary 7-8'!H83</f>
        <v>-2.5175862009307797</v>
      </c>
      <c r="D6281" s="2" t="str">
        <f t="shared" si="97"/>
        <v>Error?</v>
      </c>
      <c r="E6281" s="2" t="s">
        <v>199</v>
      </c>
    </row>
    <row r="6282" spans="1:5" x14ac:dyDescent="0.2">
      <c r="A6282">
        <v>6221</v>
      </c>
      <c r="B6282" s="138">
        <f>'Acct Summary 7-8'!I83</f>
        <v>-0.34850586063042022</v>
      </c>
      <c r="D6282" s="2" t="str">
        <f t="shared" si="97"/>
        <v>Error?</v>
      </c>
      <c r="E6282" s="2" t="s">
        <v>199</v>
      </c>
    </row>
    <row r="6283" spans="1:5" x14ac:dyDescent="0.2">
      <c r="A6283">
        <v>6222</v>
      </c>
      <c r="B6283" s="138">
        <f>'Acct Summary 7-8'!J83</f>
        <v>0.33702089990610523</v>
      </c>
      <c r="D6283" s="2" t="str">
        <f t="shared" si="97"/>
        <v>Error?</v>
      </c>
      <c r="E6283" s="2" t="s">
        <v>199</v>
      </c>
    </row>
    <row r="6284" spans="1:5" x14ac:dyDescent="0.2">
      <c r="A6284">
        <v>6223</v>
      </c>
      <c r="B6284" s="138">
        <f>'Acct Summary 7-8'!K83</f>
        <v>0.19721934418689976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500000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228915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228915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43554</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18505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228915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365961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431693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354239</v>
      </c>
      <c r="D6983" s="2" t="str">
        <f t="shared" si="108"/>
        <v>Error?</v>
      </c>
    </row>
    <row r="6984" spans="1:4" x14ac:dyDescent="0.2">
      <c r="A6984">
        <v>6923</v>
      </c>
      <c r="B6984" s="138">
        <f>'Expenditures 15-22'!K86</f>
        <v>354239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314659</v>
      </c>
      <c r="D6987" s="2" t="str">
        <f t="shared" si="108"/>
        <v>Error?</v>
      </c>
    </row>
    <row r="6988" spans="1:4" x14ac:dyDescent="0.2">
      <c r="A6988">
        <v>6927</v>
      </c>
      <c r="B6988" s="138">
        <f>'Expenditures 15-22'!K88</f>
        <v>314659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668898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97186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228915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21586</v>
      </c>
      <c r="D7073" s="2" t="str">
        <f t="shared" si="109"/>
        <v>Error?</v>
      </c>
    </row>
    <row r="7074" spans="1:4" x14ac:dyDescent="0.2">
      <c r="A7074">
        <v>7013</v>
      </c>
      <c r="B7074" s="138">
        <f>'Expenditures 15-22'!K216</f>
        <v>21586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90079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90079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7107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7107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97186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97186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97186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97186</v>
      </c>
      <c r="D7224" s="2" t="str">
        <f t="shared" si="111"/>
        <v>Error?</v>
      </c>
    </row>
    <row r="7225" spans="1:4" x14ac:dyDescent="0.2">
      <c r="A7225">
        <v>7164</v>
      </c>
      <c r="B7225" s="138">
        <f>'Expenditures 15-22'!K343</f>
        <v>131729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65545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187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2504354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500000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18505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28912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47417</v>
      </c>
      <c r="D7719" s="2" t="str">
        <f t="shared" si="126"/>
        <v>Error?</v>
      </c>
      <c r="E7719" s="2" t="s">
        <v>881</v>
      </c>
    </row>
    <row r="7720" spans="1:6" x14ac:dyDescent="0.2">
      <c r="A7720">
        <v>7659</v>
      </c>
      <c r="B7720" s="138">
        <f>'Rest Tax Levies-Tort Im 25'!H14</f>
        <v>305245</v>
      </c>
      <c r="D7720" s="2" t="str">
        <f t="shared" si="126"/>
        <v>Error?</v>
      </c>
      <c r="E7720" s="2" t="s">
        <v>881</v>
      </c>
    </row>
    <row r="7721" spans="1:6" x14ac:dyDescent="0.2">
      <c r="A7721">
        <v>7660</v>
      </c>
      <c r="B7721" s="138">
        <f>'Rest Tax Levies-Tort Im 25'!K14</f>
        <v>47417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500000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3200618.67</v>
      </c>
      <c r="D7797" s="2" t="str">
        <f t="shared" si="127"/>
        <v>Error?</v>
      </c>
      <c r="E7797" s="4" t="s">
        <v>2017</v>
      </c>
    </row>
    <row r="7798" spans="1:5" x14ac:dyDescent="0.2">
      <c r="A7798">
        <v>7737</v>
      </c>
      <c r="B7798" s="138">
        <f>'Contracts Paid in CY 29'!F141</f>
        <v>111601</v>
      </c>
      <c r="D7798" s="2" t="str">
        <f t="shared" si="127"/>
        <v>Error?</v>
      </c>
      <c r="E7798" s="4" t="s">
        <v>2017</v>
      </c>
    </row>
    <row r="7799" spans="1:5" x14ac:dyDescent="0.2">
      <c r="A7799">
        <v>7738</v>
      </c>
      <c r="B7799" s="138">
        <f>'Contracts Paid in CY 29'!G141</f>
        <v>29121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 zoomScale="110" zoomScaleNormal="110" workbookViewId="0">
      <selection activeCell="B48" sqref="B4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9" t="str">
        <f>COVER!A17</f>
        <v>Coal City Community Unit School District #1</v>
      </c>
      <c r="B7" s="2400"/>
      <c r="C7" s="2400"/>
      <c r="D7" s="2437"/>
      <c r="E7" s="2438">
        <f>COVER!A13</f>
        <v>24032001026</v>
      </c>
      <c r="F7" s="2439"/>
      <c r="G7" s="2406" t="str">
        <f>COVER!T23</f>
        <v>066-005100</v>
      </c>
      <c r="H7" s="2407"/>
      <c r="I7" s="2407"/>
      <c r="J7" s="2407"/>
      <c r="K7" s="2407"/>
      <c r="L7" s="240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9"/>
      <c r="B9" s="2410"/>
      <c r="C9" s="2410"/>
      <c r="D9" s="2410"/>
      <c r="E9" s="2410"/>
      <c r="F9" s="2411"/>
      <c r="G9" s="2412" t="str">
        <f>COVER!T13</f>
        <v>Mack &amp; Associates, P.C.</v>
      </c>
      <c r="H9" s="2413"/>
      <c r="I9" s="2413"/>
      <c r="J9" s="2413"/>
      <c r="K9" s="2413"/>
      <c r="L9" s="2414"/>
    </row>
    <row r="10" spans="1:29" ht="13.5" customHeight="1" x14ac:dyDescent="0.2">
      <c r="A10" s="2396" t="str">
        <f>COVER!A38</f>
        <v>Dr. Kent Bugg</v>
      </c>
      <c r="B10" s="2397"/>
      <c r="C10" s="2397"/>
      <c r="D10" s="2397"/>
      <c r="E10" s="2397"/>
      <c r="F10" s="2398"/>
      <c r="G10" s="2412" t="str">
        <f>COVER!T17</f>
        <v>116 E. Washington Street, Suite One</v>
      </c>
      <c r="H10" s="2425"/>
      <c r="I10" s="2425"/>
      <c r="J10" s="2425"/>
      <c r="K10" s="2425"/>
      <c r="L10" s="2426"/>
    </row>
    <row r="11" spans="1:29" ht="13.5" customHeight="1" x14ac:dyDescent="0.2">
      <c r="A11" s="1185" t="s">
        <v>1599</v>
      </c>
      <c r="B11" s="1186"/>
      <c r="C11" s="1187"/>
      <c r="D11" s="1192"/>
      <c r="E11" s="1187"/>
      <c r="F11" s="1191"/>
      <c r="G11" s="2412" t="str">
        <f>COVER!T19</f>
        <v>Morris</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tmack@mackcpas.com</v>
      </c>
      <c r="J13" s="2434"/>
      <c r="K13" s="2434"/>
      <c r="L13" s="2435"/>
    </row>
    <row r="14" spans="1:29" ht="13.5" customHeight="1" x14ac:dyDescent="0.2">
      <c r="A14" s="2412" t="str">
        <f>COVER!A19</f>
        <v>550 S. Carbon Hill Road</v>
      </c>
      <c r="B14" s="2425"/>
      <c r="C14" s="2425"/>
      <c r="D14" s="2425"/>
      <c r="E14" s="2425"/>
      <c r="F14" s="2426"/>
      <c r="G14" s="1196" t="s">
        <v>1247</v>
      </c>
      <c r="H14" s="1194"/>
      <c r="I14" s="1194"/>
      <c r="J14" s="1194"/>
      <c r="K14" s="1194"/>
      <c r="L14" s="1195"/>
    </row>
    <row r="15" spans="1:29" ht="13.5" customHeight="1" x14ac:dyDescent="0.2">
      <c r="A15" s="2412" t="str">
        <f>COVER!A21</f>
        <v xml:space="preserve">Coal City  </v>
      </c>
      <c r="B15" s="2425"/>
      <c r="C15" s="2425"/>
      <c r="D15" s="2425"/>
      <c r="E15" s="2425"/>
      <c r="F15" s="2426"/>
      <c r="G15" s="2422" t="str">
        <f>COVER!T15</f>
        <v>Tawnya Mack, CPA</v>
      </c>
      <c r="H15" s="2423"/>
      <c r="I15" s="2423"/>
      <c r="J15" s="2423"/>
      <c r="K15" s="2423"/>
      <c r="L15" s="2424"/>
    </row>
    <row r="16" spans="1:29" ht="12.2" customHeight="1" x14ac:dyDescent="0.2">
      <c r="A16" s="2402">
        <f>COVER!A25</f>
        <v>60416</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6" t="s">
        <v>1246</v>
      </c>
      <c r="H17" s="1194"/>
      <c r="I17" s="1194"/>
      <c r="J17" s="1194"/>
      <c r="K17" s="1198" t="s">
        <v>1245</v>
      </c>
      <c r="L17" s="1191"/>
      <c r="M17" s="1184"/>
    </row>
    <row r="18" spans="1:13" ht="12.2" customHeight="1" x14ac:dyDescent="0.2">
      <c r="A18" s="2396"/>
      <c r="B18" s="2397"/>
      <c r="C18" s="2397"/>
      <c r="D18" s="2397"/>
      <c r="E18" s="2397"/>
      <c r="F18" s="2398"/>
      <c r="G18" s="2399" t="str">
        <f>COVER!T21</f>
        <v>(815) 942-3306</v>
      </c>
      <c r="H18" s="2400"/>
      <c r="I18" s="2400"/>
      <c r="J18" s="2400"/>
      <c r="K18" s="2399" t="str">
        <f>COVER!X21</f>
        <v>(815) 942-9430</v>
      </c>
      <c r="L18" s="240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2192</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2192</v>
      </c>
      <c r="C26" s="1203" t="s">
        <v>1801</v>
      </c>
    </row>
    <row r="27" spans="1:13" s="1199" customFormat="1" ht="9" customHeight="1" x14ac:dyDescent="0.2">
      <c r="B27" s="1204"/>
      <c r="C27" s="1203"/>
    </row>
    <row r="28" spans="1:13" s="1199" customFormat="1" ht="12.2" customHeight="1" x14ac:dyDescent="0.2">
      <c r="A28" s="1206"/>
      <c r="B28" s="1202" t="s">
        <v>2192</v>
      </c>
      <c r="C28" s="1203" t="s">
        <v>1802</v>
      </c>
    </row>
    <row r="29" spans="1:13" s="1199" customFormat="1" ht="9" customHeight="1" x14ac:dyDescent="0.2">
      <c r="A29" s="1206"/>
      <c r="B29" s="1204"/>
      <c r="C29" s="1203"/>
    </row>
    <row r="30" spans="1:13" s="1199" customFormat="1" ht="12.2" customHeight="1" x14ac:dyDescent="0.2">
      <c r="B30" s="1202" t="s">
        <v>2192</v>
      </c>
      <c r="C30" s="1203" t="s">
        <v>1643</v>
      </c>
      <c r="D30" s="1197"/>
      <c r="E30" s="1197"/>
    </row>
    <row r="31" spans="1:13" s="1199" customFormat="1" ht="9" customHeight="1" x14ac:dyDescent="0.2">
      <c r="B31" s="1204"/>
      <c r="C31" s="1203"/>
      <c r="D31" s="1197"/>
      <c r="E31" s="1197"/>
    </row>
    <row r="32" spans="1:13" s="1199" customFormat="1" ht="12.2" customHeight="1" x14ac:dyDescent="0.2">
      <c r="B32" s="1202" t="s">
        <v>2192</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2192</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2192</v>
      </c>
      <c r="C38" s="1203" t="s">
        <v>1647</v>
      </c>
    </row>
    <row r="39" spans="1:8" ht="9" customHeight="1" x14ac:dyDescent="0.2">
      <c r="B39" s="1204"/>
      <c r="C39" s="1207"/>
    </row>
    <row r="40" spans="1:8" s="1199" customFormat="1" ht="13.5" customHeight="1" x14ac:dyDescent="0.2">
      <c r="B40" s="1202" t="s">
        <v>2192</v>
      </c>
      <c r="C40" s="1203" t="s">
        <v>1648</v>
      </c>
    </row>
    <row r="41" spans="1:8" ht="9" customHeight="1" x14ac:dyDescent="0.2">
      <c r="A41" s="1208"/>
      <c r="B41" s="1204"/>
      <c r="C41" s="1207"/>
    </row>
    <row r="42" spans="1:8" s="1199" customFormat="1" ht="13.5" customHeight="1" x14ac:dyDescent="0.2">
      <c r="B42" s="1202" t="s">
        <v>2192</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0" t="str">
        <f>'Single Audit Cover'!A7</f>
        <v>Coal City Community Unit School District #1</v>
      </c>
      <c r="B1" s="2436"/>
      <c r="C1" s="2436"/>
      <c r="D1" s="2436"/>
    </row>
    <row r="2" spans="1:11" s="1215" customFormat="1" ht="12.75" x14ac:dyDescent="0.2">
      <c r="A2" s="2441">
        <f>'Single Audit Cover'!E7</f>
        <v>24032001026</v>
      </c>
      <c r="B2" s="2442"/>
      <c r="C2" s="2442"/>
      <c r="D2" s="2442"/>
    </row>
    <row r="3" spans="1:11" s="1215" customFormat="1" ht="12.75" x14ac:dyDescent="0.2">
      <c r="A3" s="2440" t="s">
        <v>1593</v>
      </c>
      <c r="B3" s="2436"/>
      <c r="C3" s="2436"/>
      <c r="D3" s="243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4" t="str">
        <f>'Single Audit Cover'!A7</f>
        <v>Coal City Community Unit School District #1</v>
      </c>
      <c r="B1" s="2444"/>
      <c r="C1" s="2444"/>
      <c r="D1" s="2444"/>
      <c r="E1" s="2444"/>
    </row>
    <row r="2" spans="1:5" x14ac:dyDescent="0.2">
      <c r="A2" s="2445">
        <f>'Single Audit Cover'!E7</f>
        <v>24032001026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60" t="s">
        <v>1305</v>
      </c>
    </row>
    <row r="10" spans="1:5" x14ac:dyDescent="0.2">
      <c r="A10" s="1261" t="s">
        <v>1304</v>
      </c>
      <c r="B10" s="1262" t="s">
        <v>1303</v>
      </c>
      <c r="C10" s="1262"/>
      <c r="D10" s="1263">
        <f>SUM('Acct Summary 7-8'!C7:K7)</f>
        <v>860276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65188</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-63222</v>
      </c>
    </row>
    <row r="19" spans="1:4" ht="13.5" thickBot="1" x14ac:dyDescent="0.25">
      <c r="A19" s="1265" t="s">
        <v>1297</v>
      </c>
      <c r="D19" s="1266">
        <f>SUM(D10:D17)</f>
        <v>862242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6"/>
      <c r="B24" s="2446"/>
      <c r="D24" s="1268"/>
    </row>
    <row r="25" spans="1:4" x14ac:dyDescent="0.2">
      <c r="A25" s="2443"/>
      <c r="B25" s="2443"/>
      <c r="D25" s="1268"/>
    </row>
    <row r="26" spans="1:4" x14ac:dyDescent="0.2">
      <c r="A26" s="2443"/>
      <c r="B26" s="2443"/>
      <c r="D26" s="1268"/>
    </row>
    <row r="27" spans="1:4" x14ac:dyDescent="0.2">
      <c r="A27" s="2443"/>
      <c r="B27" s="2443"/>
      <c r="D27" s="1268"/>
    </row>
    <row r="28" spans="1:4" x14ac:dyDescent="0.2">
      <c r="A28" s="2443"/>
      <c r="B28" s="2443"/>
      <c r="D28" s="1268"/>
    </row>
    <row r="29" spans="1:4" x14ac:dyDescent="0.2">
      <c r="A29" s="2443"/>
      <c r="B29" s="2443"/>
      <c r="D29" s="1268"/>
    </row>
    <row r="30" spans="1:4" x14ac:dyDescent="0.2">
      <c r="A30" s="2443"/>
      <c r="B30" s="2443"/>
      <c r="D30" s="1268"/>
    </row>
    <row r="32" spans="1:4" x14ac:dyDescent="0.2">
      <c r="A32" s="1260" t="s">
        <v>1295</v>
      </c>
      <c r="D32" s="1263">
        <f>SUM(D19:D30)</f>
        <v>862242</v>
      </c>
    </row>
    <row r="33" spans="1:4" x14ac:dyDescent="0.2">
      <c r="D33" s="1269"/>
    </row>
    <row r="34" spans="1:4" x14ac:dyDescent="0.2">
      <c r="A34" s="317" t="s">
        <v>1294</v>
      </c>
    </row>
    <row r="35" spans="1:4" x14ac:dyDescent="0.2">
      <c r="A35" s="317" t="s">
        <v>1293</v>
      </c>
      <c r="B35" s="1258" t="s">
        <v>1292</v>
      </c>
      <c r="D35" s="1270">
        <v>862242</v>
      </c>
    </row>
    <row r="37" spans="1:4" x14ac:dyDescent="0.2">
      <c r="A37" s="1260" t="s">
        <v>1291</v>
      </c>
    </row>
    <row r="39" spans="1:4" ht="13.35" customHeight="1" x14ac:dyDescent="0.2">
      <c r="A39" s="1267" t="s">
        <v>1290</v>
      </c>
    </row>
    <row r="40" spans="1:4" x14ac:dyDescent="0.2">
      <c r="A40" s="2443"/>
      <c r="B40" s="2443"/>
      <c r="D40" s="1268"/>
    </row>
    <row r="41" spans="1:4" x14ac:dyDescent="0.2">
      <c r="A41" s="2443"/>
      <c r="B41" s="2443"/>
      <c r="D41" s="1271"/>
    </row>
    <row r="42" spans="1:4" x14ac:dyDescent="0.2">
      <c r="A42" s="2443"/>
      <c r="B42" s="2443"/>
      <c r="D42" s="1271"/>
    </row>
    <row r="43" spans="1:4" x14ac:dyDescent="0.2">
      <c r="A43" s="2443"/>
      <c r="B43" s="2443"/>
      <c r="D43" s="1271"/>
    </row>
    <row r="44" spans="1:4" x14ac:dyDescent="0.2">
      <c r="A44" s="2443"/>
      <c r="B44" s="2443"/>
      <c r="D44" s="1271"/>
    </row>
    <row r="45" spans="1:4" x14ac:dyDescent="0.2">
      <c r="A45" s="2443"/>
      <c r="B45" s="2443"/>
      <c r="D45" s="1271"/>
    </row>
    <row r="47" spans="1:4" x14ac:dyDescent="0.2">
      <c r="B47" s="1272" t="s">
        <v>1289</v>
      </c>
      <c r="C47" s="1272"/>
      <c r="D47" s="1273">
        <f>SUM(D35:D45)</f>
        <v>862242</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Coal City Community Unit School District #1</v>
      </c>
      <c r="B1" s="2449"/>
      <c r="C1" s="2449"/>
      <c r="D1" s="2449"/>
      <c r="E1" s="2449"/>
      <c r="F1" s="2449"/>
    </row>
    <row r="2" spans="1:7" ht="13.5" customHeight="1" x14ac:dyDescent="0.2">
      <c r="A2" s="2450">
        <f>'Single Audit Cover'!E7</f>
        <v>24032001026</v>
      </c>
      <c r="B2" s="2450"/>
      <c r="C2" s="2450"/>
      <c r="D2" s="2450"/>
      <c r="E2" s="2450"/>
      <c r="F2" s="2450"/>
      <c r="G2" s="1275"/>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6" t="s">
        <v>1831</v>
      </c>
      <c r="C6" s="317"/>
      <c r="D6" s="317"/>
    </row>
    <row r="7" spans="1:7" ht="60.95" customHeight="1" x14ac:dyDescent="0.2">
      <c r="A7" s="2448" t="s">
        <v>2193</v>
      </c>
      <c r="B7" s="2448"/>
      <c r="C7" s="2448"/>
      <c r="D7" s="2448"/>
      <c r="E7" s="2448"/>
      <c r="F7" s="244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2075</v>
      </c>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48" t="s">
        <v>2247</v>
      </c>
      <c r="B13" s="2448"/>
      <c r="C13" s="2448"/>
      <c r="D13" s="2448"/>
      <c r="E13" s="2448"/>
      <c r="F13" s="2448"/>
    </row>
    <row r="14" spans="1:7" ht="9.75" customHeight="1" x14ac:dyDescent="0.2">
      <c r="C14" s="1260"/>
      <c r="D14" s="1260"/>
    </row>
    <row r="15" spans="1:7" ht="13.5" customHeight="1" x14ac:dyDescent="0.2">
      <c r="C15" s="1867" t="s">
        <v>1332</v>
      </c>
      <c r="D15" s="2454" t="s">
        <v>1331</v>
      </c>
      <c r="E15" s="2454"/>
      <c r="F15" s="2454"/>
    </row>
    <row r="16" spans="1:7" ht="13.5" customHeight="1" x14ac:dyDescent="0.2">
      <c r="A16" s="1282"/>
      <c r="B16" s="1276" t="s">
        <v>1330</v>
      </c>
      <c r="C16" s="1867" t="s">
        <v>1329</v>
      </c>
      <c r="D16" s="2455" t="s">
        <v>1670</v>
      </c>
      <c r="E16" s="2455"/>
      <c r="F16" s="2455"/>
    </row>
    <row r="17" spans="1:6" ht="20.45" customHeight="1" x14ac:dyDescent="0.2">
      <c r="A17" s="1283"/>
      <c r="B17" s="1284" t="s">
        <v>2194</v>
      </c>
      <c r="C17" s="1285" t="s">
        <v>2195</v>
      </c>
      <c r="D17" s="2453">
        <v>0</v>
      </c>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57" t="s">
        <v>1833</v>
      </c>
      <c r="B32" s="2457"/>
      <c r="C32" s="2457"/>
      <c r="D32" s="2457"/>
      <c r="E32" s="2457"/>
      <c r="F32" s="2457"/>
    </row>
    <row r="33" spans="1:6" ht="13.5" customHeight="1" x14ac:dyDescent="0.2">
      <c r="A33" s="328" t="s">
        <v>1509</v>
      </c>
      <c r="B33" s="328"/>
      <c r="C33" s="1288">
        <v>38859</v>
      </c>
      <c r="D33" s="1924"/>
      <c r="E33" s="1286"/>
    </row>
    <row r="34" spans="1:6" ht="13.5" customHeight="1" x14ac:dyDescent="0.2">
      <c r="A34" s="328" t="s">
        <v>1946</v>
      </c>
      <c r="B34" s="328"/>
      <c r="C34" s="1289">
        <v>26329</v>
      </c>
      <c r="D34" s="1924" t="s">
        <v>1671</v>
      </c>
      <c r="E34" s="2458">
        <f>+C33+C34</f>
        <v>65188</v>
      </c>
      <c r="F34" s="2459"/>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v>0</v>
      </c>
      <c r="D38" s="1924"/>
      <c r="E38" s="1286"/>
    </row>
    <row r="39" spans="1:6" ht="14.25" customHeight="1" x14ac:dyDescent="0.2">
      <c r="A39" s="328"/>
      <c r="B39" s="328" t="s">
        <v>1511</v>
      </c>
      <c r="C39" s="1292">
        <v>0</v>
      </c>
      <c r="D39" s="1924"/>
      <c r="E39" s="1286"/>
    </row>
    <row r="40" spans="1:6" ht="14.25" customHeight="1" x14ac:dyDescent="0.2">
      <c r="A40" s="328"/>
      <c r="B40" s="328" t="s">
        <v>1512</v>
      </c>
      <c r="C40" s="1292">
        <v>0</v>
      </c>
      <c r="D40" s="1924"/>
      <c r="E40" s="1286"/>
    </row>
    <row r="41" spans="1:6" ht="14.25" customHeight="1" x14ac:dyDescent="0.2">
      <c r="A41" s="328"/>
      <c r="B41" s="328" t="s">
        <v>1513</v>
      </c>
      <c r="C41" s="1292">
        <v>0</v>
      </c>
      <c r="D41" s="1924"/>
      <c r="E41" s="1286"/>
    </row>
    <row r="42" spans="1:6" ht="14.25" customHeight="1" x14ac:dyDescent="0.2">
      <c r="A42" s="328" t="s">
        <v>1514</v>
      </c>
      <c r="B42" s="328"/>
      <c r="C42" s="1922">
        <v>0</v>
      </c>
      <c r="D42" s="1924"/>
      <c r="E42" s="1286"/>
    </row>
    <row r="43" spans="1:6" ht="14.25" customHeight="1" x14ac:dyDescent="0.2">
      <c r="A43" s="328" t="s">
        <v>1515</v>
      </c>
      <c r="B43" s="328"/>
      <c r="C43" s="1293" t="s">
        <v>593</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66"/>
      <c r="C50" s="1866"/>
      <c r="D50" s="1866"/>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N26" sqref="N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5" t="str">
        <f>'Single Audit Cover'!A7</f>
        <v>Coal City Community Unit School District #1</v>
      </c>
      <c r="C1" s="2461"/>
      <c r="D1" s="2461"/>
      <c r="E1" s="2461"/>
      <c r="F1" s="2461"/>
      <c r="G1" s="2461"/>
      <c r="H1" s="2461"/>
      <c r="I1" s="2461"/>
      <c r="J1" s="2461"/>
      <c r="K1" s="2461"/>
      <c r="L1" s="2461"/>
      <c r="M1" s="2461"/>
    </row>
    <row r="2" spans="2:14" ht="15" x14ac:dyDescent="0.2">
      <c r="B2" s="2450">
        <f>'Single Audit Cover'!E7</f>
        <v>24032001026</v>
      </c>
      <c r="C2" s="2450"/>
      <c r="D2" s="2450"/>
      <c r="E2" s="2450"/>
      <c r="F2" s="2450"/>
      <c r="G2" s="2450"/>
      <c r="H2" s="2450"/>
      <c r="I2" s="2450"/>
      <c r="J2" s="2450"/>
      <c r="K2" s="2450"/>
      <c r="L2" s="2450"/>
      <c r="M2" s="2450"/>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2200</v>
      </c>
      <c r="C11" s="1338"/>
      <c r="D11" s="1339"/>
      <c r="E11" s="1340"/>
      <c r="F11" s="1340"/>
      <c r="G11" s="1340"/>
      <c r="H11" s="1340"/>
      <c r="I11" s="1340"/>
      <c r="J11" s="1340"/>
      <c r="K11" s="1340"/>
      <c r="L11" s="1340">
        <f>+G11+I11+K11</f>
        <v>0</v>
      </c>
      <c r="M11" s="1340"/>
    </row>
    <row r="12" spans="2:14" ht="20.100000000000001" customHeight="1" x14ac:dyDescent="0.2">
      <c r="B12" s="1337" t="s">
        <v>2196</v>
      </c>
      <c r="C12" s="1341"/>
      <c r="D12" s="1342"/>
      <c r="E12" s="1343"/>
      <c r="F12" s="1343"/>
      <c r="G12" s="1343"/>
      <c r="H12" s="1343"/>
      <c r="I12" s="1343"/>
      <c r="J12" s="1343"/>
      <c r="K12" s="1343"/>
      <c r="L12" s="1340">
        <f t="shared" ref="L12:L27" si="0">+G12+I12+K12</f>
        <v>0</v>
      </c>
      <c r="M12" s="1343"/>
    </row>
    <row r="13" spans="2:14" ht="20.100000000000001" customHeight="1" x14ac:dyDescent="0.2">
      <c r="B13" s="1337" t="s">
        <v>2197</v>
      </c>
      <c r="C13" s="1341"/>
      <c r="D13" s="1342"/>
      <c r="E13" s="1343"/>
      <c r="F13" s="1343"/>
      <c r="G13" s="1343"/>
      <c r="H13" s="1343"/>
      <c r="I13" s="1343"/>
      <c r="J13" s="1343"/>
      <c r="K13" s="1343"/>
      <c r="L13" s="1340">
        <f t="shared" si="0"/>
        <v>0</v>
      </c>
      <c r="M13" s="1343"/>
    </row>
    <row r="14" spans="2:14" ht="20.100000000000001" customHeight="1" x14ac:dyDescent="0.2">
      <c r="B14" s="1337" t="s">
        <v>2198</v>
      </c>
      <c r="C14" s="1341">
        <v>10.555</v>
      </c>
      <c r="D14" s="1342" t="s">
        <v>2199</v>
      </c>
      <c r="E14" s="1343"/>
      <c r="F14" s="1343">
        <v>218462</v>
      </c>
      <c r="G14" s="1343"/>
      <c r="H14" s="1343"/>
      <c r="I14" s="1343">
        <v>218462</v>
      </c>
      <c r="J14" s="1343"/>
      <c r="K14" s="1343">
        <v>0</v>
      </c>
      <c r="L14" s="1340">
        <f t="shared" si="0"/>
        <v>218462</v>
      </c>
      <c r="M14" s="1343" t="s">
        <v>2195</v>
      </c>
    </row>
    <row r="15" spans="2:14" ht="20.100000000000001" customHeight="1" x14ac:dyDescent="0.2">
      <c r="B15" s="1337" t="s">
        <v>2201</v>
      </c>
      <c r="C15" s="1341">
        <v>10.555</v>
      </c>
      <c r="D15" s="1342" t="s">
        <v>2202</v>
      </c>
      <c r="E15" s="1343">
        <v>218641</v>
      </c>
      <c r="F15" s="1343">
        <v>47500</v>
      </c>
      <c r="G15" s="1343">
        <v>218641</v>
      </c>
      <c r="H15" s="1343"/>
      <c r="I15" s="1343">
        <v>47500</v>
      </c>
      <c r="J15" s="1343"/>
      <c r="K15" s="1343">
        <v>0</v>
      </c>
      <c r="L15" s="1340">
        <f t="shared" si="0"/>
        <v>266141</v>
      </c>
      <c r="M15" s="1343" t="s">
        <v>2195</v>
      </c>
    </row>
    <row r="16" spans="2:14" ht="20.100000000000001" customHeight="1" x14ac:dyDescent="0.2">
      <c r="B16" s="1337" t="s">
        <v>2203</v>
      </c>
      <c r="C16" s="1341">
        <v>10.555</v>
      </c>
      <c r="D16" s="1342">
        <v>2018</v>
      </c>
      <c r="E16" s="1343"/>
      <c r="F16" s="1343">
        <v>38859</v>
      </c>
      <c r="G16" s="1343"/>
      <c r="H16" s="1343"/>
      <c r="I16" s="1343">
        <v>38859</v>
      </c>
      <c r="J16" s="1343"/>
      <c r="K16" s="1343">
        <v>0</v>
      </c>
      <c r="L16" s="1340">
        <f t="shared" si="0"/>
        <v>38859</v>
      </c>
      <c r="M16" s="1343" t="s">
        <v>2195</v>
      </c>
    </row>
    <row r="17" spans="2:14" ht="20.100000000000001" customHeight="1" x14ac:dyDescent="0.2">
      <c r="B17" s="1337" t="s">
        <v>2204</v>
      </c>
      <c r="C17" s="1341">
        <v>10.555</v>
      </c>
      <c r="D17" s="1342">
        <v>2018</v>
      </c>
      <c r="E17" s="1343"/>
      <c r="F17" s="1343">
        <v>26329</v>
      </c>
      <c r="G17" s="1343"/>
      <c r="H17" s="1343"/>
      <c r="I17" s="1343">
        <v>26329</v>
      </c>
      <c r="J17" s="1343"/>
      <c r="K17" s="1343">
        <v>0</v>
      </c>
      <c r="L17" s="1340">
        <f t="shared" si="0"/>
        <v>26329</v>
      </c>
      <c r="M17" s="1343" t="s">
        <v>2195</v>
      </c>
    </row>
    <row r="18" spans="2:14" ht="20.100000000000001" customHeight="1" x14ac:dyDescent="0.2">
      <c r="B18" s="1337" t="s">
        <v>2205</v>
      </c>
      <c r="C18" s="1341">
        <v>10.555999999999999</v>
      </c>
      <c r="D18" s="1342" t="s">
        <v>2206</v>
      </c>
      <c r="E18" s="1343"/>
      <c r="F18" s="1343">
        <v>2713</v>
      </c>
      <c r="G18" s="1343"/>
      <c r="H18" s="1343"/>
      <c r="I18" s="1343">
        <v>2713</v>
      </c>
      <c r="J18" s="1343"/>
      <c r="K18" s="1343">
        <v>0</v>
      </c>
      <c r="L18" s="1340">
        <f t="shared" si="0"/>
        <v>2713</v>
      </c>
      <c r="M18" s="1343" t="s">
        <v>2195</v>
      </c>
    </row>
    <row r="19" spans="2:14" ht="20.100000000000001" customHeight="1" x14ac:dyDescent="0.2">
      <c r="B19" s="1337" t="s">
        <v>2207</v>
      </c>
      <c r="C19" s="1341">
        <v>10.555999999999999</v>
      </c>
      <c r="D19" s="1342" t="s">
        <v>2208</v>
      </c>
      <c r="E19" s="1343">
        <v>1497</v>
      </c>
      <c r="F19" s="1343">
        <v>369</v>
      </c>
      <c r="G19" s="1343">
        <v>1497</v>
      </c>
      <c r="H19" s="1343"/>
      <c r="I19" s="1343">
        <v>369</v>
      </c>
      <c r="J19" s="1343"/>
      <c r="K19" s="1343">
        <v>0</v>
      </c>
      <c r="L19" s="1340">
        <f t="shared" si="0"/>
        <v>1866</v>
      </c>
      <c r="M19" s="1343" t="s">
        <v>2195</v>
      </c>
    </row>
    <row r="20" spans="2:14" ht="20.100000000000001" customHeight="1" x14ac:dyDescent="0.2">
      <c r="B20" s="1337" t="s">
        <v>2209</v>
      </c>
      <c r="C20" s="1341">
        <v>10.553000000000001</v>
      </c>
      <c r="D20" s="1342" t="s">
        <v>2210</v>
      </c>
      <c r="E20" s="1343"/>
      <c r="F20" s="1343">
        <v>26037</v>
      </c>
      <c r="G20" s="1343"/>
      <c r="H20" s="1343"/>
      <c r="I20" s="1343">
        <v>26037</v>
      </c>
      <c r="J20" s="1343"/>
      <c r="K20" s="1343">
        <v>0</v>
      </c>
      <c r="L20" s="1340">
        <f t="shared" si="0"/>
        <v>26037</v>
      </c>
      <c r="M20" s="1343" t="s">
        <v>2195</v>
      </c>
    </row>
    <row r="21" spans="2:14" ht="20.100000000000001" customHeight="1" x14ac:dyDescent="0.2">
      <c r="B21" s="1337" t="s">
        <v>2211</v>
      </c>
      <c r="C21" s="1341">
        <v>10.553000000000001</v>
      </c>
      <c r="D21" s="1342" t="s">
        <v>2212</v>
      </c>
      <c r="E21" s="1343">
        <v>25668</v>
      </c>
      <c r="F21" s="1343">
        <v>4731</v>
      </c>
      <c r="G21" s="1343">
        <v>25668</v>
      </c>
      <c r="H21" s="1343"/>
      <c r="I21" s="1343">
        <v>4731</v>
      </c>
      <c r="J21" s="1343"/>
      <c r="K21" s="1343">
        <v>0</v>
      </c>
      <c r="L21" s="1340">
        <f t="shared" si="0"/>
        <v>30399</v>
      </c>
      <c r="M21" s="1343" t="s">
        <v>2195</v>
      </c>
    </row>
    <row r="22" spans="2:14" ht="20.100000000000001" customHeight="1" x14ac:dyDescent="0.2">
      <c r="B22" s="1337" t="s">
        <v>2213</v>
      </c>
      <c r="C22" s="1341"/>
      <c r="D22" s="1342"/>
      <c r="E22" s="1343">
        <f>SUM(E14:E21)</f>
        <v>245806</v>
      </c>
      <c r="F22" s="1343">
        <f>SUM(F14:F21)</f>
        <v>365000</v>
      </c>
      <c r="G22" s="1343">
        <f>SUM(G14:G21)</f>
        <v>245806</v>
      </c>
      <c r="H22" s="1343"/>
      <c r="I22" s="1343">
        <f>SUM(I14:I21)</f>
        <v>365000</v>
      </c>
      <c r="J22" s="1343"/>
      <c r="K22" s="1343">
        <f>SUM(K14:K21)</f>
        <v>0</v>
      </c>
      <c r="L22" s="1340">
        <f t="shared" si="0"/>
        <v>610806</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28" sqref="M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5" t="str">
        <f>'Single Audit Cover'!A7</f>
        <v>Coal City Community Unit School District #1</v>
      </c>
      <c r="C1" s="2461"/>
      <c r="D1" s="2461"/>
      <c r="E1" s="2461"/>
      <c r="F1" s="2461"/>
      <c r="G1" s="2461"/>
      <c r="H1" s="2461"/>
      <c r="I1" s="2461"/>
      <c r="J1" s="2461"/>
      <c r="K1" s="2461"/>
      <c r="L1" s="2461"/>
      <c r="M1" s="2461"/>
    </row>
    <row r="2" spans="2:14" ht="15" x14ac:dyDescent="0.2">
      <c r="B2" s="2450">
        <f>'Single Audit Cover'!E7</f>
        <v>24032001026</v>
      </c>
      <c r="C2" s="2450"/>
      <c r="D2" s="2450"/>
      <c r="E2" s="2450"/>
      <c r="F2" s="2450"/>
      <c r="G2" s="2450"/>
      <c r="H2" s="2450"/>
      <c r="I2" s="2450"/>
      <c r="J2" s="2450"/>
      <c r="K2" s="2450"/>
      <c r="L2" s="2450"/>
      <c r="M2" s="2450"/>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2214</v>
      </c>
      <c r="C11" s="1338"/>
      <c r="D11" s="1339"/>
      <c r="E11" s="1340"/>
      <c r="F11" s="1340"/>
      <c r="G11" s="1340"/>
      <c r="H11" s="1340"/>
      <c r="I11" s="1340"/>
      <c r="J11" s="1340"/>
      <c r="K11" s="1340"/>
      <c r="L11" s="1340">
        <f>+G11+I11+K11</f>
        <v>0</v>
      </c>
      <c r="M11" s="1340"/>
    </row>
    <row r="12" spans="2:14" ht="20.100000000000001" customHeight="1" x14ac:dyDescent="0.2">
      <c r="B12" s="1337" t="s">
        <v>2215</v>
      </c>
      <c r="C12" s="1341"/>
      <c r="D12" s="1342"/>
      <c r="E12" s="1343"/>
      <c r="F12" s="1343"/>
      <c r="G12" s="1343"/>
      <c r="H12" s="1343"/>
      <c r="I12" s="1343"/>
      <c r="J12" s="1343"/>
      <c r="K12" s="1343"/>
      <c r="L12" s="1340">
        <f t="shared" ref="L12:L27" si="0">+G12+I12+K12</f>
        <v>0</v>
      </c>
      <c r="M12" s="1343"/>
    </row>
    <row r="13" spans="2:14" ht="20.100000000000001" customHeight="1" x14ac:dyDescent="0.2">
      <c r="B13" s="1337" t="s">
        <v>2216</v>
      </c>
      <c r="C13" s="1341">
        <v>84.367000000000004</v>
      </c>
      <c r="D13" s="1342" t="s">
        <v>2217</v>
      </c>
      <c r="E13" s="1343"/>
      <c r="F13" s="1343">
        <v>308</v>
      </c>
      <c r="G13" s="1343"/>
      <c r="H13" s="1343"/>
      <c r="I13" s="1343">
        <v>308</v>
      </c>
      <c r="J13" s="1343"/>
      <c r="K13" s="1343">
        <v>0</v>
      </c>
      <c r="L13" s="1340">
        <f t="shared" si="0"/>
        <v>308</v>
      </c>
      <c r="M13" s="1343">
        <v>308</v>
      </c>
    </row>
    <row r="14" spans="2:14" ht="20.100000000000001" customHeight="1" x14ac:dyDescent="0.2">
      <c r="B14" s="1337" t="s">
        <v>2218</v>
      </c>
      <c r="C14" s="1341">
        <v>84.01</v>
      </c>
      <c r="D14" s="1342" t="s">
        <v>2219</v>
      </c>
      <c r="E14" s="1343"/>
      <c r="F14" s="1343">
        <v>204186</v>
      </c>
      <c r="G14" s="1343"/>
      <c r="H14" s="1343"/>
      <c r="I14" s="1343">
        <v>338359</v>
      </c>
      <c r="J14" s="1343"/>
      <c r="K14" s="1343">
        <v>0</v>
      </c>
      <c r="L14" s="1340">
        <f t="shared" si="0"/>
        <v>338359</v>
      </c>
      <c r="M14" s="1343">
        <v>377587</v>
      </c>
    </row>
    <row r="15" spans="2:14" ht="20.100000000000001" customHeight="1" x14ac:dyDescent="0.2">
      <c r="B15" s="1337" t="s">
        <v>2220</v>
      </c>
      <c r="C15" s="1341">
        <v>84.01</v>
      </c>
      <c r="D15" s="1342" t="s">
        <v>2221</v>
      </c>
      <c r="E15" s="1343">
        <v>95051</v>
      </c>
      <c r="F15" s="1343">
        <v>58381</v>
      </c>
      <c r="G15" s="1343">
        <v>153432</v>
      </c>
      <c r="H15" s="1343"/>
      <c r="I15" s="1343">
        <v>0</v>
      </c>
      <c r="J15" s="1343"/>
      <c r="K15" s="1343">
        <v>0</v>
      </c>
      <c r="L15" s="1340">
        <f t="shared" si="0"/>
        <v>153432</v>
      </c>
      <c r="M15" s="1343">
        <v>276492</v>
      </c>
    </row>
    <row r="16" spans="2:14" ht="20.100000000000001" customHeight="1" x14ac:dyDescent="0.2">
      <c r="B16" s="1337" t="s">
        <v>2222</v>
      </c>
      <c r="C16" s="1341">
        <v>84.424000000000007</v>
      </c>
      <c r="D16" s="1342" t="s">
        <v>2223</v>
      </c>
      <c r="E16" s="1343"/>
      <c r="F16" s="1343">
        <v>4762</v>
      </c>
      <c r="G16" s="1343"/>
      <c r="H16" s="1343"/>
      <c r="I16" s="1343">
        <v>8411</v>
      </c>
      <c r="J16" s="1343"/>
      <c r="K16" s="1343">
        <v>0</v>
      </c>
      <c r="L16" s="1340">
        <f t="shared" si="0"/>
        <v>8411</v>
      </c>
      <c r="M16" s="1343">
        <v>10000</v>
      </c>
    </row>
    <row r="17" spans="2:14" ht="20.100000000000001" customHeight="1" x14ac:dyDescent="0.2">
      <c r="B17" s="1337" t="s">
        <v>2224</v>
      </c>
      <c r="C17" s="1341">
        <v>10.555</v>
      </c>
      <c r="D17" s="1342">
        <v>2018</v>
      </c>
      <c r="E17" s="1343">
        <f>SUM(E13:E16)</f>
        <v>95051</v>
      </c>
      <c r="F17" s="1343">
        <f>SUM(F13:F16)</f>
        <v>267637</v>
      </c>
      <c r="G17" s="1343">
        <f>SUM(G13:G16)</f>
        <v>153432</v>
      </c>
      <c r="H17" s="1343"/>
      <c r="I17" s="1343">
        <f>SUM(I13:I16)</f>
        <v>347078</v>
      </c>
      <c r="J17" s="1343"/>
      <c r="K17" s="1343">
        <f>SUM(K13:K16)</f>
        <v>0</v>
      </c>
      <c r="L17" s="1340">
        <f t="shared" si="0"/>
        <v>500510</v>
      </c>
      <c r="M17" s="1343">
        <f>SUM(M13:M16)</f>
        <v>664387</v>
      </c>
    </row>
    <row r="18" spans="2:14" ht="20.100000000000001" customHeight="1" x14ac:dyDescent="0.2">
      <c r="B18" s="1337" t="s">
        <v>2225</v>
      </c>
      <c r="C18" s="1341"/>
      <c r="D18" s="1342"/>
      <c r="E18" s="1343"/>
      <c r="F18" s="1343"/>
      <c r="G18" s="1343"/>
      <c r="H18" s="1343"/>
      <c r="I18" s="1343"/>
      <c r="J18" s="1343"/>
      <c r="K18" s="1343"/>
      <c r="L18" s="1340">
        <f t="shared" si="0"/>
        <v>0</v>
      </c>
      <c r="M18" s="1343"/>
    </row>
    <row r="19" spans="2:14" ht="20.100000000000001" customHeight="1" x14ac:dyDescent="0.2">
      <c r="B19" s="1337" t="s">
        <v>2226</v>
      </c>
      <c r="C19" s="1341">
        <v>84.027000000000001</v>
      </c>
      <c r="D19" s="1342">
        <v>2018</v>
      </c>
      <c r="E19" s="1343"/>
      <c r="F19" s="1343">
        <v>194318</v>
      </c>
      <c r="G19" s="1343"/>
      <c r="H19" s="1343"/>
      <c r="I19" s="1343">
        <v>207658</v>
      </c>
      <c r="J19" s="1343"/>
      <c r="K19" s="1343">
        <v>0</v>
      </c>
      <c r="L19" s="1340">
        <f t="shared" si="0"/>
        <v>207658</v>
      </c>
      <c r="M19" s="1343">
        <v>207658</v>
      </c>
    </row>
    <row r="20" spans="2:14" ht="20.100000000000001" customHeight="1" x14ac:dyDescent="0.2">
      <c r="B20" s="1337" t="s">
        <v>2227</v>
      </c>
      <c r="C20" s="1341"/>
      <c r="D20" s="1342"/>
      <c r="E20" s="1343">
        <f>+SUM(E17:E19)</f>
        <v>95051</v>
      </c>
      <c r="F20" s="1343">
        <f>SUM(F17:F19)</f>
        <v>461955</v>
      </c>
      <c r="G20" s="1343">
        <f>SUM(G17:G19)</f>
        <v>153432</v>
      </c>
      <c r="H20" s="1343"/>
      <c r="I20" s="1343">
        <f>SUM(I17:I19)</f>
        <v>554736</v>
      </c>
      <c r="J20" s="1343"/>
      <c r="K20" s="1343">
        <f>SUM(K17:K19)</f>
        <v>0</v>
      </c>
      <c r="L20" s="1340">
        <f t="shared" si="0"/>
        <v>708168</v>
      </c>
      <c r="M20" s="1343">
        <f>SUM(M17:M19)</f>
        <v>872045</v>
      </c>
    </row>
    <row r="21" spans="2:14" ht="20.100000000000001" customHeight="1" x14ac:dyDescent="0.2">
      <c r="B21" s="1337" t="s">
        <v>2228</v>
      </c>
      <c r="C21" s="1341"/>
      <c r="D21" s="1342"/>
      <c r="E21" s="1343"/>
      <c r="F21" s="1343"/>
      <c r="G21" s="1343"/>
      <c r="H21" s="1343"/>
      <c r="I21" s="1343"/>
      <c r="J21" s="1343"/>
      <c r="K21" s="1343"/>
      <c r="L21" s="1340">
        <f t="shared" si="0"/>
        <v>0</v>
      </c>
      <c r="M21" s="1343"/>
    </row>
    <row r="22" spans="2:14" ht="20.100000000000001" customHeight="1" x14ac:dyDescent="0.2">
      <c r="B22" s="1337" t="s">
        <v>2229</v>
      </c>
      <c r="C22" s="1341"/>
      <c r="D22" s="1342"/>
      <c r="E22" s="1343"/>
      <c r="F22" s="1343"/>
      <c r="G22" s="1343"/>
      <c r="H22" s="1343"/>
      <c r="I22" s="1343"/>
      <c r="J22" s="1343"/>
      <c r="K22" s="1343"/>
      <c r="L22" s="1340">
        <f t="shared" si="0"/>
        <v>0</v>
      </c>
      <c r="M22" s="1343"/>
    </row>
    <row r="23" spans="2:14" ht="20.100000000000001" customHeight="1" x14ac:dyDescent="0.2">
      <c r="B23" s="1337" t="s">
        <v>2230</v>
      </c>
      <c r="C23" s="1341">
        <v>93.778000000000006</v>
      </c>
      <c r="D23" s="1342" t="s">
        <v>2231</v>
      </c>
      <c r="E23" s="1343"/>
      <c r="F23" s="1343">
        <v>25755</v>
      </c>
      <c r="G23" s="1343"/>
      <c r="H23" s="1343"/>
      <c r="I23" s="1343">
        <v>37418</v>
      </c>
      <c r="J23" s="1343"/>
      <c r="K23" s="1343">
        <v>0</v>
      </c>
      <c r="L23" s="1340">
        <f t="shared" si="0"/>
        <v>37418</v>
      </c>
      <c r="M23" s="1343" t="s">
        <v>2195</v>
      </c>
    </row>
    <row r="24" spans="2:14" ht="20.100000000000001" customHeight="1" x14ac:dyDescent="0.2">
      <c r="B24" s="1337" t="s">
        <v>2232</v>
      </c>
      <c r="C24" s="1341">
        <v>93.778000000000006</v>
      </c>
      <c r="D24" s="1342" t="s">
        <v>2233</v>
      </c>
      <c r="E24" s="1343">
        <v>48423</v>
      </c>
      <c r="F24" s="1343">
        <v>9532</v>
      </c>
      <c r="G24" s="1343">
        <v>43908</v>
      </c>
      <c r="H24" s="1343"/>
      <c r="I24" s="1343">
        <v>0</v>
      </c>
      <c r="J24" s="1343"/>
      <c r="K24" s="1343">
        <v>0</v>
      </c>
      <c r="L24" s="1340">
        <f t="shared" si="0"/>
        <v>43908</v>
      </c>
      <c r="M24" s="1343" t="s">
        <v>2195</v>
      </c>
    </row>
    <row r="25" spans="2:14" ht="20.100000000000001" customHeight="1" x14ac:dyDescent="0.2">
      <c r="B25" s="1337" t="s">
        <v>2234</v>
      </c>
      <c r="C25" s="1341"/>
      <c r="D25" s="1342"/>
      <c r="E25" s="1343">
        <f>SUM(E23:E24)</f>
        <v>48423</v>
      </c>
      <c r="F25" s="1343">
        <f>SUM(F23:F24)</f>
        <v>35287</v>
      </c>
      <c r="G25" s="1343">
        <f>SUM(G23:G24)</f>
        <v>43908</v>
      </c>
      <c r="H25" s="1343"/>
      <c r="I25" s="1343">
        <f>SUM(I23:I24)</f>
        <v>37418</v>
      </c>
      <c r="J25" s="1343"/>
      <c r="K25" s="1343">
        <f>SUM(K23:K24)</f>
        <v>0</v>
      </c>
      <c r="L25" s="1340">
        <f t="shared" si="0"/>
        <v>81326</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2235</v>
      </c>
      <c r="C27" s="1341"/>
      <c r="D27" s="1342"/>
      <c r="E27" s="1343">
        <f>+E25+E20+' SEFA'!E22</f>
        <v>389280</v>
      </c>
      <c r="F27" s="1343">
        <f>+F25+F20+' SEFA'!F22</f>
        <v>862242</v>
      </c>
      <c r="G27" s="1343">
        <f>+G25+G20+' SEFA'!G22</f>
        <v>443146</v>
      </c>
      <c r="H27" s="1343"/>
      <c r="I27" s="1343">
        <f>+I25+I20+' SEFA'!I22</f>
        <v>957154</v>
      </c>
      <c r="J27" s="1343"/>
      <c r="K27" s="1343">
        <f>+K25+K20+' SEFA'!K22</f>
        <v>0</v>
      </c>
      <c r="L27" s="1340">
        <f t="shared" si="0"/>
        <v>1400300</v>
      </c>
      <c r="M27" s="1343">
        <f>+M20</f>
        <v>872045</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3"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Coal City Community Unit School District #1</v>
      </c>
      <c r="C1" s="2469"/>
      <c r="D1" s="2469"/>
      <c r="E1" s="2469"/>
      <c r="F1" s="2469"/>
      <c r="G1" s="2469"/>
      <c r="H1" s="2469"/>
      <c r="I1" s="2469"/>
      <c r="J1" s="1422"/>
    </row>
    <row r="2" spans="2:10" s="317" customFormat="1" ht="12.75" customHeight="1" x14ac:dyDescent="0.2">
      <c r="B2" s="2470">
        <f>'Single Audit Cover'!E7</f>
        <v>24032001026</v>
      </c>
      <c r="C2" s="2471"/>
      <c r="D2" s="2471"/>
      <c r="E2" s="2471"/>
      <c r="F2" s="2471"/>
      <c r="G2" s="2471"/>
      <c r="H2" s="2471"/>
      <c r="I2" s="2471"/>
      <c r="J2" s="1422"/>
    </row>
    <row r="3" spans="2:10" s="317" customFormat="1" ht="12.75" customHeight="1" x14ac:dyDescent="0.2">
      <c r="B3" s="2472" t="s">
        <v>1347</v>
      </c>
      <c r="C3" s="2473"/>
      <c r="D3" s="2473"/>
      <c r="E3" s="2473"/>
      <c r="F3" s="2473"/>
      <c r="G3" s="2473"/>
      <c r="H3" s="2473"/>
      <c r="I3" s="2473"/>
      <c r="J3" s="1423"/>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2" t="s">
        <v>1346</v>
      </c>
      <c r="C7" s="2473"/>
      <c r="D7" s="2473"/>
      <c r="E7" s="2473"/>
      <c r="F7" s="2473"/>
      <c r="G7" s="2473"/>
      <c r="H7" s="2473"/>
      <c r="I7" s="247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4" t="s">
        <v>2236</v>
      </c>
      <c r="D11" s="247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2075</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t="s">
        <v>2075</v>
      </c>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2075</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2075</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5" t="s">
        <v>2236</v>
      </c>
      <c r="E29" s="2475"/>
      <c r="F29" s="2475"/>
      <c r="G29" s="2475"/>
      <c r="H29" s="2475"/>
      <c r="I29" s="2475"/>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2075</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76" t="s">
        <v>1852</v>
      </c>
      <c r="D37" s="2477"/>
      <c r="E37" s="2477"/>
      <c r="F37" s="2478"/>
      <c r="G37" s="2476" t="s">
        <v>1674</v>
      </c>
      <c r="H37" s="2477"/>
      <c r="I37" s="2478"/>
    </row>
    <row r="38" spans="2:9" ht="16.5" customHeight="1" x14ac:dyDescent="0.2">
      <c r="B38" s="1444" t="s">
        <v>2237</v>
      </c>
      <c r="C38" s="2464" t="s">
        <v>2238</v>
      </c>
      <c r="D38" s="2465"/>
      <c r="E38" s="2465"/>
      <c r="F38" s="2466"/>
      <c r="G38" s="2479">
        <v>365000</v>
      </c>
      <c r="H38" s="2480"/>
      <c r="I38" s="2481"/>
    </row>
    <row r="39" spans="2:9" ht="16.5" customHeight="1" x14ac:dyDescent="0.2">
      <c r="B39" s="1444">
        <v>84.027000000000001</v>
      </c>
      <c r="C39" s="2464" t="s">
        <v>2239</v>
      </c>
      <c r="D39" s="2465"/>
      <c r="E39" s="2465"/>
      <c r="F39" s="2466"/>
      <c r="G39" s="2467">
        <v>207658</v>
      </c>
      <c r="H39" s="2467"/>
      <c r="I39" s="2467"/>
    </row>
    <row r="40" spans="2:9" ht="16.5" customHeight="1" x14ac:dyDescent="0.2">
      <c r="B40" s="1444"/>
      <c r="C40" s="2464"/>
      <c r="D40" s="2465"/>
      <c r="E40" s="2465"/>
      <c r="F40" s="2466"/>
      <c r="G40" s="2467"/>
      <c r="H40" s="2467"/>
      <c r="I40" s="2467"/>
    </row>
    <row r="41" spans="2:9" ht="16.5" customHeight="1" x14ac:dyDescent="0.2">
      <c r="B41" s="1444"/>
      <c r="C41" s="2464"/>
      <c r="D41" s="2465"/>
      <c r="E41" s="2465"/>
      <c r="F41" s="2466"/>
      <c r="G41" s="2467"/>
      <c r="H41" s="2467"/>
      <c r="I41" s="2467"/>
    </row>
    <row r="42" spans="2:9" ht="16.5" customHeight="1" x14ac:dyDescent="0.2">
      <c r="B42" s="1444"/>
      <c r="C42" s="2464"/>
      <c r="D42" s="2465"/>
      <c r="E42" s="2465"/>
      <c r="F42" s="2466"/>
      <c r="G42" s="2467"/>
      <c r="H42" s="2467"/>
      <c r="I42" s="2467"/>
    </row>
    <row r="43" spans="2:9" ht="16.5" customHeight="1" x14ac:dyDescent="0.2">
      <c r="B43" s="1444"/>
      <c r="C43" s="2482" t="s">
        <v>1675</v>
      </c>
      <c r="D43" s="2483"/>
      <c r="E43" s="2483"/>
      <c r="F43" s="2484"/>
      <c r="G43" s="2485">
        <f>SUM(G38:I42)</f>
        <v>572658</v>
      </c>
      <c r="H43" s="2485"/>
      <c r="I43" s="2485"/>
    </row>
    <row r="44" spans="2:9" ht="12.75" customHeight="1" x14ac:dyDescent="0.2"/>
    <row r="45" spans="2:9" ht="12.75" customHeight="1" x14ac:dyDescent="0.2">
      <c r="B45" s="1435" t="s">
        <v>1949</v>
      </c>
      <c r="D45" s="2486">
        <f>+' SEFA (2)'!I27</f>
        <v>957154</v>
      </c>
      <c r="E45" s="2487"/>
    </row>
    <row r="46" spans="2:9" ht="5.25" customHeight="1" x14ac:dyDescent="0.2">
      <c r="B46" s="1445"/>
      <c r="D46" s="1446"/>
      <c r="E46" s="1447"/>
    </row>
    <row r="47" spans="2:9" ht="12.75" customHeight="1" x14ac:dyDescent="0.2">
      <c r="B47" s="1300" t="s">
        <v>1676</v>
      </c>
      <c r="C47" s="1300"/>
      <c r="D47" s="1448">
        <f>+G43/D45</f>
        <v>0.59829243778953023</v>
      </c>
      <c r="E47" s="1449"/>
      <c r="F47" s="1450"/>
      <c r="I47" s="1451"/>
    </row>
    <row r="48" spans="2:9" ht="9.9499999999999993" customHeight="1" x14ac:dyDescent="0.2"/>
    <row r="49" spans="1:9" x14ac:dyDescent="0.2">
      <c r="B49" s="1368" t="s">
        <v>1335</v>
      </c>
      <c r="C49" s="1282"/>
      <c r="D49" s="1282"/>
      <c r="E49" s="2488">
        <v>750000</v>
      </c>
      <c r="F49" s="2488"/>
      <c r="G49" s="2488"/>
      <c r="H49" s="322"/>
    </row>
    <row r="51" spans="1:9" ht="13.5" customHeight="1" x14ac:dyDescent="0.2">
      <c r="B51" s="1368" t="s">
        <v>1334</v>
      </c>
      <c r="C51" s="1282"/>
      <c r="E51" s="1438"/>
      <c r="F51" s="1300" t="s">
        <v>940</v>
      </c>
      <c r="G51" s="1438" t="s">
        <v>2075</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26" sqref="Q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Coal City Community Unit School District #1</v>
      </c>
      <c r="C1" s="2468"/>
      <c r="D1" s="2468"/>
      <c r="E1" s="2468"/>
      <c r="F1" s="2468"/>
      <c r="G1" s="2468"/>
      <c r="H1" s="2468"/>
      <c r="I1" s="2468"/>
      <c r="J1" s="2468"/>
      <c r="K1" s="2468"/>
      <c r="L1" s="1374"/>
      <c r="M1" s="1374"/>
    </row>
    <row r="2" spans="1:13" ht="12" customHeight="1" x14ac:dyDescent="0.2">
      <c r="B2" s="2470">
        <f>'Single Audit Cover'!E7</f>
        <v>24032001026</v>
      </c>
      <c r="C2" s="2470"/>
      <c r="D2" s="2470"/>
      <c r="E2" s="2470"/>
      <c r="F2" s="2470"/>
      <c r="G2" s="2470"/>
      <c r="H2" s="2470"/>
      <c r="I2" s="2470"/>
      <c r="J2" s="2470"/>
      <c r="K2" s="2470"/>
      <c r="L2" s="1375"/>
      <c r="M2" s="1376"/>
    </row>
    <row r="3" spans="1:13" ht="10.35" customHeight="1" x14ac:dyDescent="0.2">
      <c r="B3" s="2491" t="s">
        <v>1347</v>
      </c>
      <c r="C3" s="2491"/>
      <c r="D3" s="2491"/>
      <c r="E3" s="2491"/>
      <c r="F3" s="2491"/>
      <c r="G3" s="2491"/>
      <c r="H3" s="2491"/>
      <c r="I3" s="2491"/>
      <c r="J3" s="2491"/>
      <c r="K3" s="2491"/>
      <c r="L3" s="1377"/>
      <c r="M3" s="1377"/>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2" t="s">
        <v>1363</v>
      </c>
      <c r="C7" s="2492"/>
      <c r="D7" s="2493"/>
      <c r="E7" s="2493"/>
      <c r="F7" s="2493"/>
      <c r="G7" s="2493"/>
      <c r="H7" s="2493"/>
      <c r="I7" s="2493"/>
      <c r="J7" s="2493"/>
      <c r="K7" s="249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v>1</v>
      </c>
      <c r="E10" s="322"/>
      <c r="F10" s="1387" t="s">
        <v>1362</v>
      </c>
      <c r="G10" s="1388" t="s">
        <v>2075</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0" t="s">
        <v>2240</v>
      </c>
      <c r="C14" s="2490"/>
      <c r="D14" s="2490"/>
      <c r="E14" s="2490"/>
      <c r="F14" s="2490"/>
      <c r="G14" s="2490"/>
      <c r="H14" s="2490"/>
      <c r="I14" s="2490"/>
      <c r="J14" s="2490"/>
      <c r="K14" s="249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0" t="s">
        <v>2241</v>
      </c>
      <c r="C17" s="2490"/>
      <c r="D17" s="2490"/>
      <c r="E17" s="2490"/>
      <c r="F17" s="2490"/>
      <c r="G17" s="2490"/>
      <c r="H17" s="2490"/>
      <c r="I17" s="2490"/>
      <c r="J17" s="2490"/>
      <c r="K17" s="2490"/>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4" t="s">
        <v>2242</v>
      </c>
      <c r="C20" s="2494"/>
      <c r="D20" s="2490"/>
      <c r="E20" s="2490"/>
      <c r="F20" s="2490"/>
      <c r="G20" s="2490"/>
      <c r="H20" s="2490"/>
      <c r="I20" s="2490"/>
      <c r="J20" s="2490"/>
      <c r="K20" s="249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0" t="s">
        <v>2243</v>
      </c>
      <c r="C23" s="2490"/>
      <c r="D23" s="2490"/>
      <c r="E23" s="2490"/>
      <c r="F23" s="2490"/>
      <c r="G23" s="2490"/>
      <c r="H23" s="2490"/>
      <c r="I23" s="2490"/>
      <c r="J23" s="2490"/>
      <c r="K23" s="249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0" t="s">
        <v>2244</v>
      </c>
      <c r="C26" s="2490"/>
      <c r="D26" s="2490"/>
      <c r="E26" s="2490"/>
      <c r="F26" s="2490"/>
      <c r="G26" s="2490"/>
      <c r="H26" s="2490"/>
      <c r="I26" s="2490"/>
      <c r="J26" s="2490"/>
      <c r="K26" s="249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9" t="s">
        <v>2245</v>
      </c>
      <c r="C29" s="2489"/>
      <c r="D29" s="2490"/>
      <c r="E29" s="2490"/>
      <c r="F29" s="2490"/>
      <c r="G29" s="2490"/>
      <c r="H29" s="2490"/>
      <c r="I29" s="2490"/>
      <c r="J29" s="2490"/>
      <c r="K29" s="249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89" t="s">
        <v>2246</v>
      </c>
      <c r="C32" s="2489"/>
      <c r="D32" s="2490"/>
      <c r="E32" s="2490"/>
      <c r="F32" s="2490"/>
      <c r="G32" s="2490"/>
      <c r="H32" s="2490"/>
      <c r="I32" s="2490"/>
      <c r="J32" s="2490"/>
      <c r="K32" s="249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F13" sqref="F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Coal City Community Unit School District #1</v>
      </c>
      <c r="C1" s="2495"/>
      <c r="D1" s="2495"/>
      <c r="E1" s="2495"/>
      <c r="F1" s="2495"/>
      <c r="G1" s="2495"/>
      <c r="H1" s="2495"/>
      <c r="I1" s="2495"/>
      <c r="J1" s="2495"/>
      <c r="K1" s="2495"/>
      <c r="L1" s="1465"/>
    </row>
    <row r="2" spans="1:12" ht="12.75" customHeight="1" x14ac:dyDescent="0.2">
      <c r="B2" s="2496">
        <f>'Single Audit Cover'!E7</f>
        <v>24032001026</v>
      </c>
      <c r="C2" s="2496"/>
      <c r="D2" s="2496"/>
      <c r="E2" s="2496"/>
      <c r="F2" s="2496"/>
      <c r="G2" s="2496"/>
      <c r="H2" s="2496"/>
      <c r="I2" s="2496"/>
      <c r="J2" s="2496"/>
      <c r="K2" s="2496"/>
      <c r="L2" s="1466"/>
    </row>
    <row r="3" spans="1:12" ht="12.75" customHeight="1" x14ac:dyDescent="0.2">
      <c r="B3" s="2491" t="s">
        <v>1347</v>
      </c>
      <c r="C3" s="2491"/>
      <c r="D3" s="2491"/>
      <c r="E3" s="2491"/>
      <c r="F3" s="2491"/>
      <c r="G3" s="2491"/>
      <c r="H3" s="2491"/>
      <c r="I3" s="2491"/>
      <c r="J3" s="2491"/>
      <c r="K3" s="2491"/>
      <c r="L3" s="1377"/>
    </row>
    <row r="4" spans="1:12" ht="12.75" customHeight="1" x14ac:dyDescent="0.2">
      <c r="B4" s="2491" t="str">
        <f>'Single Audit Cover'!A4</f>
        <v>Year Ending June 30, 2018</v>
      </c>
      <c r="C4" s="2491"/>
      <c r="D4" s="2491"/>
      <c r="E4" s="2491"/>
      <c r="F4" s="2491"/>
      <c r="G4" s="2491"/>
      <c r="H4" s="2491"/>
      <c r="I4" s="2491"/>
      <c r="J4" s="2491"/>
      <c r="K4" s="2491"/>
      <c r="L4" s="1377"/>
    </row>
    <row r="5" spans="1:12" ht="5.25" customHeight="1" x14ac:dyDescent="0.2">
      <c r="B5" s="1260" t="s">
        <v>1231</v>
      </c>
      <c r="C5" s="1260"/>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t="s">
        <v>2195</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5" t="s">
        <v>2194</v>
      </c>
      <c r="G12" s="2475"/>
      <c r="H12" s="2475"/>
      <c r="I12" s="2475"/>
      <c r="J12" s="2475"/>
      <c r="K12" s="247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0"/>
      <c r="C20" s="2490"/>
      <c r="D20" s="2490"/>
      <c r="E20" s="2490"/>
      <c r="F20" s="2490"/>
      <c r="G20" s="2490"/>
      <c r="H20" s="2490"/>
      <c r="I20" s="2490"/>
      <c r="J20" s="2490"/>
      <c r="K20" s="249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8" t="str">
        <f>'Single Audit Cover'!A7</f>
        <v>Coal City Community Unit School District #1</v>
      </c>
      <c r="C1" s="2468"/>
      <c r="D1" s="2468"/>
      <c r="E1" s="1491"/>
    </row>
    <row r="2" spans="2:5" s="1282" customFormat="1" ht="12.75" customHeight="1" x14ac:dyDescent="0.2">
      <c r="B2" s="2470">
        <f>'Single Audit Cover'!E7</f>
        <v>24032001026</v>
      </c>
      <c r="C2" s="2470"/>
      <c r="D2" s="2470"/>
      <c r="E2" s="1492"/>
    </row>
    <row r="3" spans="2:5" ht="12.75" customHeight="1" x14ac:dyDescent="0.2">
      <c r="B3" s="2491" t="s">
        <v>1867</v>
      </c>
      <c r="C3" s="2491"/>
      <c r="D3" s="2491"/>
      <c r="E3" s="1274"/>
    </row>
    <row r="4" spans="2:5" s="1282" customFormat="1" ht="12.75" customHeight="1" x14ac:dyDescent="0.2">
      <c r="B4" s="2501" t="str">
        <f>'Single Audit Cover'!A4</f>
        <v>Year Ending June 30, 2018</v>
      </c>
      <c r="C4" s="2501"/>
      <c r="D4" s="2501"/>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2194</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6ce3111e-7420-4802-b50a-75d4e9a0b980"/>
    <ds:schemaRef ds:uri="4d435f69-8686-490b-bd6d-b153bf22ab50"/>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2018-10-09T17:43:39Z</cp:lastPrinted>
  <dcterms:created xsi:type="dcterms:W3CDTF">2003-10-29T19:06:34Z</dcterms:created>
  <dcterms:modified xsi:type="dcterms:W3CDTF">2018-10-10T14:59:26Z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