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79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 i="29" l="1"/>
  <c r="F5" i="29"/>
  <c r="E5" i="29"/>
  <c r="D5" i="29"/>
  <c r="C17" i="29"/>
  <c r="F182" i="29" l="1"/>
  <c r="F124" i="29"/>
  <c r="D268" i="29"/>
  <c r="D267" i="29"/>
  <c r="D266" i="29"/>
  <c r="D264" i="29"/>
  <c r="D259" i="29"/>
  <c r="D246" i="29"/>
  <c r="D241" i="29"/>
  <c r="D237" i="29"/>
  <c r="D234" i="29"/>
  <c r="D233" i="29"/>
  <c r="D215" i="29"/>
  <c r="E182" i="29"/>
  <c r="D182" i="29"/>
  <c r="H170" i="29"/>
  <c r="H169" i="29"/>
  <c r="E124" i="29"/>
  <c r="F44" i="29"/>
  <c r="E44" i="29"/>
  <c r="F10" i="29"/>
  <c r="D10" i="29"/>
  <c r="E63" i="29" l="1"/>
  <c r="D63" i="29"/>
  <c r="E61" i="29"/>
  <c r="F61" i="29"/>
  <c r="D61" i="29"/>
  <c r="D60" i="29"/>
  <c r="F55" i="29"/>
  <c r="E55" i="29"/>
  <c r="D55" i="29"/>
  <c r="F50" i="29"/>
  <c r="E50" i="29"/>
  <c r="D50" i="29"/>
  <c r="H49" i="29"/>
  <c r="F49" i="29"/>
  <c r="E49" i="29"/>
  <c r="F45" i="29"/>
  <c r="D45" i="29"/>
  <c r="D38" i="29"/>
  <c r="D37" i="29"/>
  <c r="C37" i="29"/>
  <c r="H14" i="29"/>
  <c r="F14" i="29"/>
  <c r="E14" i="29"/>
  <c r="C10" i="29"/>
  <c r="H5" i="29"/>
  <c r="D17"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K185" i="29"/>
  <c r="F14" i="4" s="1"/>
  <c r="B2597" i="106" s="1"/>
  <c r="D2597" i="106" s="1"/>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s="1"/>
  <c r="B5107" i="106"/>
  <c r="D5107" i="106"/>
  <c r="B5108" i="106"/>
  <c r="D5108" i="106" s="1"/>
  <c r="B5109" i="106"/>
  <c r="D5109" i="106"/>
  <c r="B5110" i="106"/>
  <c r="D5110" i="106" s="1"/>
  <c r="B5111" i="106"/>
  <c r="D5111" i="106" s="1"/>
  <c r="B5113" i="106"/>
  <c r="D5113" i="106" s="1"/>
  <c r="B5114" i="106"/>
  <c r="D5114" i="106"/>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s="1"/>
  <c r="B6331" i="106"/>
  <c r="D6331" i="106" s="1"/>
  <c r="B6332" i="106"/>
  <c r="D6332" i="106"/>
  <c r="B6333" i="106"/>
  <c r="D6333" i="106" s="1"/>
  <c r="B6334" i="106"/>
  <c r="D6334" i="106" s="1"/>
  <c r="B6335" i="106"/>
  <c r="D6335" i="106" s="1"/>
  <c r="B6336" i="106"/>
  <c r="D6336" i="106"/>
  <c r="B6337" i="106"/>
  <c r="D6337" i="106" s="1"/>
  <c r="B6338" i="106"/>
  <c r="D6338" i="106"/>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c r="B6349" i="106"/>
  <c r="D6349" i="106" s="1"/>
  <c r="B6350" i="106"/>
  <c r="D6350" i="106"/>
  <c r="B6353" i="106"/>
  <c r="D6353" i="106" s="1"/>
  <c r="B6354" i="106"/>
  <c r="D6354" i="106"/>
  <c r="B6355" i="106"/>
  <c r="D6355" i="106" s="1"/>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s="1"/>
  <c r="B6367" i="106"/>
  <c r="D6367" i="106"/>
  <c r="B6368" i="106"/>
  <c r="D6368" i="106" s="1"/>
  <c r="B6369" i="106"/>
  <c r="D6369" i="106"/>
  <c r="B6370" i="106"/>
  <c r="D6370" i="106" s="1"/>
  <c r="B6371" i="106"/>
  <c r="D6371" i="106" s="1"/>
  <c r="B6372" i="106"/>
  <c r="D6372" i="106" s="1"/>
  <c r="B6373" i="106"/>
  <c r="D6373" i="106"/>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c r="B6384" i="106"/>
  <c r="D6384" i="106" s="1"/>
  <c r="B6385" i="106"/>
  <c r="D6385" i="106"/>
  <c r="B6386" i="106"/>
  <c r="D6386" i="106" s="1"/>
  <c r="B6387" i="106"/>
  <c r="D6387" i="106"/>
  <c r="B6388" i="106"/>
  <c r="D6388" i="106" s="1"/>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s="1"/>
  <c r="B6402" i="106"/>
  <c r="D6402" i="106"/>
  <c r="B6403" i="106"/>
  <c r="D6403" i="106" s="1"/>
  <c r="B6404" i="106"/>
  <c r="D6404" i="106"/>
  <c r="B6405" i="106"/>
  <c r="D6405" i="106" s="1"/>
  <c r="B6406" i="106"/>
  <c r="D6406" i="106" s="1"/>
  <c r="B6407" i="106"/>
  <c r="D6407" i="106" s="1"/>
  <c r="B6408" i="106"/>
  <c r="D6408" i="106"/>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c r="B6621" i="106"/>
  <c r="D6621" i="106" s="1"/>
  <c r="B6622" i="106"/>
  <c r="D6622" i="106"/>
  <c r="B6623" i="106"/>
  <c r="D6623" i="106" s="1"/>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s="1"/>
  <c r="B6643" i="106"/>
  <c r="D6643" i="106"/>
  <c r="B6644" i="106"/>
  <c r="D6644" i="106" s="1"/>
  <c r="B6645" i="106"/>
  <c r="D6645" i="106" s="1"/>
  <c r="B6646" i="106"/>
  <c r="D6646" i="106" s="1"/>
  <c r="B6647" i="106"/>
  <c r="D6647" i="106"/>
  <c r="B6648" i="106"/>
  <c r="D6648" i="106" s="1"/>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s="1"/>
  <c r="B6659" i="106"/>
  <c r="D6659" i="106"/>
  <c r="B6660" i="106"/>
  <c r="D6660" i="106" s="1"/>
  <c r="B6661" i="106"/>
  <c r="D6661" i="106" s="1"/>
  <c r="B6662" i="106"/>
  <c r="D6662" i="106" s="1"/>
  <c r="B6663" i="106"/>
  <c r="D6663" i="106"/>
  <c r="B6664" i="106"/>
  <c r="D6664" i="106" s="1"/>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s="1"/>
  <c r="B6675" i="106"/>
  <c r="D6675" i="106"/>
  <c r="B6676" i="106"/>
  <c r="D6676" i="106" s="1"/>
  <c r="B6677" i="106"/>
  <c r="D6677" i="106" s="1"/>
  <c r="B6678" i="106"/>
  <c r="D6678" i="106" s="1"/>
  <c r="B6679" i="106"/>
  <c r="D6679" i="106"/>
  <c r="B6680" i="106"/>
  <c r="D6680" i="106" s="1"/>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s="1"/>
  <c r="B6691" i="106"/>
  <c r="D6691" i="106"/>
  <c r="B6692" i="106"/>
  <c r="D6692" i="106" s="1"/>
  <c r="B6693" i="106"/>
  <c r="D6693" i="106" s="1"/>
  <c r="B6694" i="106"/>
  <c r="D6694" i="106" s="1"/>
  <c r="B6695" i="106"/>
  <c r="D6695" i="106"/>
  <c r="B6696" i="106"/>
  <c r="D6696" i="106" s="1"/>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s="1"/>
  <c r="B6707" i="106"/>
  <c r="D6707" i="106"/>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c r="B6729" i="106"/>
  <c r="D6729" i="106" s="1"/>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s="1"/>
  <c r="B6740" i="106"/>
  <c r="D6740" i="106"/>
  <c r="B6741" i="106"/>
  <c r="D6741" i="106" s="1"/>
  <c r="B6742" i="106"/>
  <c r="D6742" i="106" s="1"/>
  <c r="B6743" i="106"/>
  <c r="D6743" i="106" s="1"/>
  <c r="B6744" i="106"/>
  <c r="D6744" i="106"/>
  <c r="B6745" i="106"/>
  <c r="D6745" i="106" s="1"/>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s="1"/>
  <c r="B6756" i="106"/>
  <c r="D6756" i="106"/>
  <c r="B6757" i="106"/>
  <c r="D6757" i="106" s="1"/>
  <c r="B6758" i="106"/>
  <c r="D6758" i="106" s="1"/>
  <c r="B6759" i="106"/>
  <c r="D6759" i="106" s="1"/>
  <c r="B6760" i="106"/>
  <c r="D6760" i="106" s="1"/>
  <c r="B6761" i="106"/>
  <c r="D6761" i="106"/>
  <c r="B6762" i="106"/>
  <c r="D6762" i="106" s="1"/>
  <c r="B6763" i="106"/>
  <c r="D6763" i="106"/>
  <c r="B6764" i="106"/>
  <c r="D6764" i="106" s="1"/>
  <c r="B6765" i="106"/>
  <c r="D6765" i="106" s="1"/>
  <c r="B6766" i="106"/>
  <c r="D6766" i="106" s="1"/>
  <c r="B6767" i="106"/>
  <c r="D6767" i="106" s="1"/>
  <c r="B6768" i="106"/>
  <c r="D6768" i="106"/>
  <c r="B6769" i="106"/>
  <c r="D6769" i="106" s="1"/>
  <c r="B6770" i="106"/>
  <c r="D6770" i="106" s="1"/>
  <c r="B6771" i="106"/>
  <c r="D6771" i="106"/>
  <c r="B6772" i="106"/>
  <c r="D6772" i="106" s="1"/>
  <c r="B6773" i="106"/>
  <c r="D6773" i="106"/>
  <c r="B6774" i="106"/>
  <c r="D6774" i="106" s="1"/>
  <c r="B6775" i="106"/>
  <c r="D6775" i="106" s="1"/>
  <c r="B6776" i="106"/>
  <c r="D6776" i="106"/>
  <c r="B6777" i="106"/>
  <c r="D6777" i="106" s="1"/>
  <c r="B6778" i="106"/>
  <c r="D6778" i="106" s="1"/>
  <c r="B6779" i="106"/>
  <c r="D6779" i="106" s="1"/>
  <c r="B6780" i="106"/>
  <c r="D6780" i="106" s="1"/>
  <c r="B6781" i="106"/>
  <c r="D6781" i="106"/>
  <c r="B6782" i="106"/>
  <c r="D6782" i="106" s="1"/>
  <c r="B6783" i="106"/>
  <c r="D6783" i="106"/>
  <c r="B6784" i="106"/>
  <c r="D6784" i="106" s="1"/>
  <c r="B6785" i="106"/>
  <c r="D6785" i="106" s="1"/>
  <c r="B6786" i="106"/>
  <c r="D6786" i="106" s="1"/>
  <c r="B6787" i="106"/>
  <c r="D6787" i="106" s="1"/>
  <c r="B6788" i="106"/>
  <c r="D6788" i="106"/>
  <c r="B6789" i="106"/>
  <c r="D6789" i="106" s="1"/>
  <c r="B6790" i="106"/>
  <c r="D6790" i="106" s="1"/>
  <c r="B6791" i="106"/>
  <c r="D6791" i="106"/>
  <c r="B6792" i="106"/>
  <c r="D6792" i="106" s="1"/>
  <c r="B6793" i="106"/>
  <c r="D6793" i="106"/>
  <c r="B6794" i="106"/>
  <c r="D6794" i="106" s="1"/>
  <c r="B6795" i="106"/>
  <c r="D6795" i="106" s="1"/>
  <c r="B6796" i="106"/>
  <c r="D6796" i="106" s="1"/>
  <c r="B6797" i="106"/>
  <c r="D6797" i="106" s="1"/>
  <c r="B6798" i="106"/>
  <c r="D6798" i="106" s="1"/>
  <c r="B6799" i="106"/>
  <c r="D6799" i="106"/>
  <c r="B6800" i="106"/>
  <c r="D6800" i="106" s="1"/>
  <c r="B6801" i="106"/>
  <c r="D6801" i="106"/>
  <c r="B6802" i="106"/>
  <c r="D6802" i="106" s="1"/>
  <c r="B6803" i="106"/>
  <c r="D6803" i="106"/>
  <c r="B6804" i="106"/>
  <c r="D6804" i="106" s="1"/>
  <c r="B6805" i="106"/>
  <c r="D6805" i="106" s="1"/>
  <c r="B6806" i="106"/>
  <c r="D6806" i="106" s="1"/>
  <c r="B6807" i="106"/>
  <c r="D6807" i="106" s="1"/>
  <c r="B6808" i="106"/>
  <c r="D6808" i="106"/>
  <c r="B6809" i="106"/>
  <c r="D6809" i="106" s="1"/>
  <c r="B6810" i="106"/>
  <c r="D6810" i="106" s="1"/>
  <c r="B6811" i="106"/>
  <c r="D6811" i="106"/>
  <c r="B6812" i="106"/>
  <c r="D6812" i="106" s="1"/>
  <c r="B6813" i="106"/>
  <c r="D6813" i="106"/>
  <c r="B6814" i="106"/>
  <c r="D6814" i="106" s="1"/>
  <c r="B6815" i="106"/>
  <c r="D6815" i="106" s="1"/>
  <c r="B6816" i="106"/>
  <c r="D6816" i="106" s="1"/>
  <c r="B6817" i="106"/>
  <c r="D6817" i="106" s="1"/>
  <c r="B6818" i="106"/>
  <c r="D6818" i="106" s="1"/>
  <c r="B6819" i="106"/>
  <c r="D6819" i="106"/>
  <c r="B6820" i="106"/>
  <c r="D6820" i="106" s="1"/>
  <c r="B6821" i="106"/>
  <c r="D6821" i="106"/>
  <c r="B6822" i="106"/>
  <c r="D6822" i="106" s="1"/>
  <c r="B6823" i="106"/>
  <c r="D6823" i="106"/>
  <c r="B6824" i="106"/>
  <c r="D6824" i="106" s="1"/>
  <c r="B6825" i="106"/>
  <c r="D6825" i="106" s="1"/>
  <c r="B6826" i="106"/>
  <c r="D6826" i="106" s="1"/>
  <c r="B6827" i="106"/>
  <c r="D6827" i="106" s="1"/>
  <c r="B6828" i="106"/>
  <c r="D6828" i="106" s="1"/>
  <c r="B6829" i="106"/>
  <c r="D6829" i="106"/>
  <c r="B6830" i="106"/>
  <c r="D6830" i="106" s="1"/>
  <c r="B6831" i="106"/>
  <c r="D6831" i="106"/>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F26"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D191" i="5"/>
  <c r="F128" i="34" s="1"/>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C14" i="4"/>
  <c r="B2558" i="106" s="1"/>
  <c r="D2558" i="106" s="1"/>
  <c r="D14" i="4"/>
  <c r="B2570" i="106" s="1"/>
  <c r="D2570" i="106" s="1"/>
  <c r="B2633" i="106"/>
  <c r="D2633" i="106" s="1"/>
  <c r="D7" i="118"/>
  <c r="D8" i="118"/>
  <c r="D9" i="118"/>
  <c r="H14" i="118"/>
  <c r="H19" i="118"/>
  <c r="H24" i="118"/>
  <c r="D22" i="37"/>
  <c r="J22" i="37"/>
  <c r="L22" i="37"/>
  <c r="D24" i="37"/>
  <c r="B4270" i="106" s="1"/>
  <c r="D4270" i="106" s="1"/>
  <c r="L5" i="11"/>
  <c r="B2056" i="106" s="1"/>
  <c r="D2056" i="106" s="1"/>
  <c r="D13" i="7"/>
  <c r="B3726" i="106" s="1"/>
  <c r="D3726" i="106" s="1"/>
  <c r="D9" i="7"/>
  <c r="B1767" i="106" s="1"/>
  <c r="D1767" i="106" s="1"/>
  <c r="B5752" i="106"/>
  <c r="D5752" i="106" s="1"/>
  <c r="H109" i="5"/>
  <c r="B6025" i="106" s="1"/>
  <c r="D6025" i="106" s="1"/>
  <c r="D17" i="7"/>
  <c r="B4104" i="106" s="1"/>
  <c r="D4104" i="106" s="1"/>
  <c r="B1996" i="106" l="1"/>
  <c r="D1996" i="106" s="1"/>
  <c r="I26" i="12"/>
  <c r="B7741" i="106" s="1"/>
  <c r="D7741" i="106" s="1"/>
  <c r="G5" i="4"/>
  <c r="B3409" i="106" s="1"/>
  <c r="D3409" i="106" s="1"/>
  <c r="F66" i="34"/>
  <c r="F35" i="34"/>
  <c r="J77" i="4"/>
  <c r="B6262" i="106" s="1"/>
  <c r="D6262" i="106" s="1"/>
  <c r="F71" i="34"/>
  <c r="G26" i="108"/>
  <c r="K26" i="12"/>
  <c r="B7743" i="106" s="1"/>
  <c r="D7743" i="106" s="1"/>
  <c r="F68" i="34"/>
  <c r="D11" i="37"/>
  <c r="D15" i="7"/>
  <c r="B1772" i="106" s="1"/>
  <c r="D1772" i="106" s="1"/>
  <c r="F106" i="34"/>
  <c r="E26" i="108"/>
  <c r="D54" i="36"/>
  <c r="E174" i="29"/>
  <c r="B1309" i="106" s="1"/>
  <c r="D1309" i="106" s="1"/>
  <c r="F37" i="108"/>
  <c r="H29" i="118"/>
  <c r="H28" i="118"/>
  <c r="K173" i="5"/>
  <c r="K6" i="4" s="1"/>
  <c r="B3570" i="106" s="1"/>
  <c r="D3570" i="106" s="1"/>
  <c r="B5096" i="106"/>
  <c r="D5096" i="106" s="1"/>
  <c r="D37" i="108"/>
  <c r="H342" i="29"/>
  <c r="B7221" i="106" s="1"/>
  <c r="D7221" i="106" s="1"/>
  <c r="B3619" i="106"/>
  <c r="D3619" i="106" s="1"/>
  <c r="F77" i="4"/>
  <c r="B3255" i="106" s="1"/>
  <c r="D3255" i="106" s="1"/>
  <c r="C172" i="5"/>
  <c r="B5214" i="106" s="1"/>
  <c r="D5214" i="106" s="1"/>
  <c r="D7" i="7"/>
  <c r="B1763" i="106" s="1"/>
  <c r="D1763" i="106" s="1"/>
  <c r="J41" i="3"/>
  <c r="D11" i="7"/>
  <c r="B1768" i="106" s="1"/>
  <c r="D1768" i="106" s="1"/>
  <c r="H173" i="5"/>
  <c r="F130" i="34"/>
  <c r="B5161" i="106"/>
  <c r="D5161" i="106" s="1"/>
  <c r="J352" i="29"/>
  <c r="J129" i="29"/>
  <c r="B7038" i="106" s="1"/>
  <c r="D7038" i="106" s="1"/>
  <c r="B3565" i="106"/>
  <c r="D3565" i="106" s="1"/>
  <c r="K41" i="3"/>
  <c r="B3568" i="106" s="1"/>
  <c r="D3568" i="106" s="1"/>
  <c r="F41" i="34"/>
  <c r="I342" i="29"/>
  <c r="B7222" i="106" s="1"/>
  <c r="D7222" i="106" s="1"/>
  <c r="B5770" i="106"/>
  <c r="D5770" i="106" s="1"/>
  <c r="L367" i="29"/>
  <c r="F131" i="34"/>
  <c r="B1746" i="106"/>
  <c r="D1746" i="106" s="1"/>
  <c r="K274" i="5"/>
  <c r="F136" i="34"/>
  <c r="F111" i="34"/>
  <c r="K28" i="118"/>
  <c r="O27" i="118" s="1"/>
  <c r="O29" i="118" s="1"/>
  <c r="I274" i="5"/>
  <c r="B4435" i="106" s="1"/>
  <c r="D4435" i="106" s="1"/>
  <c r="E109" i="5"/>
  <c r="E4" i="4" s="1"/>
  <c r="B2630" i="106" s="1"/>
  <c r="D2630" i="106" s="1"/>
  <c r="L342" i="29"/>
  <c r="F49" i="34"/>
  <c r="B3621" i="106"/>
  <c r="D3621" i="106" s="1"/>
  <c r="C367" i="29"/>
  <c r="F127" i="34"/>
  <c r="B1274" i="106"/>
  <c r="D1274" i="106" s="1"/>
  <c r="K350" i="29"/>
  <c r="B3670" i="106" s="1"/>
  <c r="D3670" i="106" s="1"/>
  <c r="L15" i="11"/>
  <c r="B3459" i="106" s="1"/>
  <c r="D3459" i="106" s="1"/>
  <c r="K285" i="29"/>
  <c r="G15" i="145"/>
  <c r="H76" i="4"/>
  <c r="B3298" i="106" s="1"/>
  <c r="D3298" i="106" s="1"/>
  <c r="F21" i="8"/>
  <c r="B3647" i="106"/>
  <c r="D3647" i="106" s="1"/>
  <c r="L13" i="11"/>
  <c r="B2060" i="106" s="1"/>
  <c r="D2060" i="106" s="1"/>
  <c r="N22" i="3"/>
  <c r="B283" i="106" s="1"/>
  <c r="D283" i="106" s="1"/>
  <c r="D69" i="36"/>
  <c r="L312" i="29"/>
  <c r="B3649" i="106"/>
  <c r="D3649" i="106" s="1"/>
  <c r="G367" i="29"/>
  <c r="B1410" i="106"/>
  <c r="D1410" i="106" s="1"/>
  <c r="G29" i="108"/>
  <c r="F65" i="34"/>
  <c r="E29" i="108"/>
  <c r="K184" i="29"/>
  <c r="F13" i="4" s="1"/>
  <c r="B2596" i="106" s="1"/>
  <c r="D2596" i="106" s="1"/>
  <c r="B1329" i="106"/>
  <c r="D1329" i="106" s="1"/>
  <c r="F61" i="34"/>
  <c r="F28" i="108"/>
  <c r="F41" i="108" s="1"/>
  <c r="G43" i="108" s="1"/>
  <c r="E28" i="108"/>
  <c r="F19" i="7"/>
  <c r="B1807" i="106" s="1"/>
  <c r="D1807" i="106" s="1"/>
  <c r="H4" i="4"/>
  <c r="B2655" i="106" s="1"/>
  <c r="D2655" i="106" s="1"/>
  <c r="D12" i="7"/>
  <c r="B1769" i="106" s="1"/>
  <c r="D1769" i="106" s="1"/>
  <c r="G4" i="4"/>
  <c r="B2603" i="106" s="1"/>
  <c r="D2603" i="106" s="1"/>
  <c r="D109" i="5"/>
  <c r="B5356" i="106" s="1"/>
  <c r="D5356" i="106" s="1"/>
  <c r="D5" i="7"/>
  <c r="B1761" i="106" s="1"/>
  <c r="D1761" i="106" s="1"/>
  <c r="C173" i="5"/>
  <c r="B5223" i="106" s="1"/>
  <c r="D5223" i="106" s="1"/>
  <c r="C109" i="5"/>
  <c r="B5121" i="106" s="1"/>
  <c r="D5121" i="106" s="1"/>
  <c r="D4" i="7"/>
  <c r="B1760" i="106" s="1"/>
  <c r="D1760" i="106" s="1"/>
  <c r="D52"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I7" i="4" l="1"/>
  <c r="B4444" i="106" s="1"/>
  <c r="D4444" i="106" s="1"/>
  <c r="H275" i="5"/>
  <c r="D274" i="5"/>
  <c r="B5527" i="106"/>
  <c r="D5527" i="106" s="1"/>
  <c r="H367" i="29"/>
  <c r="B3660" i="106" s="1"/>
  <c r="D3660" i="106" s="1"/>
  <c r="D7255" i="106"/>
  <c r="D7254" i="106"/>
  <c r="B1328" i="106"/>
  <c r="D1328" i="106" s="1"/>
  <c r="B3628" i="106"/>
  <c r="D3628" i="106" s="1"/>
  <c r="J151" i="29"/>
  <c r="B7052" i="106" s="1"/>
  <c r="D7052" i="106" s="1"/>
  <c r="D7256" i="106"/>
  <c r="D7251" i="106"/>
  <c r="F73" i="34"/>
  <c r="G15" i="4"/>
  <c r="B6032" i="106" s="1"/>
  <c r="D6032" i="106" s="1"/>
  <c r="J367" i="29"/>
  <c r="B7245" i="106" s="1"/>
  <c r="D7245" i="106" s="1"/>
  <c r="B7235" i="106"/>
  <c r="D7235" i="106" s="1"/>
  <c r="D7253" i="106"/>
  <c r="D7250" i="106"/>
  <c r="D7252" i="106"/>
  <c r="F6" i="4"/>
  <c r="B2593" i="106" s="1"/>
  <c r="D2593" i="106" s="1"/>
  <c r="B5906" i="106"/>
  <c r="D5906" i="106" s="1"/>
  <c r="H6" i="4"/>
  <c r="D44" i="36"/>
  <c r="K352" i="29"/>
  <c r="K367" i="29" s="1"/>
  <c r="B1879" i="106"/>
  <c r="D1879" i="106" s="1"/>
  <c r="H22" i="37"/>
  <c r="L16" i="11"/>
  <c r="B2061" i="106" s="1"/>
  <c r="D2061" i="106" s="1"/>
  <c r="B1381" i="106"/>
  <c r="D1381" i="106" s="1"/>
  <c r="N23" i="3"/>
  <c r="B284" i="106" s="1"/>
  <c r="D284" i="106" s="1"/>
  <c r="L114" i="29"/>
  <c r="K342" i="29"/>
  <c r="F13" i="34" s="1"/>
  <c r="B1317" i="106"/>
  <c r="D1317" i="106" s="1"/>
  <c r="C114" i="29"/>
  <c r="B757" i="106" s="1"/>
  <c r="D757" i="106" s="1"/>
  <c r="D19" i="7"/>
  <c r="B1775" i="106" s="1"/>
  <c r="D1775" i="106" s="1"/>
  <c r="F275" i="5"/>
  <c r="D4" i="4"/>
  <c r="B2564" i="106" s="1"/>
  <c r="D2564"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F8" i="4" l="1"/>
  <c r="K13" i="4"/>
  <c r="B3572" i="106" s="1"/>
  <c r="D3572" i="106" s="1"/>
  <c r="B3672" i="106"/>
  <c r="D3672" i="106" s="1"/>
  <c r="B2656" i="106"/>
  <c r="D2656" i="106" s="1"/>
  <c r="H8" i="4"/>
  <c r="J17" i="4"/>
  <c r="B7224" i="106"/>
  <c r="D7224"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<sst xmlns="http://schemas.openxmlformats.org/spreadsheetml/2006/main" count="5045" uniqueCount="2112">
  <si>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</si>
  <si>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</si>
  <si>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</si>
  <si>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</si>
  <si>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</si>
  <si>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</si>
  <si>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</si>
  <si>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</si>
  <si>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</si>
  <si>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</si>
  <si>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</si>
  <si>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</si>
  <si>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</si>
  <si>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</si>
  <si>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</si>
  <si>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</si>
  <si>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</si>
  <si>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</si>
  <si>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</si>
  <si>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</si>
  <si>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</si>
  <si>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</si>
  <si>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</si>
  <si>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</si>
  <si>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</si>
  <si>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</si>
  <si>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</si>
  <si>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</si>
  <si>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</si>
  <si>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</si>
  <si>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</si>
  <si>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</si>
  <si>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</si>
  <si>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</si>
  <si>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</si>
  <si>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</si>
  <si>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</si>
  <si>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</si>
  <si>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</si>
  <si>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</si>
  <si>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</si>
  <si>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</si>
  <si>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</si>
  <si>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</si>
  <si>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</si>
  <si>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</si>
  <si>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</si>
  <si>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</si>
  <si>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</si>
  <si>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</si>
  <si>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</si>
  <si>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</si>
  <si>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</si>
  <si>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</si>
  <si>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</si>
  <si>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</si>
  <si>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</si>
  <si>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</si>
  <si>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</si>
  <si>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</si>
  <si>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</si>
  <si>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</si>
  <si>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</si>
  <si>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</si>
  <si>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</si>
  <si>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</si>
  <si>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</si>
  <si>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</si>
  <si>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</si>
  <si>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</si>
  <si>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</si>
  <si>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</si>
  <si>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</si>
  <si>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</si>
  <si>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</si>
  <si>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</si>
  <si>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</si>
  <si>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</si>
  <si>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</si>
  <si>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</si>
  <si>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</si>
  <si>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</si>
  <si>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</si>
  <si>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</si>
  <si>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</si>
  <si>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</si>
  <si>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</si>
  <si>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</si>
  <si>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</si>
  <si>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</si>
  <si>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</si>
  <si>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</si>
  <si>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</si>
  <si>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</si>
  <si>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</si>
  <si>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</si>
  <si>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</si>
  <si>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</si>
  <si>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</si>
  <si>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</si>
  <si>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</si>
  <si>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</si>
  <si>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</si>
  <si>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</si>
  <si>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</si>
  <si>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</si>
  <si>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</si>
  <si>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</si>
  <si>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</si>
  <si>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</si>
  <si>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</si>
  <si>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</si>
  <si>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</si>
  <si>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</si>
  <si>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</si>
  <si>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</si>
  <si>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</si>
  <si>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</si>
  <si>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</si>
  <si>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</si>
  <si>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</si>
  <si>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</si>
  <si>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</si>
  <si>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</si>
  <si>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</si>
  <si>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</si>
  <si>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</si>
  <si>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</si>
  <si>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</si>
  <si>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</si>
  <si>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</si>
  <si>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</si>
  <si>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</si>
  <si>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</si>
  <si>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</si>
  <si>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</si>
  <si>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</si>
  <si>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</si>
  <si>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</si>
  <si>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</si>
  <si>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</si>
  <si>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</si>
  <si>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</si>
  <si>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</si>
  <si>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</si>
  <si>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</si>
  <si>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</si>
  <si>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</si>
  <si>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</si>
  <si>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</si>
  <si>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</si>
  <si>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</si>
  <si>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</si>
  <si>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</si>
  <si>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</si>
  <si>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</si>
  <si>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</si>
  <si>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</si>
  <si>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</si>
  <si>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</si>
  <si>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</si>
  <si>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</si>
  <si>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</si>
  <si>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</si>
  <si>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</si>
  <si>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</si>
  <si>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</si>
  <si>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</si>
  <si>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</si>
  <si>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</si>
  <si>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</si>
  <si>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</si>
  <si>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</si>
  <si>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</si>
  <si>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</si>
  <si>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</si>
  <si>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</si>
  <si>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</si>
  <si>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</si>
  <si>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</si>
  <si>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</si>
  <si>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</si>
  <si>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</si>
  <si>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</si>
  <si>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</si>
  <si>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</si>
  <si>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</si>
  <si>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</si>
  <si>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</si>
  <si>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</si>
  <si>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</si>
  <si>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</si>
  <si>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</si>
  <si>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</si>
  <si>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</si>
  <si>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</si>
  <si>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</si>
  <si>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</si>
  <si>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</si>
  <si>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</si>
  <si>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</si>
  <si>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</si>
  <si>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</si>
  <si>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</si>
  <si>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</si>
  <si>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</si>
  <si>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</si>
  <si>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</si>
  <si>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</si>
  <si>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</si>
  <si>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</si>
  <si>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</si>
  <si>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</si>
  <si>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</si>
  <si>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</si>
  <si>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</si>
  <si>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</si>
  <si>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</si>
  <si>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</si>
  <si>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</si>
  <si>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</si>
  <si>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</si>
  <si>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</si>
  <si>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</si>
  <si>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</si>
  <si>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</si>
  <si>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</si>
  <si>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</si>
  <si>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</si>
  <si>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</si>
  <si>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</si>
  <si>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</si>
  <si>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</si>
  <si>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</si>
  <si>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</si>
  <si>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</si>
  <si>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</si>
  <si>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</si>
  <si>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</si>
  <si>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</si>
  <si>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</si>
  <si>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</si>
  <si>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</si>
  <si>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</si>
  <si>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</si>
  <si>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</si>
  <si>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</si>
  <si>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</si>
  <si>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</si>
  <si>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</si>
  <si>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</si>
  <si>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</si>
  <si>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</si>
  <si>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</si>
  <si>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</si>
  <si>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</si>
  <si>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</si>
  <si>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</si>
  <si>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</si>
  <si>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</si>
  <si>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</si>
  <si>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</si>
  <si>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</si>
  <si>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</si>
  <si>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</si>
  <si>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</si>
  <si>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</si>
  <si>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</si>
  <si>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</si>
  <si>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</si>
  <si>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</si>
  <si>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</si>
  <si>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</si>
  <si>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</si>
  <si>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</si>
  <si>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</si>
  <si>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</si>
  <si>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</si>
  <si>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</si>
  <si>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</si>
  <si>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</si>
  <si>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</si>
  <si>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</si>
  <si>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</si>
  <si>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</si>
  <si>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</si>
  <si>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</si>
  <si>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</si>
  <si>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</si>
  <si>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</si>
  <si>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</si>
  <si>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</si>
  <si>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</si>
  <si>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</si>
  <si>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</si>
  <si>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</si>
  <si>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</si>
  <si>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</si>
  <si>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</si>
  <si>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</si>
  <si>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</si>
  <si>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</si>
  <si>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</si>
  <si>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</si>
  <si>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</si>
  <si>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</si>
  <si>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</si>
  <si>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</si>
  <si>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</si>
  <si>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</si>
  <si>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</si>
  <si>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</si>
  <si>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</si>
  <si>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</si>
  <si>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</si>
  <si>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</si>
  <si>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</si>
  <si>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</si>
  <si>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</si>
  <si>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</si>
  <si>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</si>
  <si>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</si>
  <si>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</si>
  <si>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</si>
  <si>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</si>
  <si>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</si>
  <si>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</si>
  <si>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</si>
  <si>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</si>
  <si>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</si>
  <si>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</si>
  <si>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</si>
  <si>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</si>
  <si>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</si>
  <si>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</si>
  <si>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</si>
  <si>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</si>
  <si>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</si>
  <si>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</si>
  <si>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</si>
  <si>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</si>
  <si>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</si>
  <si>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</si>
  <si>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</si>
  <si>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</si>
  <si>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</si>
  <si>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</si>
  <si>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</si>
  <si>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</si>
  <si>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</si>
  <si>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</si>
  <si>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</si>
  <si>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</si>
  <si>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</si>
  <si>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</si>
  <si>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</si>
  <si>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</si>
  <si>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</si>
  <si>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</si>
  <si>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</si>
  <si>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</si>
  <si>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</si>
  <si>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</si>
  <si>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</si>
  <si>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</si>
  <si>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</si>
  <si>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</si>
  <si>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</si>
  <si>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</si>
  <si>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</si>
  <si>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</si>
  <si>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</si>
  <si>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</si>
  <si>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</si>
  <si>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</si>
  <si>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</si>
  <si>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</si>
  <si>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</si>
  <si>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</si>
  <si>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</si>
  <si>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</si>
  <si>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</si>
  <si>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</si>
  <si>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</si>
  <si>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</si>
  <si>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</si>
  <si>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</si>
  <si>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</si>
  <si>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</si>
  <si>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</si>
  <si>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</si>
  <si>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</si>
  <si>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</si>
  <si>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</si>
  <si>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</si>
  <si>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</si>
  <si>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</si>
  <si>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</si>
  <si>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</si>
  <si>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</si>
  <si>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</si>
  <si>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</si>
  <si>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</si>
  <si>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</si>
  <si>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</si>
  <si>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</si>
  <si>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</si>
  <si>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</si>
  <si>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</si>
  <si>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</si>
  <si>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</si>
  <si>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</si>
  <si>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</si>
  <si>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</si>
  <si>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</si>
  <si>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</si>
  <si>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</si>
  <si>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</si>
  <si>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</si>
  <si>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</si>
  <si>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</si>
  <si>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</si>
  <si>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</si>
  <si>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</si>
  <si>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</si>
  <si>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</si>
  <si>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</si>
  <si>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</si>
  <si>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</si>
  <si>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</si>
  <si>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</si>
  <si>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</si>
  <si>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</si>
  <si>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</si>
  <si>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</si>
  <si>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</si>
  <si>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</si>
  <si>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</si>
  <si>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</si>
  <si>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</si>
  <si>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</si>
  <si>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</si>
  <si>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</si>
  <si>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</si>
  <si>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</si>
  <si>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</si>
  <si>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</si>
  <si>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</si>
  <si>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</si>
  <si>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</si>
  <si>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</si>
  <si>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</si>
  <si>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</si>
  <si>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</si>
  <si>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</si>
  <si>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</si>
  <si>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</si>
  <si>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</si>
  <si>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</si>
  <si>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</si>
  <si>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</si>
  <si>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</si>
  <si>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</si>
  <si>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</si>
  <si>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</si>
  <si>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</si>
  <si>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</si>
  <si>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</si>
  <si>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</si>
  <si>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</si>
  <si>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</si>
  <si>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</si>
  <si>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</si>
  <si>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</si>
  <si>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</si>
  <si>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</si>
  <si>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</si>
  <si>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</si>
  <si>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</si>
  <si>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</si>
  <si>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</si>
  <si>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</si>
  <si>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</si>
  <si>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</si>
  <si>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</si>
  <si>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</si>
  <si>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</si>
  <si>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</si>
  <si>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</si>
  <si>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</si>
  <si>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</si>
  <si>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</si>
  <si>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</si>
  <si>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</si>
  <si>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</si>
  <si>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</si>
  <si>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</si>
  <si>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</si>
  <si>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</si>
  <si>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</si>
  <si>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</si>
  <si>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</si>
  <si>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</si>
  <si>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</si>
  <si>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</si>
  <si>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</si>
  <si>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</si>
  <si>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</si>
  <si>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</si>
  <si>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</si>
  <si>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</si>
  <si>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</si>
  <si>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</si>
  <si>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</si>
  <si>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</si>
  <si>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</si>
  <si>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</si>
  <si>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</si>
  <si>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</si>
  <si>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</si>
  <si>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</si>
  <si>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</si>
  <si>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</si>
  <si>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</si>
  <si>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</si>
  <si>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</si>
  <si>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</si>
  <si>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</si>
  <si>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</si>
  <si>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</si>
  <si>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</si>
  <si>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</si>
  <si>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</si>
  <si>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</si>
  <si>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</si>
  <si>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</si>
  <si>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</si>
  <si>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</si>
  <si>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</si>
  <si>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</si>
  <si>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</si>
  <si>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</si>
  <si>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</si>
  <si>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</si>
  <si>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</si>
  <si>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</si>
  <si>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</si>
  <si>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</si>
  <si>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</si>
  <si>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</si>
  <si>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</si>
  <si>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</si>
  <si>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</si>
  <si>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</si>
  <si>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</si>
  <si>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</si>
  <si>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</si>
  <si>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</si>
  <si>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</si>
  <si>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</si>
  <si>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</si>
  <si>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</si>
  <si>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</si>
  <si>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</si>
  <si>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</si>
  <si>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</si>
  <si>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</si>
  <si>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</si>
  <si>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</si>
  <si>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</si>
  <si>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</si>
  <si>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</si>
  <si>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</si>
  <si>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</si>
  <si>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</si>
  <si>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</si>
  <si>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</si>
  <si>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</si>
  <si>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</si>
  <si>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</si>
  <si>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</si>
  <si>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</si>
  <si>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</si>
  <si>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</si>
  <si>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</si>
  <si>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</si>
  <si>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</si>
  <si>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</si>
  <si>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</si>
  <si>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</si>
  <si>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</si>
  <si>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</si>
  <si>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</si>
  <si>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</si>
  <si>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</si>
  <si>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</si>
  <si>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</si>
  <si>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</si>
  <si>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</si>
  <si>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</si>
  <si>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</si>
  <si>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</si>
  <si>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</si>
  <si>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</si>
  <si>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</si>
  <si>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</si>
  <si>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</si>
  <si>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</si>
  <si>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</si>
  <si>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</si>
  <si>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</si>
  <si>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</si>
  <si>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</si>
  <si>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</si>
  <si>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</si>
  <si>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</si>
  <si>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</si>
  <si>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</si>
  <si>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</si>
  <si>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</si>
  <si>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</si>
  <si>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</si>
  <si>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</si>
  <si>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</si>
  <si>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</si>
  <si>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</si>
  <si>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</si>
  <si>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</si>
  <si>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</si>
  <si>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</si>
  <si>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</si>
  <si>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</si>
  <si>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</si>
  <si>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</si>
  <si>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</si>
  <si>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</si>
  <si>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</si>
  <si>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</si>
  <si>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</si>
  <si>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</si>
  <si>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</si>
  <si>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</si>
  <si>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</si>
  <si>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</si>
  <si>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</si>
  <si>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</si>
  <si>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</si>
  <si>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</si>
  <si>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</si>
  <si>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</si>
  <si>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</si>
  <si>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</si>
  <si>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</si>
  <si>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</si>
  <si>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</si>
  <si>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</si>
  <si>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</si>
  <si>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</si>
  <si>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</si>
  <si>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</si>
  <si>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</si>
  <si>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</si>
  <si>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</si>
  <si>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</si>
  <si>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</si>
  <si>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</si>
  <si>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</si>
  <si>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</si>
  <si>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</si>
  <si>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</si>
  <si>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</si>
  <si>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</si>
  <si>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</si>
  <si>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</si>
  <si>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</si>
  <si>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</si>
  <si>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</si>
  <si>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</si>
  <si>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</si>
  <si>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</si>
  <si>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</si>
  <si>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</si>
  <si>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</si>
  <si>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</si>
  <si>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</si>
  <si>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</si>
  <si>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</si>
  <si>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</si>
  <si>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</si>
  <si>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</si>
  <si>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</si>
  <si>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</si>
  <si>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</si>
  <si>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</si>
  <si>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</si>
  <si>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</si>
  <si>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</si>
  <si>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</si>
  <si>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</si>
  <si>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</si>
  <si>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</si>
  <si>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</si>
  <si>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</si>
  <si>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</si>
  <si>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</si>
  <si>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</si>
  <si>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</si>
  <si>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</si>
  <si>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</si>
  <si>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</si>
  <si>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</si>
  <si>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</si>
  <si>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</si>
  <si>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</si>
  <si>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</si>
  <si>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</si>
  <si>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</si>
  <si>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</si>
  <si>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</si>
  <si>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</si>
  <si>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</si>
  <si>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</si>
  <si>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</si>
  <si>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</si>
  <si>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</si>
  <si>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</si>
  <si>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</si>
  <si>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</si>
  <si>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</si>
  <si>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</si>
  <si>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</si>
  <si>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</si>
  <si>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</si>
  <si>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</si>
  <si>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</si>
  <si>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</si>
  <si>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</si>
  <si>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</si>
  <si>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</si>
  <si>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</si>
  <si>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</si>
  <si>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</si>
  <si>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</si>
  <si>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</si>
  <si>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</si>
  <si>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</si>
  <si>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</si>
  <si>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</si>
  <si>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</si>
  <si>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</si>
  <si>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</si>
  <si>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</si>
  <si>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</si>
  <si>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</si>
  <si>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</si>
  <si>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</si>
  <si>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</si>
  <si>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</si>
  <si>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</si>
  <si>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</si>
  <si>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</si>
  <si>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</si>
  <si>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</si>
  <si>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</si>
  <si>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</si>
  <si>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</si>
  <si>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</si>
  <si>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</si>
  <si>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</si>
  <si>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</si>
  <si>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</si>
  <si>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</si>
  <si>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</si>
  <si>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</si>
  <si>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</si>
  <si>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</si>
  <si>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</si>
  <si>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</si>
  <si>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</si>
  <si>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</si>
  <si>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</si>
  <si>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</si>
  <si>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</si>
  <si>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</si>
  <si>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</si>
  <si>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</si>
  <si>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</si>
  <si>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</si>
  <si>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</si>
  <si>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</si>
  <si>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</si>
  <si>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</si>
  <si>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</si>
  <si>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</si>
  <si>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</si>
  <si>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</si>
  <si>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</si>
  <si>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</si>
  <si>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</si>
  <si>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</si>
  <si>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</si>
  <si>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</si>
  <si>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</si>
  <si>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</si>
  <si>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</si>
  <si>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</si>
  <si>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</si>
  <si>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</si>
  <si>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</si>
  <si>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</si>
  <si>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</si>
  <si>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</si>
  <si>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</si>
  <si>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</si>
  <si>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</si>
  <si>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</si>
  <si>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</si>
  <si>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</si>
  <si>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</si>
  <si>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</si>
  <si>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</si>
  <si>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</si>
  <si>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</si>
  <si>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</si>
  <si>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</si>
  <si>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</si>
  <si>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</si>
  <si>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</si>
  <si>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</si>
  <si>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</si>
  <si>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</si>
  <si>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</si>
  <si>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</si>
  <si>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</si>
  <si>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</si>
  <si>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</si>
  <si>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</si>
  <si>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</si>
  <si>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</si>
  <si>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</si>
  <si>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</si>
  <si>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</si>
  <si>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</si>
  <si>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</si>
  <si>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</si>
  <si>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</si>
  <si>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</si>
  <si>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</si>
  <si>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</si>
  <si>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</si>
  <si>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</si>
  <si>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</si>
  <si>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</si>
  <si>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</si>
  <si>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</si>
  <si>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</si>
  <si>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</si>
  <si>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</si>
  <si>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</si>
  <si>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</si>
  <si>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</si>
  <si>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</si>
  <si>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</si>
  <si>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</si>
  <si>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</si>
  <si>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</si>
  <si>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</si>
  <si>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</si>
  <si>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</si>
  <si>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</si>
  <si>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</si>
  <si>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</si>
  <si>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</si>
  <si>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</si>
  <si>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</si>
  <si>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</si>
  <si>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</si>
  <si>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</si>
  <si>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</si>
  <si>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</si>
  <si>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</si>
  <si>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</si>
  <si>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</si>
  <si>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</si>
  <si>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</si>
  <si>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</si>
  <si>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</si>
  <si>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</si>
  <si>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</si>
  <si>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</si>
  <si>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</si>
  <si>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</si>
  <si>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</si>
  <si>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</si>
  <si>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</si>
  <si>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</si>
  <si>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</si>
  <si>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</si>
  <si>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</si>
  <si>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</si>
  <si>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</si>
  <si>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</si>
  <si>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</si>
  <si>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</si>
  <si>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</si>
  <si>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</si>
  <si>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</si>
  <si>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</si>
  <si>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</si>
  <si>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</si>
  <si>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</si>
  <si>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</si>
  <si>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</si>
  <si>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</si>
  <si>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</si>
  <si>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</si>
  <si>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</si>
  <si>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</si>
  <si>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</si>
  <si>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</si>
  <si>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</si>
  <si>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</si>
  <si>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</si>
  <si>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</si>
  <si>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</si>
  <si>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</si>
  <si>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</si>
  <si>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</si>
  <si>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</si>
  <si>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</si>
  <si>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</si>
  <si>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</si>
  <si>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</si>
  <si>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</si>
  <si>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</si>
  <si>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</si>
  <si>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</si>
  <si>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</si>
  <si>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</si>
  <si>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</si>
  <si>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</si>
  <si>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</si>
  <si>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</si>
  <si>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</si>
  <si>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</si>
  <si>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</si>
  <si>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</si>
  <si>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</si>
  <si>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</si>
  <si>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</si>
  <si>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</si>
  <si>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</si>
  <si>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</si>
  <si>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</si>
  <si>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</si>
  <si>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</si>
  <si>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</si>
  <si>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</si>
  <si>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</si>
  <si>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</si>
  <si>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</si>
  <si>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</si>
  <si>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</si>
  <si>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</si>
  <si>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</si>
  <si>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</si>
  <si>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</si>
  <si>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</si>
  <si>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</si>
  <si>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</si>
  <si>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</si>
  <si>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</si>
  <si>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</si>
  <si>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</si>
  <si>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</si>
  <si>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</si>
  <si>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</si>
  <si>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</si>
  <si>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</si>
  <si>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</si>
  <si>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</si>
  <si>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</si>
  <si>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</si>
  <si>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</si>
  <si>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</si>
  <si>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</si>
  <si>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</si>
  <si>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</si>
  <si>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</si>
  <si>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</si>
  <si>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</si>
  <si>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</si>
  <si>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</si>
  <si>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</si>
  <si>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</si>
  <si>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</si>
  <si>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</si>
  <si>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</si>
  <si>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</si>
  <si>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</si>
  <si>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</si>
  <si>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</si>
  <si>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</si>
  <si>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</si>
  <si>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</si>
  <si>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</si>
  <si>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</si>
  <si>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</si>
  <si>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</si>
  <si>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</si>
  <si>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</si>
  <si>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</si>
  <si>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</si>
  <si>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</si>
  <si>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</si>
  <si>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</si>
  <si>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</si>
  <si>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</si>
  <si>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</si>
  <si>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</si>
  <si>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</si>
  <si>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</si>
  <si>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</si>
  <si>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</si>
  <si>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</si>
  <si>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</si>
  <si>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</si>
  <si>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</si>
  <si>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</si>
  <si>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</si>
  <si>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</si>
  <si>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</si>
  <si>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</si>
  <si>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</si>
  <si>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</si>
  <si>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</si>
  <si>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</si>
  <si>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</si>
  <si>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</si>
  <si>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</si>
  <si>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</si>
  <si>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</si>
  <si>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</si>
  <si>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</si>
  <si>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</si>
  <si>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</si>
  <si>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</si>
  <si>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</si>
  <si>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</si>
  <si>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</si>
  <si>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</si>
  <si>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</si>
  <si>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</si>
  <si>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</si>
  <si>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</si>
  <si>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</si>
  <si>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</si>
  <si>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</si>
  <si>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</si>
  <si>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</si>
  <si>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</si>
  <si>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</si>
  <si>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</si>
  <si>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</si>
  <si>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</si>
  <si>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</si>
  <si>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</si>
  <si>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</si>
  <si>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</si>
  <si>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</si>
  <si>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</si>
  <si>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</si>
  <si>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</si>
  <si>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</si>
  <si>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</si>
  <si>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</si>
  <si>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</si>
  <si>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</si>
  <si>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</si>
  <si>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</si>
  <si>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</si>
  <si>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</si>
  <si>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</si>
  <si>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</si>
  <si>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</si>
  <si>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</si>
  <si>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</si>
  <si>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</si>
  <si>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</si>
  <si>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</si>
  <si>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</si>
  <si>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</si>
  <si>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</si>
  <si>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</si>
  <si>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</si>
  <si>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</si>
  <si>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</si>
  <si>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</si>
  <si>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</si>
  <si>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</si>
  <si>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</si>
  <si>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</si>
  <si>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</si>
  <si>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</si>
  <si>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</si>
  <si>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</si>
  <si>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</si>
  <si>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</si>
  <si>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</si>
  <si>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</si>
  <si>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</si>
  <si>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</si>
  <si>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</si>
  <si>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</si>
  <si>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</si>
  <si>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</si>
  <si>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</si>
  <si>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</si>
  <si>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</si>
  <si>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</si>
  <si>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</si>
  <si>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</si>
  <si>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</si>
  <si>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</si>
  <si>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</si>
  <si>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</si>
  <si>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</si>
  <si>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</si>
  <si>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</si>
  <si>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</si>
  <si>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</si>
  <si>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</si>
  <si>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</si>
  <si>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</si>
  <si>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</si>
  <si>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</si>
  <si>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</si>
  <si>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</si>
  <si>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</si>
  <si>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</si>
  <si>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</si>
  <si>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</si>
  <si>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</si>
  <si>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</si>
  <si>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</si>
  <si>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</si>
  <si>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</si>
  <si>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</si>
  <si>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</si>
  <si>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</si>
  <si>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</si>
  <si>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</si>
  <si>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</si>
  <si>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</si>
  <si>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</si>
  <si>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</si>
  <si>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</si>
  <si>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</si>
  <si>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</si>
  <si>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</si>
  <si>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</si>
  <si>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</si>
  <si>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</si>
  <si>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</si>
  <si>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</si>
  <si>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</si>
  <si>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</si>
  <si>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</si>
  <si>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</si>
  <si>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</si>
  <si>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</si>
  <si>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</si>
  <si>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</si>
  <si>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</si>
  <si>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</si>
  <si>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</si>
  <si>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</si>
  <si>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</si>
  <si>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</si>
  <si>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</si>
  <si>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</si>
  <si>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</si>
  <si>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</si>
  <si>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</si>
  <si>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</si>
  <si>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</si>
  <si>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</si>
  <si>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</si>
  <si>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</si>
  <si>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</si>
  <si>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</si>
  <si>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</si>
  <si>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</si>
  <si>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</si>
  <si>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</si>
  <si>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</si>
  <si>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</si>
  <si>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</si>
  <si>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</si>
  <si>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</si>
  <si>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</si>
  <si>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</si>
  <si>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</si>
  <si>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</si>
  <si>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</si>
  <si>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</si>
  <si>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</si>
  <si>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</si>
  <si>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</si>
  <si>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</si>
  <si>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</si>
  <si>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</si>
  <si>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</si>
  <si>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</si>
  <si>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</si>
  <si>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</si>
  <si>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</si>
  <si>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</si>
  <si>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</si>
  <si>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</si>
  <si>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</si>
  <si>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</si>
  <si>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</si>
  <si>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</si>
  <si>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</si>
  <si>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</si>
  <si>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</si>
  <si>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</si>
  <si>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</si>
  <si>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</si>
  <si>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</si>
  <si>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</si>
  <si>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</si>
  <si>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</si>
  <si>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</si>
  <si>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</si>
  <si>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</si>
  <si>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</si>
  <si>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</si>
  <si>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</si>
  <si>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</si>
  <si>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</si>
  <si>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</si>
  <si>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</si>
  <si>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</si>
  <si>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</si>
  <si>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</si>
  <si>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</si>
  <si>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</si>
  <si>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</si>
  <si>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</si>
  <si>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</si>
  <si>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</si>
  <si>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</si>
  <si>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</si>
  <si>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</si>
  <si>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</si>
  <si>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</si>
  <si>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</si>
  <si>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</si>
  <si>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</si>
  <si>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</si>
  <si>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</si>
  <si>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</si>
  <si>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</si>
  <si>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</si>
  <si>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</si>
  <si>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</si>
  <si>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</si>
  <si>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</si>
  <si>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</si>
  <si>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</si>
  <si>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</si>
  <si>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</si>
  <si>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</si>
  <si>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</si>
  <si>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</si>
  <si>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</si>
  <si>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</si>
  <si>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</si>
  <si>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</si>
  <si>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</si>
  <si>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</si>
  <si>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</si>
  <si>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</si>
  <si>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</si>
  <si>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</si>
  <si>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</si>
  <si>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</si>
  <si>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</si>
  <si>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</si>
  <si>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</si>
  <si>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</si>
  <si>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</si>
  <si>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</si>
  <si>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</si>
  <si>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</si>
  <si>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</si>
  <si>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</si>
  <si>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</si>
  <si>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</si>
  <si>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</si>
  <si>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</si>
  <si>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</si>
  <si>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</si>
  <si>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</si>
  <si>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</si>
  <si>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</si>
  <si>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</si>
  <si>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</si>
  <si>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</si>
  <si>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</si>
  <si>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</si>
  <si>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</si>
  <si>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</si>
  <si>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</si>
  <si>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</si>
  <si>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</si>
  <si>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</si>
  <si>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</si>
  <si>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</si>
  <si>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</si>
  <si>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</si>
  <si>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</si>
  <si>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</si>
  <si>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</si>
  <si>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</si>
  <si>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</si>
  <si>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</si>
  <si>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</si>
  <si>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</si>
  <si>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</si>
  <si>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</si>
  <si>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</si>
  <si>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</si>
  <si>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</si>
  <si>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</si>
  <si>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</si>
  <si>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</si>
  <si>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</si>
  <si>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</si>
  <si>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</si>
  <si>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</si>
  <si>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</si>
  <si>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</si>
  <si>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</si>
  <si>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</si>
  <si>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</si>
  <si>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</si>
  <si>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</si>
  <si>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</si>
  <si>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</si>
  <si>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</si>
  <si>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</si>
  <si>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</si>
  <si>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</si>
  <si>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</si>
  <si>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</si>
  <si>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</si>
  <si>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</si>
  <si>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</si>
  <si>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</si>
  <si>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</si>
  <si>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</si>
  <si>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</si>
  <si>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</si>
  <si>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</si>
  <si>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</si>
  <si>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</si>
  <si>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</si>
  <si>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</si>
  <si>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</si>
  <si>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</si>
  <si>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</si>
  <si>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</si>
  <si>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</si>
  <si>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</si>
  <si>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</si>
  <si>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</si>
  <si>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</si>
  <si>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</si>
  <si>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</si>
  <si>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</si>
  <si>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</si>
  <si>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</si>
  <si>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</si>
  <si>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</si>
  <si>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</si>
  <si>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</si>
  <si>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</si>
  <si>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</si>
  <si>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</si>
  <si>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</si>
  <si>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</si>
  <si>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</si>
  <si>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</si>
  <si>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</si>
  <si>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</si>
  <si>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</si>
  <si>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</si>
  <si>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</si>
  <si>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</si>
  <si>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</si>
  <si>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</si>
  <si>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</si>
  <si>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</si>
  <si>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</si>
  <si>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</si>
  <si>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</si>
  <si>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</si>
  <si>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</si>
  <si>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</si>
  <si>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</si>
  <si>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</si>
  <si>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</si>
  <si>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</si>
  <si>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</si>
  <si>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</si>
  <si>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</si>
  <si>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</si>
  <si>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</si>
  <si>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</si>
  <si>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</si>
  <si>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</si>
  <si>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</si>
  <si>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</si>
  <si>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</si>
  <si>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</si>
  <si>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</si>
  <si>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</si>
  <si>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</si>
  <si>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</si>
  <si>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</si>
  <si>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</si>
  <si>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</si>
  <si>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</si>
  <si>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</si>
  <si>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</si>
  <si>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</si>
  <si>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</si>
  <si>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</si>
  <si>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</si>
  <si>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</si>
  <si>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</si>
  <si>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</si>
  <si>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</si>
  <si>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</si>
  <si>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</si>
  <si>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</si>
  <si>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</si>
  <si>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</si>
  <si>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</si>
  <si>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</si>
  <si>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</si>
  <si>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</si>
  <si>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</si>
  <si>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</si>
  <si>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</si>
  <si>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</si>
  <si>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</si>
  <si>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</si>
  <si>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</si>
  <si>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</si>
  <si>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</si>
  <si>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</si>
  <si>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</si>
  <si>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</si>
  <si>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</si>
  <si>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</si>
  <si>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</si>
  <si>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</si>
  <si>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</si>
  <si>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</si>
  <si>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</si>
  <si>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</si>
  <si>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</si>
  <si>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</si>
  <si>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</si>
  <si>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</si>
  <si>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</si>
  <si>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</si>
  <si>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</si>
  <si>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</si>
  <si>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</si>
  <si>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</si>
  <si>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</si>
  <si>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</si>
  <si>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</si>
  <si>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</si>
  <si>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</si>
  <si>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</si>
  <si>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</si>
  <si>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</si>
  <si>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</si>
  <si>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</si>
  <si>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</si>
  <si>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</si>
  <si>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</si>
  <si>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</si>
  <si>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</si>
  <si>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</si>
  <si>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</si>
  <si>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</si>
  <si>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</si>
  <si>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</si>
  <si>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</si>
  <si>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</si>
  <si>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</si>
  <si>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</si>
  <si>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</si>
  <si>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</si>
  <si>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</si>
  <si>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</si>
  <si>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</si>
  <si>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</si>
  <si>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</si>
  <si>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</si>
  <si>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</si>
  <si>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</si>
  <si>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</si>
  <si>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</si>
  <si>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</si>
  <si>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</si>
  <si>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</si>
  <si>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</si>
  <si>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</si>
  <si>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</si>
  <si>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</si>
  <si>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</si>
  <si>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</si>
  <si>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</si>
  <si>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</si>
  <si>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</si>
  <si>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</si>
  <si>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</si>
  <si>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</si>
  <si>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</si>
  <si>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</si>
  <si>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</si>
  <si>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</si>
  <si>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</si>
  <si>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</si>
  <si>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</si>
  <si>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</si>
  <si>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</si>
  <si>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</si>
  <si>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</si>
  <si>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</si>
  <si>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</si>
  <si>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</si>
  <si>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</si>
  <si>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</si>
  <si>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</si>
  <si>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</si>
  <si>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</si>
  <si>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</si>
  <si>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</si>
  <si>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</si>
  <si>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</si>
  <si>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</si>
  <si>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</si>
  <si>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</si>
  <si>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</si>
  <si>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</si>
  <si>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</si>
  <si>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</si>
  <si>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</si>
  <si>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</si>
  <si>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</si>
  <si>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</si>
  <si>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</si>
  <si>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</si>
  <si>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</si>
  <si>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</si>
  <si>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</si>
  <si>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</si>
  <si>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</si>
  <si>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</si>
  <si>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</si>
  <si>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</si>
  <si>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</si>
  <si>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</si>
  <si>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</si>
  <si>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</si>
  <si>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</si>
  <si>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</si>
  <si>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</si>
  <si>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</si>
  <si>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</si>
  <si>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</si>
  <si>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</si>
  <si>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</si>
  <si>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</si>
  <si>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</si>
  <si>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</si>
  <si>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</si>
  <si>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</si>
  <si>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</si>
  <si>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</si>
  <si>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</si>
  <si>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</si>
  <si>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</si>
  <si>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</si>
  <si>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</si>
  <si>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</si>
  <si>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</si>
  <si>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</si>
  <si>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</si>
  <si>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</si>
  <si>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</si>
  <si>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</si>
  <si>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</si>
  <si>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</si>
  <si>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</si>
  <si>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</si>
  <si>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</si>
  <si>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</si>
  <si>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</si>
  <si>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</si>
  <si>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</si>
  <si>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</si>
  <si>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</si>
  <si>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</si>
  <si>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</si>
  <si>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</si>
  <si>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</si>
  <si>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</si>
  <si>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</si>
  <si>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</si>
  <si>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</si>
  <si>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</si>
  <si>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</si>
  <si>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</si>
  <si>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</si>
  <si>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</si>
  <si>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</si>
  <si>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</si>
  <si>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</si>
  <si>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</si>
  <si>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</si>
  <si>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</si>
  <si>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</si>
  <si>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</si>
  <si>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</si>
  <si>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</si>
  <si>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</si>
  <si>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</si>
  <si>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</si>
  <si>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</si>
  <si>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</si>
  <si>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</si>
  <si>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</si>
  <si>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</si>
  <si>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</si>
  <si>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</si>
  <si>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</si>
  <si>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</si>
  <si>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</si>
  <si>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</si>
  <si>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</si>
  <si>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</si>
  <si>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</si>
  <si>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</si>
  <si>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</si>
  <si>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</si>
  <si>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</si>
  <si>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</si>
  <si>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</si>
  <si>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</si>
  <si>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</si>
  <si>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</si>
  <si>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</si>
  <si>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</si>
  <si>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</si>
  <si>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</si>
  <si>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</si>
  <si>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</si>
  <si>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</si>
  <si>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</si>
  <si>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</si>
  <si>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</si>
  <si>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</si>
  <si>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</si>
  <si>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</si>
  <si>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</si>
  <si>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</si>
  <si>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</si>
  <si>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</si>
  <si>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</si>
  <si>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</si>
  <si>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</si>
  <si>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</si>
  <si>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</si>
  <si>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</si>
  <si>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</si>
  <si>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</si>
  <si>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</si>
  <si>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</si>
  <si>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</si>
  <si>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</si>
  <si>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</si>
  <si>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</si>
  <si>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</si>
  <si>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</si>
  <si>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</si>
  <si>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</si>
  <si>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</si>
  <si>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</si>
  <si>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</si>
  <si>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</si>
  <si>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</si>
  <si>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</si>
  <si>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</si>
  <si>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</si>
  <si>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</si>
  <si>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</si>
  <si>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</si>
  <si>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</si>
  <si>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</si>
  <si>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</si>
  <si>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</si>
  <si>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</si>
  <si>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</si>
  <si>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</si>
  <si>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</si>
  <si>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</si>
  <si>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</si>
  <si>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</si>
  <si>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</si>
  <si>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</si>
  <si>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</si>
  <si>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</si>
  <si>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</si>
  <si>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</si>
  <si>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</si>
  <si>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</si>
  <si>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</si>
  <si>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</si>
  <si>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</si>
  <si>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</si>
  <si>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</si>
  <si>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</si>
  <si>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</si>
  <si>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</si>
  <si>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</si>
  <si>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</si>
  <si>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</si>
  <si>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</si>
  <si>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</si>
  <si>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</si>
  <si>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</si>
  <si>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</si>
  <si>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</si>
  <si>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</si>
  <si>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</si>
  <si>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</si>
  <si>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</si>
  <si>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</si>
  <si>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</si>
  <si>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</si>
  <si>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</si>
  <si>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</si>
  <si>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</si>
  <si>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</si>
  <si>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</si>
  <si>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</si>
  <si>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</si>
  <si>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</si>
  <si>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</si>
  <si>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</si>
  <si>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</si>
  <si>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</si>
  <si>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</si>
  <si>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</si>
  <si>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</si>
  <si>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</si>
  <si>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</si>
  <si>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</si>
  <si>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</si>
  <si>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</si>
  <si>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</si>
  <si>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</si>
  <si>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</si>
  <si>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</si>
  <si>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</si>
  <si>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</si>
  <si>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</si>
  <si>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</si>
  <si>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</si>
  <si>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</si>
  <si>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</si>
  <si>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</si>
  <si>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</si>
  <si>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</si>
  <si>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</si>
  <si>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</si>
  <si>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</si>
  <si>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</si>
  <si>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</si>
  <si>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</si>
  <si>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</si>
  <si>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</si>
  <si>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</si>
  <si>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</si>
  <si>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</si>
  <si>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</si>
  <si>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</si>
  <si>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</si>
  <si>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</si>
  <si>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</si>
  <si>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</si>
  <si>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</si>
  <si>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</si>
  <si>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</si>
  <si>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</si>
  <si>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</si>
  <si>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</si>
  <si>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</si>
  <si>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</si>
  <si>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</si>
  <si>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</si>
  <si>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</si>
  <si>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</si>
  <si>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</si>
  <si>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</si>
  <si>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</si>
  <si>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</si>
  <si>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</si>
  <si>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</si>
  <si>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</si>
  <si>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</si>
  <si>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</si>
  <si>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</si>
  <si>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</si>
  <si>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</si>
  <si>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</si>
  <si>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</si>
  <si>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</si>
  <si>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</si>
  <si>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</si>
  <si>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</si>
  <si>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</si>
  <si>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</si>
  <si>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</si>
  <si>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</si>
  <si>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</si>
  <si>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</si>
  <si>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</si>
  <si>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</si>
  <si>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</si>
  <si>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</si>
  <si>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</si>
  <si>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</si>
  <si>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</si>
  <si>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</si>
  <si>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</si>
  <si>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</si>
  <si>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</si>
  <si>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</si>
  <si>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</si>
  <si>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</si>
  <si>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</si>
  <si>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</si>
  <si>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</si>
  <si>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</si>
  <si>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</si>
  <si>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</si>
  <si>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</si>
  <si>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</si>
  <si>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</si>
  <si>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</si>
  <si>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</si>
  <si>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</si>
  <si>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</si>
  <si>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</si>
  <si>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</si>
  <si>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</si>
  <si>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</si>
  <si>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</si>
  <si>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</si>
  <si>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</si>
  <si>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</si>
  <si>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</si>
  <si>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</si>
  <si>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</si>
  <si>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</si>
  <si>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</si>
  <si>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</si>
  <si>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</si>
  <si>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</si>
  <si>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</si>
  <si>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</si>
  <si>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</si>
  <si>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</si>
  <si>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</si>
  <si>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</si>
  <si>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</si>
  <si>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</si>
  <si>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</si>
  <si>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</si>
  <si>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</si>
  <si>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</si>
  <si>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</si>
  <si>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</si>
  <si>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</si>
  <si>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</si>
  <si>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</si>
  <si>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</si>
  <si>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</si>
  <si>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</si>
  <si>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</si>
  <si>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</si>
  <si>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</si>
  <si>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</si>
  <si>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</si>
  <si>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</si>
  <si>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</si>
  <si>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</si>
  <si>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</si>
  <si>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</si>
  <si>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</si>
  <si>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</si>
  <si>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</si>
  <si>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</si>
  <si>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</si>
  <si>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</si>
  <si>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</si>
  <si>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</si>
  <si>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</si>
  <si>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</si>
  <si>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</si>
  <si>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</si>
  <si>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</si>
  <si>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</si>
  <si>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</si>
  <si>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</si>
  <si>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</si>
  <si>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</si>
  <si>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</si>
  <si>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</si>
  <si>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</si>
  <si>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</si>
  <si>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</si>
  <si>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</si>
  <si>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</si>
  <si>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</si>
  <si>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</si>
  <si>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</si>
  <si>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</si>
  <si>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</si>
  <si>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</si>
  <si>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</si>
  <si>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</si>
  <si>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</si>
  <si>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</si>
  <si>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</si>
  <si>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</si>
  <si>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</si>
  <si>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</si>
  <si>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</si>
  <si>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</si>
  <si>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</si>
  <si>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</si>
  <si>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</si>
  <si>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</si>
  <si>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</si>
  <si>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</si>
  <si>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</si>
  <si>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</si>
  <si>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</si>
  <si>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</si>
  <si>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</si>
  <si>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</si>
  <si>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</si>
  <si>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</si>
  <si>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</si>
  <si>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</si>
  <si>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</si>
  <si>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</si>
  <si>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</si>
  <si>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</si>
  <si>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</si>
  <si>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</si>
  <si>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</si>
  <si>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</si>
  <si>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</si>
  <si>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</si>
  <si>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</si>
  <si>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</si>
  <si>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</si>
  <si>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</si>
  <si>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</si>
  <si>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</si>
  <si>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</si>
  <si>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</si>
  <si>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</si>
  <si>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</si>
  <si>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</si>
  <si>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</si>
  <si>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</si>
  <si>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</si>
  <si>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</si>
  <si>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</si>
  <si>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</si>
  <si>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</si>
  <si>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</si>
  <si>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</si>
  <si>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</si>
  <si>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</si>
  <si>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</si>
  <si>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</si>
  <si>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</si>
  <si>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</si>
  <si>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</si>
  <si>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</si>
  <si>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</si>
  <si>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</si>
  <si>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</si>
  <si>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</si>
  <si>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</si>
  <si>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</si>
  <si>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</si>
  <si>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</si>
  <si>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</si>
  <si>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</si>
  <si>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</si>
  <si>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</si>
  <si>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</si>
  <si>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</si>
  <si>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</si>
  <si>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</si>
  <si>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</si>
  <si>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</si>
  <si>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</si>
  <si>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</si>
  <si>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</si>
  <si>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</si>
  <si>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</si>
  <si>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</si>
  <si>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</si>
  <si>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</si>
  <si>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</si>
  <si>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</si>
  <si>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</si>
  <si>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</si>
  <si>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</si>
  <si>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</si>
  <si>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</si>
  <si>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</si>
  <si>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</si>
  <si>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</si>
  <si>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</si>
  <si>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</si>
  <si>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</si>
  <si>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</si>
  <si>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</si>
  <si>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</si>
  <si>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</si>
  <si>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</si>
  <si>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</si>
  <si>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</si>
  <si>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</si>
  <si>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</si>
  <si>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</si>
  <si>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</si>
  <si>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</si>
  <si>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</si>
  <si>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</si>
  <si>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</si>
  <si>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</si>
  <si>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</si>
  <si>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</si>
  <si>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</si>
  <si>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</si>
  <si>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</si>
  <si>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</si>
  <si>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</si>
  <si>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</si>
  <si>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Cindy A. Bobell, CPA</t>
  </si>
  <si>
    <t>Williamson County</t>
  </si>
  <si>
    <t>10653 Khoury League Road</t>
  </si>
  <si>
    <t>18189 Cory Bailey Street</t>
  </si>
  <si>
    <t>Marion</t>
  </si>
  <si>
    <t>IL</t>
  </si>
  <si>
    <t>618-997-9711</t>
  </si>
  <si>
    <t>618-997-8014</t>
  </si>
  <si>
    <t>dhutchins@cusd3.wilmsn.k12.il.us</t>
  </si>
  <si>
    <t>cabcpa@frontier.com</t>
  </si>
  <si>
    <t>Derek Hutchins</t>
  </si>
  <si>
    <t>618-982-2181</t>
  </si>
  <si>
    <t>618-982-2050</t>
  </si>
  <si>
    <t>Pg 10 - Line 81 - Latchkey Receipts - $10,295</t>
  </si>
  <si>
    <t>Pg 10 - Line 87 - Computer Rental - $12,917</t>
  </si>
  <si>
    <t>Pg 11 - Line 107 - E-Rate - $19,997 - IPRF Grant - $1,789 - Other - $504</t>
  </si>
  <si>
    <t>Pg 12 - Line 171 - Library Grant - $1,500</t>
  </si>
  <si>
    <t>Pg 14 - Line 272 - REAP Funds - $32,921</t>
  </si>
  <si>
    <t>Qualified Zone Academy Bonds</t>
  </si>
  <si>
    <t>Working Cash Bonds</t>
  </si>
  <si>
    <t>Gen Oblig Bnds (Alt Revenue Source) Series 2015</t>
  </si>
  <si>
    <t>ISBE School Tech Rev Loan</t>
  </si>
  <si>
    <t>Williamson County Special Education Services</t>
  </si>
  <si>
    <t>Williamson County Early Childhood Development</t>
  </si>
  <si>
    <t>X</t>
  </si>
  <si>
    <t>Actual expenditures should not exceed budgeted expenditures.</t>
  </si>
  <si>
    <t>The District expenditures exceeded budgeted expenditures in several funds.</t>
  </si>
  <si>
    <t>Budget to actual comparisons should be made periodically during the year and transfers and amendments should be made as necessary.  Expenditures should be consistently budgeted and paid out of the proper line item.</t>
  </si>
  <si>
    <t>The District will review the budget to actual comparisons and the expenditure classifications and make adjustments as needed.</t>
  </si>
  <si>
    <t xml:space="preserve">ISBE Revolving Loan </t>
  </si>
  <si>
    <t>2017-001</t>
  </si>
  <si>
    <t>Actual expenditures exceeded budgeted expenditures</t>
  </si>
  <si>
    <t>See 2018-001</t>
  </si>
  <si>
    <t>Crab Orchard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</si>
</sst>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162" xfId="3" applyFont="1" applyBorder="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1752600</xdr:colOff>
          <xdr:row>3</xdr:row>
          <xdr:rowOff>152400</xdr:rowOff>
        </xdr:from>
        <xdr:to>
          <xdr:col>1</xdr:col>
          <xdr:colOff>2657475</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2D84861-0F53-484F-A37E-4EDFC83A63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21100003026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2078</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2111</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2081</v>
      </c>
      <c r="B19" s="2003"/>
      <c r="C19" s="2003"/>
      <c r="D19" s="2003"/>
      <c r="E19" s="2003"/>
      <c r="F19" s="2003"/>
      <c r="G19" s="2003"/>
      <c r="H19" s="2001"/>
      <c r="I19" s="30"/>
      <c r="J19" s="99"/>
      <c r="K19" s="40"/>
      <c r="L19" s="38"/>
      <c r="M19" s="112" t="s">
        <v>333</v>
      </c>
      <c r="P19" s="27"/>
      <c r="Q19" s="27"/>
      <c r="R19" s="27"/>
      <c r="S19" s="31"/>
      <c r="T19" s="2002" t="s">
        <v>2082</v>
      </c>
      <c r="U19" s="2000"/>
      <c r="V19" s="2000"/>
      <c r="W19" s="2001"/>
      <c r="X19" s="2017" t="s">
        <v>2083</v>
      </c>
      <c r="Y19" s="2018"/>
      <c r="Z19" s="2015">
        <v>62959</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2082</v>
      </c>
      <c r="B21" s="2000"/>
      <c r="C21" s="2000"/>
      <c r="D21" s="2000"/>
      <c r="E21" s="2000"/>
      <c r="F21" s="2000"/>
      <c r="G21" s="2000"/>
      <c r="H21" s="2001"/>
      <c r="I21" s="2025" t="s">
        <v>699</v>
      </c>
      <c r="J21" s="1988"/>
      <c r="K21" s="1988"/>
      <c r="L21" s="1988"/>
      <c r="M21" s="1988"/>
      <c r="N21" s="1988"/>
      <c r="O21" s="1988"/>
      <c r="P21" s="1988"/>
      <c r="Q21" s="1988"/>
      <c r="R21" s="1988"/>
      <c r="S21" s="1989"/>
      <c r="T21" s="1967" t="s">
        <v>2084</v>
      </c>
      <c r="U21" s="1968"/>
      <c r="V21" s="1968"/>
      <c r="W21" s="1968"/>
      <c r="X21" s="1981" t="s">
        <v>2085</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2086</v>
      </c>
      <c r="B23" s="2023"/>
      <c r="C23" s="2023"/>
      <c r="D23" s="2023"/>
      <c r="E23" s="2023"/>
      <c r="F23" s="2023"/>
      <c r="G23" s="2023"/>
      <c r="H23" s="2024"/>
      <c r="T23" s="1962">
        <v>65.022628999999995</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62959</v>
      </c>
      <c r="B25" s="2000"/>
      <c r="C25" s="2000"/>
      <c r="D25" s="2000"/>
      <c r="E25" s="2000"/>
      <c r="F25" s="2000"/>
      <c r="G25" s="2000"/>
      <c r="H25" s="2001"/>
      <c r="I25" s="113"/>
      <c r="J25" s="2066"/>
      <c r="K25" s="2066"/>
      <c r="L25" s="2066"/>
      <c r="M25" s="2066"/>
      <c r="N25" s="2066"/>
      <c r="O25" s="2066"/>
      <c r="P25" s="2066"/>
      <c r="Q25" s="2066"/>
      <c r="R25" s="2066"/>
      <c r="S25" s="2067"/>
      <c r="T25" s="1959" t="s">
        <v>2087</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2102</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2102</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2088</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2089</v>
      </c>
      <c r="B42" s="2049"/>
      <c r="C42" s="2050"/>
      <c r="D42" s="2063" t="s">
        <v>2090</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&amp;RB-i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836531</v>
      </c>
      <c r="C4" s="1546"/>
      <c r="D4" s="1774">
        <f>B4-C4</f>
        <v>836531</v>
      </c>
      <c r="E4" s="1546"/>
      <c r="F4" s="1774">
        <f>E4-C4</f>
        <v>0</v>
      </c>
    </row>
    <row r="5" spans="1:6" ht="13.7" customHeight="1" x14ac:dyDescent="0.2">
      <c r="A5" s="716" t="s">
        <v>925</v>
      </c>
      <c r="B5" s="1772">
        <f>'Revenues 9-14'!D5</f>
        <v>157475</v>
      </c>
      <c r="C5" s="585"/>
      <c r="D5" s="1775">
        <f t="shared" ref="D5:D18" si="0">B5-C5</f>
        <v>157475</v>
      </c>
      <c r="E5" s="585"/>
      <c r="F5" s="1775">
        <f>E5-C5</f>
        <v>0</v>
      </c>
    </row>
    <row r="6" spans="1:6" ht="13.7" customHeight="1" x14ac:dyDescent="0.2">
      <c r="A6" s="716" t="s">
        <v>431</v>
      </c>
      <c r="B6" s="1772">
        <f>'Revenues 9-14'!E5</f>
        <v>52807</v>
      </c>
      <c r="C6" s="585"/>
      <c r="D6" s="1775">
        <f t="shared" si="0"/>
        <v>52807</v>
      </c>
      <c r="E6" s="585"/>
      <c r="F6" s="1775">
        <f t="shared" ref="F6:F18" si="1">E6-C6</f>
        <v>0</v>
      </c>
    </row>
    <row r="7" spans="1:6" ht="13.7" customHeight="1" x14ac:dyDescent="0.2">
      <c r="A7" s="716" t="s">
        <v>157</v>
      </c>
      <c r="B7" s="1772">
        <f>'Revenues 9-14'!F5</f>
        <v>62638</v>
      </c>
      <c r="C7" s="585"/>
      <c r="D7" s="1775">
        <f t="shared" si="0"/>
        <v>62638</v>
      </c>
      <c r="E7" s="585"/>
      <c r="F7" s="1775">
        <f t="shared" si="1"/>
        <v>0</v>
      </c>
    </row>
    <row r="8" spans="1:6" ht="13.7" customHeight="1" x14ac:dyDescent="0.2">
      <c r="A8" s="716" t="s">
        <v>1241</v>
      </c>
      <c r="B8" s="1772">
        <f>'Revenues 9-14'!G5</f>
        <v>46595</v>
      </c>
      <c r="C8" s="585"/>
      <c r="D8" s="1775">
        <f t="shared" si="0"/>
        <v>46595</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14945</v>
      </c>
      <c r="C10" s="585"/>
      <c r="D10" s="1775">
        <f t="shared" si="0"/>
        <v>14945</v>
      </c>
      <c r="E10" s="585"/>
      <c r="F10" s="1775">
        <f t="shared" si="1"/>
        <v>0</v>
      </c>
    </row>
    <row r="11" spans="1:6" x14ac:dyDescent="0.2">
      <c r="A11" s="716" t="s">
        <v>429</v>
      </c>
      <c r="B11" s="1772">
        <f>'Revenues 9-14'!J5</f>
        <v>87788</v>
      </c>
      <c r="C11" s="585"/>
      <c r="D11" s="1775">
        <f t="shared" si="0"/>
        <v>87788</v>
      </c>
      <c r="E11" s="585"/>
      <c r="F11" s="1775">
        <f t="shared" si="1"/>
        <v>0</v>
      </c>
    </row>
    <row r="12" spans="1:6" ht="13.7" customHeight="1" x14ac:dyDescent="0.2">
      <c r="A12" s="716" t="s">
        <v>159</v>
      </c>
      <c r="B12" s="1772">
        <f>'Revenues 9-14'!K5</f>
        <v>15681</v>
      </c>
      <c r="C12" s="585"/>
      <c r="D12" s="1775">
        <f t="shared" si="0"/>
        <v>15681</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12581</v>
      </c>
      <c r="C14" s="585"/>
      <c r="D14" s="1775">
        <f t="shared" si="0"/>
        <v>12581</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46595</v>
      </c>
      <c r="C16" s="585"/>
      <c r="D16" s="1775">
        <f t="shared" si="0"/>
        <v>46595</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1333636</v>
      </c>
      <c r="C19" s="1773">
        <f>SUM(C4:C18)</f>
        <v>0</v>
      </c>
      <c r="D19" s="1773">
        <f>SUM(D4:D18)</f>
        <v>1333636</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8" t="s">
        <v>2036</v>
      </c>
      <c r="D2" s="724" t="s">
        <v>2043</v>
      </c>
      <c r="E2" s="724" t="s">
        <v>2044</v>
      </c>
      <c r="F2" s="1908"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2096</v>
      </c>
      <c r="B31" s="734">
        <v>41071</v>
      </c>
      <c r="C31" s="735">
        <v>300000</v>
      </c>
      <c r="D31" s="736">
        <v>8</v>
      </c>
      <c r="E31" s="735">
        <v>195000</v>
      </c>
      <c r="F31" s="735"/>
      <c r="G31" s="735"/>
      <c r="H31" s="735">
        <v>20000</v>
      </c>
      <c r="I31" s="1778">
        <f>((E31+F31)-H31)+G31</f>
        <v>175000</v>
      </c>
      <c r="J31" s="735">
        <v>175000</v>
      </c>
      <c r="K31" s="737"/>
    </row>
    <row r="32" spans="1:11" ht="12" customHeight="1" x14ac:dyDescent="0.2">
      <c r="A32" s="733" t="s">
        <v>2097</v>
      </c>
      <c r="B32" s="734">
        <v>41746</v>
      </c>
      <c r="C32" s="735">
        <v>330000</v>
      </c>
      <c r="D32" s="736">
        <v>1</v>
      </c>
      <c r="E32" s="735">
        <v>240000</v>
      </c>
      <c r="F32" s="735"/>
      <c r="G32" s="735"/>
      <c r="H32" s="735">
        <v>45000</v>
      </c>
      <c r="I32" s="1778">
        <f>((E32+F32)-H32)+G32</f>
        <v>195000</v>
      </c>
      <c r="J32" s="735">
        <v>195000</v>
      </c>
      <c r="K32" s="737"/>
    </row>
    <row r="33" spans="1:11" ht="12" customHeight="1" x14ac:dyDescent="0.2">
      <c r="A33" s="733" t="s">
        <v>2098</v>
      </c>
      <c r="B33" s="734">
        <v>42069</v>
      </c>
      <c r="C33" s="735">
        <v>2080000</v>
      </c>
      <c r="D33" s="736">
        <v>3</v>
      </c>
      <c r="E33" s="735">
        <v>1710000</v>
      </c>
      <c r="F33" s="735"/>
      <c r="G33" s="735"/>
      <c r="H33" s="735">
        <v>200000</v>
      </c>
      <c r="I33" s="1778">
        <f t="shared" ref="I33:I48" si="1">((E33+F33)-H33)+G33</f>
        <v>1510000</v>
      </c>
      <c r="J33" s="735">
        <v>1225271</v>
      </c>
      <c r="K33" s="737"/>
    </row>
    <row r="34" spans="1:11" ht="12" customHeight="1" x14ac:dyDescent="0.2">
      <c r="A34" s="733" t="s">
        <v>2099</v>
      </c>
      <c r="B34" s="734">
        <v>42423</v>
      </c>
      <c r="C34" s="735">
        <v>50000</v>
      </c>
      <c r="D34" s="736">
        <v>7</v>
      </c>
      <c r="E34" s="735">
        <v>25258</v>
      </c>
      <c r="F34" s="735"/>
      <c r="G34" s="735"/>
      <c r="H34" s="735">
        <v>16755</v>
      </c>
      <c r="I34" s="1778">
        <f t="shared" si="1"/>
        <v>8503</v>
      </c>
      <c r="J34" s="735">
        <v>8503</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2760000</v>
      </c>
      <c r="D49" s="746"/>
      <c r="E49" s="1778">
        <f t="shared" ref="E49:J49" si="2">SUM(E31:E48)</f>
        <v>2170258</v>
      </c>
      <c r="F49" s="1778">
        <f t="shared" si="2"/>
        <v>0</v>
      </c>
      <c r="G49" s="1778">
        <f t="shared" si="2"/>
        <v>0</v>
      </c>
      <c r="H49" s="1778">
        <f t="shared" si="2"/>
        <v>281755</v>
      </c>
      <c r="I49" s="1778">
        <f t="shared" si="2"/>
        <v>1888503</v>
      </c>
      <c r="J49" s="1778">
        <f t="shared" si="2"/>
        <v>1603774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2107</v>
      </c>
      <c r="G52" s="2225"/>
      <c r="H52" s="737"/>
      <c r="I52" s="737"/>
      <c r="J52" s="747"/>
    </row>
    <row r="53" spans="1:11" ht="11.25" customHeight="1" x14ac:dyDescent="0.2">
      <c r="A53" s="751" t="s">
        <v>969</v>
      </c>
      <c r="B53" s="752" t="s">
        <v>1008</v>
      </c>
      <c r="C53" s="747"/>
      <c r="D53" s="738"/>
      <c r="E53" s="750" t="s">
        <v>518</v>
      </c>
      <c r="F53" s="2226" t="s">
        <v>2096</v>
      </c>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C1"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-58944</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12581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338279</v>
      </c>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12581</v>
      </c>
      <c r="I12" s="1780">
        <f>SUM(I5:I11)</f>
        <v>0</v>
      </c>
      <c r="J12" s="1780">
        <f>SUM(J5:J11)</f>
        <v>338279</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v>27137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48912</v>
      </c>
      <c r="K18" s="796"/>
    </row>
    <row r="19" spans="1:11" ht="21.75" customHeight="1" x14ac:dyDescent="0.2">
      <c r="A19" s="2267" t="s">
        <v>1916</v>
      </c>
      <c r="B19" s="2267"/>
      <c r="C19" s="2267"/>
      <c r="D19" s="2267"/>
      <c r="E19" s="2268"/>
      <c r="F19" s="790" t="s">
        <v>990</v>
      </c>
      <c r="G19" s="783"/>
      <c r="H19" s="783"/>
      <c r="I19" s="783"/>
      <c r="J19" s="766">
        <v>220000</v>
      </c>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268912</v>
      </c>
      <c r="K21" s="794"/>
    </row>
    <row r="22" spans="1:11" ht="13.5" thickTop="1" x14ac:dyDescent="0.2">
      <c r="A22" s="2232" t="s">
        <v>1922</v>
      </c>
      <c r="B22" s="2232"/>
      <c r="C22" s="2232"/>
      <c r="D22" s="2232"/>
      <c r="E22" s="2260"/>
      <c r="F22" s="790" t="s">
        <v>917</v>
      </c>
      <c r="G22" s="783"/>
      <c r="H22" s="765">
        <v>12581</v>
      </c>
      <c r="I22" s="765"/>
      <c r="J22" s="798"/>
      <c r="K22" s="766"/>
    </row>
    <row r="23" spans="1:11" ht="13.5" thickBot="1" x14ac:dyDescent="0.25">
      <c r="A23" s="2253" t="s">
        <v>962</v>
      </c>
      <c r="B23" s="2252"/>
      <c r="C23" s="2252"/>
      <c r="D23" s="2252"/>
      <c r="E23" s="2252"/>
      <c r="F23" s="1783"/>
      <c r="G23" s="1780">
        <f>SUM(G14:G16,G21,G22)</f>
        <v>0</v>
      </c>
      <c r="H23" s="1780">
        <f>SUM(H14:H16,H21,H22)</f>
        <v>12581</v>
      </c>
      <c r="I23" s="1780">
        <f>SUM(I14:I16,I21,I22)</f>
        <v>0</v>
      </c>
      <c r="J23" s="1780">
        <f>SUM(J14:J16,J21,J22)</f>
        <v>296049</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-16714</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-16714</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129737</v>
      </c>
      <c r="D5" s="842"/>
      <c r="E5" s="842"/>
      <c r="F5" s="1782">
        <f>(C5+D5)-E5</f>
        <v>129737</v>
      </c>
      <c r="G5" s="838"/>
      <c r="H5" s="843"/>
      <c r="I5" s="843"/>
      <c r="J5" s="843"/>
      <c r="K5" s="794"/>
      <c r="L5" s="1791">
        <f>F5-K5</f>
        <v>129737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10678879</v>
      </c>
      <c r="D8" s="845">
        <v>50837</v>
      </c>
      <c r="E8" s="845"/>
      <c r="F8" s="1782">
        <f>(C8+D8)-E8</f>
        <v>10729716</v>
      </c>
      <c r="G8" s="844">
        <v>50</v>
      </c>
      <c r="H8" s="766">
        <v>2787787</v>
      </c>
      <c r="I8" s="766">
        <v>214455</v>
      </c>
      <c r="J8" s="766"/>
      <c r="K8" s="1791">
        <f>(H8+I8)-J8</f>
        <v>3002242</v>
      </c>
      <c r="L8" s="1791">
        <f>F8-K8</f>
        <v>7727474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260228</v>
      </c>
      <c r="D10" s="847"/>
      <c r="E10" s="847"/>
      <c r="F10" s="1786">
        <f>(C10+D10)-E10</f>
        <v>260228</v>
      </c>
      <c r="G10" s="844">
        <v>20</v>
      </c>
      <c r="H10" s="848">
        <v>53487</v>
      </c>
      <c r="I10" s="848">
        <v>12699</v>
      </c>
      <c r="J10" s="848"/>
      <c r="K10" s="1791">
        <f>(H10+I10)-J10</f>
        <v>66186</v>
      </c>
      <c r="L10" s="1791">
        <f>F10-K10</f>
        <v>194042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385607</v>
      </c>
      <c r="D12" s="845">
        <v>43345</v>
      </c>
      <c r="E12" s="845"/>
      <c r="F12" s="1782">
        <f>(C12+D12)-E12</f>
        <v>428952</v>
      </c>
      <c r="G12" s="844">
        <v>10</v>
      </c>
      <c r="H12" s="766">
        <v>231906</v>
      </c>
      <c r="I12" s="766">
        <v>33928</v>
      </c>
      <c r="J12" s="766"/>
      <c r="K12" s="1791">
        <f>(H12+I12)-J12</f>
        <v>265834</v>
      </c>
      <c r="L12" s="1791">
        <f>F12-K12</f>
        <v>163118</v>
      </c>
    </row>
    <row r="13" spans="1:14" ht="14.25" thickTop="1" thickBot="1" x14ac:dyDescent="0.25">
      <c r="A13" s="849" t="s">
        <v>1184</v>
      </c>
      <c r="B13" s="841">
        <v>252</v>
      </c>
      <c r="C13" s="845">
        <v>496620</v>
      </c>
      <c r="D13" s="845">
        <v>2500</v>
      </c>
      <c r="E13" s="845"/>
      <c r="F13" s="1782">
        <f>(C13+D13)-E13</f>
        <v>499120</v>
      </c>
      <c r="G13" s="844">
        <v>5</v>
      </c>
      <c r="H13" s="766">
        <v>435291</v>
      </c>
      <c r="I13" s="766">
        <v>27591</v>
      </c>
      <c r="J13" s="766"/>
      <c r="K13" s="1791">
        <f>(H13+I13)-J13</f>
        <v>462882</v>
      </c>
      <c r="L13" s="1791">
        <f>F13-K13</f>
        <v>36238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11951071</v>
      </c>
      <c r="D16" s="1782">
        <f>SUM(D3,D5:D6,D8:D10,D12:D15)</f>
        <v>96682</v>
      </c>
      <c r="E16" s="1782">
        <f>SUM(E3,E5:E6,E8:E10,E12:E15)</f>
        <v>0</v>
      </c>
      <c r="F16" s="1782">
        <f>SUM(F3,F5:F6,F8:F10,F12:F15)</f>
        <v>12047753</v>
      </c>
      <c r="G16" s="844"/>
      <c r="H16" s="1782">
        <f>SUM(H3,H6,H8:H10,H12:H14,)</f>
        <v>3508471</v>
      </c>
      <c r="I16" s="1782">
        <f>SUM(I3,I6,I8:I10,I12:I14,)</f>
        <v>288673</v>
      </c>
      <c r="J16" s="1782">
        <f>SUM(J3,J6,J8:J10,J12:J14,)</f>
        <v>0</v>
      </c>
      <c r="K16" s="1782">
        <f>(H16+I16)-J16</f>
        <v>3797144</v>
      </c>
      <c r="L16" s="1782">
        <f>F16-K16</f>
        <v>8250609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288673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26" activePane="bottomLeft" state="frozen"/>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3401304</v>
      </c>
      <c r="G8" s="866"/>
    </row>
    <row r="9" spans="1:7" x14ac:dyDescent="0.2">
      <c r="A9" s="870" t="s">
        <v>480</v>
      </c>
      <c r="B9" s="871" t="s">
        <v>1988</v>
      </c>
      <c r="C9" s="872"/>
      <c r="D9" s="870" t="s">
        <v>522</v>
      </c>
      <c r="E9" s="869"/>
      <c r="F9" s="1934">
        <f>'Expenditures 15-22'!K151</f>
        <v>233805</v>
      </c>
      <c r="G9" s="873"/>
    </row>
    <row r="10" spans="1:7" x14ac:dyDescent="0.2">
      <c r="A10" s="870" t="s">
        <v>520</v>
      </c>
      <c r="B10" s="871" t="s">
        <v>1989</v>
      </c>
      <c r="C10" s="872"/>
      <c r="D10" s="870" t="s">
        <v>522</v>
      </c>
      <c r="E10" s="869"/>
      <c r="F10" s="1934">
        <f>'Expenditures 15-22'!K174</f>
        <v>338411</v>
      </c>
      <c r="G10" s="873"/>
    </row>
    <row r="11" spans="1:7" x14ac:dyDescent="0.2">
      <c r="A11" s="870" t="s">
        <v>481</v>
      </c>
      <c r="B11" s="871" t="s">
        <v>1990</v>
      </c>
      <c r="C11" s="872"/>
      <c r="D11" s="870" t="s">
        <v>522</v>
      </c>
      <c r="E11" s="869"/>
      <c r="F11" s="1934">
        <f>'Expenditures 15-22'!K210</f>
        <v>230257</v>
      </c>
      <c r="G11" s="873"/>
    </row>
    <row r="12" spans="1:7" x14ac:dyDescent="0.2">
      <c r="A12" s="870" t="s">
        <v>482</v>
      </c>
      <c r="B12" s="871" t="s">
        <v>1991</v>
      </c>
      <c r="C12" s="872"/>
      <c r="D12" s="870" t="s">
        <v>522</v>
      </c>
      <c r="E12" s="869"/>
      <c r="F12" s="1934">
        <f>'Expenditures 15-22'!K295</f>
        <v>118174</v>
      </c>
      <c r="G12" s="873"/>
    </row>
    <row r="13" spans="1:7" x14ac:dyDescent="0.2">
      <c r="A13" s="870" t="s">
        <v>108</v>
      </c>
      <c r="B13" s="871" t="s">
        <v>1992</v>
      </c>
      <c r="C13" s="872"/>
      <c r="D13" s="870" t="s">
        <v>522</v>
      </c>
      <c r="E13" s="869"/>
      <c r="F13" s="1934">
        <f>'Expenditures 15-22'!K342</f>
        <v>76452</v>
      </c>
      <c r="G13" s="874"/>
    </row>
    <row r="14" spans="1:7" ht="12" customHeight="1" thickBot="1" x14ac:dyDescent="0.25">
      <c r="A14" s="1792"/>
      <c r="B14" s="1793"/>
      <c r="C14" s="1794"/>
      <c r="D14" s="1795" t="s">
        <v>522</v>
      </c>
      <c r="E14" s="1796" t="s">
        <v>1015</v>
      </c>
      <c r="F14" s="1797">
        <f>SUM(F8:F13)</f>
        <v>4398403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436</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503163</v>
      </c>
      <c r="G53" s="866"/>
    </row>
    <row r="54" spans="1:7" x14ac:dyDescent="0.2">
      <c r="A54" s="870" t="s">
        <v>479</v>
      </c>
      <c r="B54" s="870" t="s">
        <v>1552</v>
      </c>
      <c r="C54" s="890" t="s">
        <v>1039</v>
      </c>
      <c r="D54" s="886" t="s">
        <v>1157</v>
      </c>
      <c r="E54" s="869"/>
      <c r="F54" s="1938">
        <f>'Expenditures 15-22'!G114</f>
        <v>24330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220</v>
      </c>
      <c r="G57" s="866"/>
    </row>
    <row r="58" spans="1:7" x14ac:dyDescent="0.2">
      <c r="A58" s="870" t="s">
        <v>480</v>
      </c>
      <c r="B58" s="870" t="s">
        <v>1994</v>
      </c>
      <c r="C58" s="887" t="s">
        <v>1039</v>
      </c>
      <c r="D58" s="886" t="s">
        <v>1157</v>
      </c>
      <c r="E58" s="869"/>
      <c r="F58" s="1940">
        <f>'Expenditures 15-22'!G151</f>
        <v>14815</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281755</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20362</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2500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847581</v>
      </c>
      <c r="G76" s="866"/>
    </row>
    <row r="77" spans="1:8" s="894" customFormat="1" ht="12" customHeight="1" thickTop="1" thickBot="1" x14ac:dyDescent="0.25">
      <c r="A77" s="1801"/>
      <c r="B77" s="1798"/>
      <c r="C77" s="1794"/>
      <c r="D77" s="1799" t="s">
        <v>2011</v>
      </c>
      <c r="E77" s="1796"/>
      <c r="F77" s="1802">
        <f>(F14-F76)</f>
        <v>3550822</v>
      </c>
      <c r="G77" s="870"/>
    </row>
    <row r="78" spans="1:8" s="894" customFormat="1" ht="12" customHeight="1" thickTop="1" x14ac:dyDescent="0.2">
      <c r="A78" s="1803"/>
      <c r="B78" s="1798"/>
      <c r="C78" s="1794"/>
      <c r="D78" s="1799" t="s">
        <v>2057</v>
      </c>
      <c r="E78" s="1796"/>
      <c r="F78" s="899">
        <v>448.73</v>
      </c>
      <c r="G78" s="900"/>
      <c r="H78" s="870"/>
    </row>
    <row r="79" spans="1:8" s="894" customFormat="1" ht="12" customHeight="1" thickBot="1" x14ac:dyDescent="0.25">
      <c r="A79" s="1804"/>
      <c r="B79" s="1798"/>
      <c r="C79" s="1794"/>
      <c r="D79" s="1799" t="s">
        <v>2012</v>
      </c>
      <c r="E79" s="1796" t="s">
        <v>1015</v>
      </c>
      <c r="F79" s="1805">
        <f>IF(F78&gt;0,F77/F78," Complete Line 78")</f>
        <v>7913.0479352840239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3205</v>
      </c>
      <c r="G94" s="913"/>
    </row>
    <row r="95" spans="1:7" x14ac:dyDescent="0.2">
      <c r="A95" s="909" t="s">
        <v>142</v>
      </c>
      <c r="B95" s="909" t="s">
        <v>177</v>
      </c>
      <c r="C95" s="911">
        <v>1700</v>
      </c>
      <c r="D95" s="919" t="str">
        <f>'Revenues 9-14'!A82</f>
        <v>Total District/School Activity Income</v>
      </c>
      <c r="E95" s="907"/>
      <c r="F95" s="1811">
        <f>SUM('Revenues 9-14'!C82,'Revenues 9-14'!D82)</f>
        <v>37989</v>
      </c>
      <c r="G95" s="913"/>
    </row>
    <row r="96" spans="1:7" x14ac:dyDescent="0.2">
      <c r="A96" s="909" t="s">
        <v>479</v>
      </c>
      <c r="B96" s="909" t="s">
        <v>178</v>
      </c>
      <c r="C96" s="911">
        <f>'Revenues 9-14'!B84</f>
        <v>1811</v>
      </c>
      <c r="D96" s="912" t="str">
        <f>'Revenues 9-14'!A84</f>
        <v>Rentals - Regular Textbooks</v>
      </c>
      <c r="E96" s="907"/>
      <c r="F96" s="1811">
        <f>'Revenues 9-14'!C84</f>
        <v>12550</v>
      </c>
      <c r="G96" s="913"/>
    </row>
    <row r="97" spans="1:7" x14ac:dyDescent="0.2">
      <c r="A97" s="909" t="s">
        <v>479</v>
      </c>
      <c r="B97" s="909" t="s">
        <v>179</v>
      </c>
      <c r="C97" s="911">
        <f>'Revenues 9-14'!B87</f>
        <v>1819</v>
      </c>
      <c r="D97" s="912" t="str">
        <f>'Revenues 9-14'!A87</f>
        <v>Rentals - Other (Describe &amp; Itemize)</v>
      </c>
      <c r="E97" s="907"/>
      <c r="F97" s="1811">
        <f>'Revenues 9-14'!C87</f>
        <v>12917</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10855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3550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6888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73518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8041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3270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6420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184782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192539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104333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8622</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8622</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15305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3252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32921</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722457</v>
      </c>
    </row>
    <row r="179" spans="1:7" ht="12" customHeight="1" x14ac:dyDescent="0.2">
      <c r="A179" s="1792"/>
      <c r="B179" s="1806"/>
      <c r="C179" s="1807"/>
      <c r="D179" s="1808" t="s">
        <v>2014</v>
      </c>
      <c r="E179" s="1809"/>
      <c r="F179" s="1811">
        <f>'PCTC-OEPP 27-28'!F77-F178</f>
        <v>2828365</v>
      </c>
    </row>
    <row r="180" spans="1:7" ht="12" customHeight="1" x14ac:dyDescent="0.2">
      <c r="A180" s="1792"/>
      <c r="B180" s="1806"/>
      <c r="C180" s="1807"/>
      <c r="D180" s="1808" t="s">
        <v>1924</v>
      </c>
      <c r="E180" s="1809"/>
      <c r="F180" s="1811">
        <f>'Cap Outlay Deprec 26'!I18</f>
        <v>288673</v>
      </c>
    </row>
    <row r="181" spans="1:7" ht="12" customHeight="1" x14ac:dyDescent="0.2">
      <c r="A181" s="1792"/>
      <c r="B181" s="1806"/>
      <c r="C181" s="1807"/>
      <c r="D181" s="1808" t="s">
        <v>2015</v>
      </c>
      <c r="E181" s="1809"/>
      <c r="F181" s="1811">
        <f>F179+F180</f>
        <v>3117038</v>
      </c>
    </row>
    <row r="182" spans="1:7" ht="12" customHeight="1" x14ac:dyDescent="0.2">
      <c r="A182" s="1792"/>
      <c r="B182" s="1812"/>
      <c r="C182" s="1807"/>
      <c r="D182" s="1808" t="str">
        <f>D78</f>
        <v>9 Month ADA from District Average Daily Attendance/Prior General State Aid Inquiry 2017-2018</v>
      </c>
      <c r="E182" s="1809"/>
      <c r="F182" s="1813">
        <f>'PCTC-OEPP 27-28'!F78</f>
        <v>448.73</v>
      </c>
      <c r="G182" s="931"/>
    </row>
    <row r="183" spans="1:7" ht="12" customHeight="1" thickBot="1" x14ac:dyDescent="0.25">
      <c r="A183" s="1792"/>
      <c r="B183" s="1812"/>
      <c r="C183" s="1807"/>
      <c r="D183" s="1808" t="s">
        <v>2016</v>
      </c>
      <c r="E183" s="1809" t="s">
        <v>1626</v>
      </c>
      <c r="F183" s="1814">
        <f>F181/F182</f>
        <v>6946.3552693156234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957"/>
      <c r="C17" s="1958"/>
      <c r="D17" s="1866"/>
      <c r="E17" s="1562">
        <f t="shared" ref="E17:E141" si="1">IF(D17&lt;=25000,D17,IF(D17&gt;25000,25000,0))</f>
        <v>0</v>
      </c>
      <c r="F17" s="1815">
        <f t="shared" si="0"/>
        <v>0</v>
      </c>
      <c r="G17" s="1816">
        <f>IF(F17=0,0,D17-F17)</f>
        <v>0</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675"/>
      <c r="B42" s="1689"/>
      <c r="C42" s="1676"/>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Normal="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141867</v>
      </c>
      <c r="F10" s="975"/>
      <c r="G10" s="976"/>
      <c r="H10" s="162"/>
      <c r="I10" s="162"/>
    </row>
    <row r="11" spans="1:9" s="669" customFormat="1" ht="22.5" customHeight="1" x14ac:dyDescent="0.2">
      <c r="A11" s="2305" t="s">
        <v>1944</v>
      </c>
      <c r="B11" s="2306"/>
      <c r="C11" s="2306"/>
      <c r="D11" s="2307"/>
      <c r="E11" s="978">
        <v>20602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1709227</v>
      </c>
      <c r="F19" s="1822"/>
      <c r="G19" s="1824">
        <f>'Expenditures 15-22'!K33-SUM('Expenditures 15-22'!G33,'Expenditures 15-22'!I33)+'Expenditures 15-22'!D229</f>
        <v>1709227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155466</v>
      </c>
      <c r="F21" s="1825"/>
      <c r="G21" s="1828">
        <f>'Expenditures 15-22'!K42-SUM('Expenditures 15-22'!G42,'Expenditures 15-22'!I42)+'Expenditures 15-22'!K120-SUM('Expenditures 15-22'!G120,'Expenditures 15-22'!I120)+'Expenditures 15-22'!K180-SUM('Expenditures 15-22'!G180,'Expenditures 15-22'!I180)+'Expenditures 15-22'!D238</f>
        <v>155466</v>
      </c>
      <c r="H21" s="988"/>
      <c r="I21" s="162"/>
    </row>
    <row r="22" spans="1:9" s="669" customFormat="1" ht="12" customHeight="1" x14ac:dyDescent="0.2">
      <c r="A22" s="995" t="s">
        <v>585</v>
      </c>
      <c r="B22" s="996"/>
      <c r="C22" s="994">
        <v>2200</v>
      </c>
      <c r="D22" s="1825"/>
      <c r="E22" s="1827">
        <f>'Expenditures 15-22'!K47-SUM('Expenditures 15-22'!G47,'Expenditures 15-22'!I47)+'Expenditures 15-22'!D243</f>
        <v>85065</v>
      </c>
      <c r="F22" s="1825"/>
      <c r="G22" s="1828">
        <f>'Expenditures 15-22'!K47-SUM('Expenditures 15-22'!G47,'Expenditures 15-22'!I47)+'Expenditures 15-22'!D243</f>
        <v>85065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348897</v>
      </c>
      <c r="F23" s="1825"/>
      <c r="G23" s="1827">
        <f>'Expenditures 15-22'!K53-SUM('Expenditures 15-22'!G53,'Expenditures 15-22'!I53)+'Expenditures 15-22'!D257+'Expenditures 15-22'!K330-SUM('Expenditures 15-22'!G330,'Expenditures 15-22'!I330)</f>
        <v>348897</v>
      </c>
      <c r="H23" s="988"/>
      <c r="I23" s="162"/>
    </row>
    <row r="24" spans="1:9" s="669" customFormat="1" ht="12" customHeight="1" x14ac:dyDescent="0.2">
      <c r="A24" s="995" t="s">
        <v>587</v>
      </c>
      <c r="B24" s="996"/>
      <c r="C24" s="994">
        <v>2400</v>
      </c>
      <c r="D24" s="1825"/>
      <c r="E24" s="1827">
        <f>'Expenditures 15-22'!K57-SUM('Expenditures 15-22'!G57,'Expenditures 15-22'!I57)+'Expenditures 15-22'!D261</f>
        <v>152837</v>
      </c>
      <c r="F24" s="1825"/>
      <c r="G24" s="1828">
        <f>'Expenditures 15-22'!K57-SUM('Expenditures 15-22'!G57,'Expenditures 15-22'!I57)+'Expenditures 15-22'!D261</f>
        <v>152837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60961</v>
      </c>
      <c r="E27" s="1827">
        <f>E8</f>
        <v>0</v>
      </c>
      <c r="F27" s="1827">
        <f>'Expenditures 15-22'!K60-SUM('Expenditures 15-22'!G60,'Expenditures 15-22'!I60)+'Expenditures 15-22'!D264-E8</f>
        <v>60961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551117</v>
      </c>
      <c r="F28" s="1829">
        <f>'Expenditures 15-22'!K61-SUM('Expenditures 15-22'!G61,'Expenditures 15-22'!I61)+'Expenditures 15-22'!K124-SUM('Expenditures 15-22'!G124,'Expenditures 15-22'!I124)+'Expenditures 15-22'!D266-E9</f>
        <v>551117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220312</v>
      </c>
      <c r="F29" s="1825"/>
      <c r="G29" s="1828">
        <f>'Expenditures 15-22'!K62-SUM('Expenditures 15-22'!G62,'Expenditures 15-22'!I62)+'Expenditures 15-22'!K125-SUM('Expenditures 15-22'!G125,'Expenditures 15-22'!I125)+'Expenditures 15-22'!K182-SUM('Expenditures 15-22'!G182,'Expenditures 15-22'!I182)+'Expenditures 15-22'!D267</f>
        <v>220312</v>
      </c>
      <c r="H29" s="986"/>
    </row>
    <row r="30" spans="1:9" ht="12" customHeight="1" x14ac:dyDescent="0.2">
      <c r="A30" s="995" t="s">
        <v>102</v>
      </c>
      <c r="B30" s="998"/>
      <c r="C30" s="994">
        <v>2560</v>
      </c>
      <c r="D30" s="1825"/>
      <c r="E30" s="1827">
        <f>'Expenditures 15-22'!K63-SUM('Expenditures 15-22'!G63,'Expenditures 15-22'!I63)+'Expenditures 15-22'!D268-E10</f>
        <v>68853</v>
      </c>
      <c r="F30" s="1825"/>
      <c r="G30" s="1827">
        <f>'Expenditures 15-22'!K63-SUM('Expenditures 15-22'!G63,'Expenditures 15-22'!I63)+'Expenditures 15-22'!D268-E10</f>
        <v>68853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60961</v>
      </c>
      <c r="E41" s="1829">
        <f>SUM(E19:E40)</f>
        <v>3291774</v>
      </c>
      <c r="F41" s="1829">
        <f>SUM(F19:F39)</f>
        <v>612078</v>
      </c>
      <c r="G41" s="1829">
        <f>SUM(G19:G40)</f>
        <v>2740657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60961</v>
      </c>
      <c r="F43" s="1830" t="s">
        <v>495</v>
      </c>
      <c r="G43" s="1831">
        <f>F41</f>
        <v>612078</v>
      </c>
    </row>
    <row r="44" spans="1:7" ht="12" customHeight="1" x14ac:dyDescent="0.2">
      <c r="A44" s="988"/>
      <c r="B44" s="162"/>
      <c r="C44" s="1002"/>
      <c r="D44" s="1830" t="s">
        <v>494</v>
      </c>
      <c r="E44" s="1831">
        <f>E41</f>
        <v>3291774</v>
      </c>
      <c r="F44" s="1830" t="s">
        <v>494</v>
      </c>
      <c r="G44" s="1831">
        <f>G41</f>
        <v>2740657</v>
      </c>
    </row>
    <row r="45" spans="1:7" ht="12" customHeight="1" x14ac:dyDescent="0.2">
      <c r="A45" s="988"/>
      <c r="B45" s="162"/>
      <c r="C45" s="162"/>
      <c r="D45" s="1832" t="s">
        <v>1063</v>
      </c>
      <c r="E45" s="1833">
        <f>(E43/E44)</f>
        <v>1.8519193601990901E-2</v>
      </c>
      <c r="F45" s="1832" t="s">
        <v>1063</v>
      </c>
      <c r="G45" s="1833">
        <f>(G43/G44)</f>
        <v>0.22333258047249255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Crab Orchard CUSD 3</v>
      </c>
      <c r="D6" s="2315"/>
      <c r="E6" s="2315"/>
      <c r="F6" s="1876"/>
    </row>
    <row r="7" spans="1:10" ht="11.25" customHeight="1" thickBot="1" x14ac:dyDescent="0.3">
      <c r="A7" s="1874"/>
      <c r="B7" s="1875"/>
      <c r="C7" s="2316">
        <f>COVER!A13</f>
        <v>21100003026</v>
      </c>
      <c r="D7" s="2316"/>
      <c r="E7" s="231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2100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2077</v>
      </c>
      <c r="D32" s="1889" t="s">
        <v>2077</v>
      </c>
      <c r="E32" s="1892"/>
      <c r="F32" s="1891" t="s">
        <v>2101</v>
      </c>
      <c r="H32" s="1902">
        <f t="shared" si="0"/>
        <v>5</v>
      </c>
      <c r="I32" s="1902">
        <f t="shared" si="1"/>
        <v>5</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Crab Orchard CUSD 3</v>
      </c>
      <c r="J6" s="2336"/>
      <c r="Q6" s="1686"/>
    </row>
    <row r="7" spans="1:17" x14ac:dyDescent="0.2">
      <c r="A7" s="2337" t="s">
        <v>924</v>
      </c>
      <c r="B7" s="2338"/>
      <c r="C7" s="2338"/>
      <c r="D7" s="2338"/>
      <c r="E7" s="2339"/>
      <c r="F7" s="1018"/>
      <c r="G7" s="1010"/>
      <c r="H7" s="1017" t="s">
        <v>390</v>
      </c>
      <c r="I7" s="2340">
        <f>COVER!A13</f>
        <v>21100003026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233870</v>
      </c>
      <c r="F12" s="1040"/>
      <c r="G12" s="1834">
        <f t="shared" ref="G12:G18" si="0">SUM(E12:F12)</f>
        <v>233870</v>
      </c>
      <c r="H12" s="1041">
        <v>242100</v>
      </c>
      <c r="I12" s="1040"/>
      <c r="J12" s="1834">
        <f t="shared" ref="J12:J18" si="1">SUM(H12:I12)</f>
        <v>242100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233870</v>
      </c>
      <c r="F19" s="1836">
        <f t="shared" si="2"/>
        <v>0</v>
      </c>
      <c r="G19" s="1836">
        <f t="shared" si="2"/>
        <v>233870</v>
      </c>
      <c r="H19" s="1836">
        <f t="shared" si="2"/>
        <v>242100</v>
      </c>
      <c r="I19" s="1836">
        <f t="shared" si="2"/>
        <v>0</v>
      </c>
      <c r="J19" s="1836">
        <f t="shared" si="2"/>
        <v>242100</v>
      </c>
    </row>
    <row r="20" spans="1:10" ht="13.5" thickTop="1" x14ac:dyDescent="0.2">
      <c r="A20" s="1036">
        <v>9</v>
      </c>
      <c r="B20" s="2347" t="s">
        <v>1703</v>
      </c>
      <c r="C20" s="2347"/>
      <c r="D20" s="2348"/>
      <c r="E20" s="1047"/>
      <c r="F20" s="1047"/>
      <c r="G20" s="1047"/>
      <c r="H20" s="1047"/>
      <c r="I20" s="1047"/>
      <c r="J20" s="1837">
        <f>IF(AND(G19&gt;0,J19&gt;0),(((J19-G19)/G19)),"Enter Budget Data")</f>
        <v>3.5190490443408731E-2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2092</v>
      </c>
    </row>
    <row r="7" spans="1:2" x14ac:dyDescent="0.2">
      <c r="A7" s="1069">
        <v>3</v>
      </c>
      <c r="B7" s="329" t="s">
        <v>2093</v>
      </c>
    </row>
    <row r="8" spans="1:2" x14ac:dyDescent="0.2">
      <c r="A8" s="1069">
        <v>4</v>
      </c>
      <c r="B8" s="329" t="s">
        <v>2094</v>
      </c>
    </row>
    <row r="9" spans="1:2" x14ac:dyDescent="0.2">
      <c r="A9" s="1069">
        <v>5</v>
      </c>
      <c r="B9" s="329" t="s">
        <v>2095</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Crab Orchard CUSD 3</v>
      </c>
    </row>
    <row r="65" spans="2:2" x14ac:dyDescent="0.2">
      <c r="B65" s="1071">
        <f>COVER!A13</f>
        <v>21100003026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86"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 xml:space="preserve">&amp;RB-1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1752600</xdr:colOff>
                <xdr:row>3</xdr:row>
                <xdr:rowOff>152400</xdr:rowOff>
              </from>
              <to>
                <xdr:col>1</xdr:col>
                <xdr:colOff>2657475</xdr:colOff>
                <xdr:row>8</xdr:row>
                <xdr:rowOff>28575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3645264</v>
      </c>
      <c r="C8" s="1838">
        <f>'Acct Summary 7-8'!D8</f>
        <v>194843</v>
      </c>
      <c r="D8" s="1838">
        <f>'Acct Summary 7-8'!F8</f>
        <v>288275</v>
      </c>
      <c r="E8" s="1838">
        <f>'Acct Summary 7-8'!I8</f>
        <v>17334</v>
      </c>
      <c r="F8" s="1838">
        <f>SUM(B8:E8)</f>
        <v>4145716</v>
      </c>
    </row>
    <row r="9" spans="1:8" s="1080" customFormat="1" ht="14.25" customHeight="1" thickBot="1" x14ac:dyDescent="0.25">
      <c r="A9" s="1079" t="s">
        <v>1436</v>
      </c>
      <c r="B9" s="1839">
        <f>'Acct Summary 7-8'!C17</f>
        <v>3401304</v>
      </c>
      <c r="C9" s="1839">
        <f>'Acct Summary 7-8'!D17</f>
        <v>233805</v>
      </c>
      <c r="D9" s="1839">
        <f>'Acct Summary 7-8'!F17</f>
        <v>230257</v>
      </c>
      <c r="E9" s="1838"/>
      <c r="F9" s="1838">
        <f>SUM(B9:E9)</f>
        <v>3865366</v>
      </c>
    </row>
    <row r="10" spans="1:8" s="1080" customFormat="1" ht="14.25" thickTop="1" thickBot="1" x14ac:dyDescent="0.25">
      <c r="A10" s="1081" t="s">
        <v>1437</v>
      </c>
      <c r="B10" s="1840">
        <f>(B8-B9)</f>
        <v>243960</v>
      </c>
      <c r="C10" s="1840">
        <f>(C8-C9)</f>
        <v>-38962</v>
      </c>
      <c r="D10" s="1840">
        <f>(D8-D9)</f>
        <v>58018</v>
      </c>
      <c r="E10" s="1839">
        <f>(E8-E9)</f>
        <v>17334</v>
      </c>
      <c r="F10" s="1841">
        <f>SUM(F8-F9)</f>
        <v>280350</v>
      </c>
    </row>
    <row r="11" spans="1:8" s="1080" customFormat="1" ht="14.25" thickTop="1" thickBot="1" x14ac:dyDescent="0.25">
      <c r="A11" s="1082" t="s">
        <v>1785</v>
      </c>
      <c r="B11" s="1842">
        <f>'Acct Summary 7-8'!C81</f>
        <v>441700</v>
      </c>
      <c r="C11" s="1842">
        <f>'Acct Summary 7-8'!D81</f>
        <v>7836</v>
      </c>
      <c r="D11" s="1842">
        <f>'Acct Summary 7-8'!F81</f>
        <v>90090</v>
      </c>
      <c r="E11" s="1842">
        <f>'Acct Summary 7-8'!I81</f>
        <v>362479</v>
      </c>
      <c r="F11" s="1843">
        <f>SUM(B11:E11)</f>
        <v>902105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21100003026</v>
      </c>
    </row>
    <row r="3" spans="1:2" x14ac:dyDescent="0.2">
      <c r="A3" t="s">
        <v>1013</v>
      </c>
      <c r="B3" s="138" t="str">
        <f>COVER!A15</f>
        <v>Williamson County</v>
      </c>
    </row>
    <row r="4" spans="1:2" x14ac:dyDescent="0.2">
      <c r="A4" t="s">
        <v>1064</v>
      </c>
      <c r="B4" s="138" t="str">
        <f>COVER!A17</f>
        <v>Crab Orchard CUSD 3</v>
      </c>
    </row>
    <row r="5" spans="1:2" x14ac:dyDescent="0.2">
      <c r="A5" t="s">
        <v>728</v>
      </c>
      <c r="B5" s="138" t="str">
        <f>COVER!A38</f>
        <v>Derek Hutchins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65.022628999999995</v>
      </c>
    </row>
    <row r="16" spans="1:2" x14ac:dyDescent="0.2">
      <c r="A16" t="s">
        <v>442</v>
      </c>
      <c r="B16" s="138" t="str">
        <f>COVER!T13</f>
        <v>Cindy A. Bobell, CPA</v>
      </c>
    </row>
    <row r="17" spans="1:2" x14ac:dyDescent="0.2">
      <c r="A17" t="s">
        <v>939</v>
      </c>
      <c r="B17" s="138" t="str">
        <f>COVER!T15</f>
        <v>Cindy A. Bobell, CPA</v>
      </c>
    </row>
    <row r="18" spans="1:2" x14ac:dyDescent="0.2">
      <c r="A18" t="s">
        <v>1212</v>
      </c>
      <c r="B18" s="138" t="str">
        <f>COVER!T17</f>
        <v>10653 Khoury League Road</v>
      </c>
    </row>
    <row r="19" spans="1:2" x14ac:dyDescent="0.2">
      <c r="A19" t="s">
        <v>941</v>
      </c>
      <c r="B19" s="138" t="str">
        <f>COVER!T25</f>
        <v>cabcpa@frontier.com</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618-997-9711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441700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422923</v>
      </c>
      <c r="D92" s="2" t="str">
        <f t="shared" si="0"/>
        <v>Error?</v>
      </c>
    </row>
    <row r="93" spans="1:4" x14ac:dyDescent="0.2">
      <c r="A93" s="5">
        <v>32</v>
      </c>
      <c r="B93" s="138">
        <f>'Assets-Liab 5-6'!C41</f>
        <v>441700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7836</v>
      </c>
      <c r="D123" s="2" t="str">
        <f t="shared" si="0"/>
        <v>Error?</v>
      </c>
    </row>
    <row r="124" spans="1:4" x14ac:dyDescent="0.2">
      <c r="A124" s="5">
        <v>63</v>
      </c>
      <c r="B124" s="138">
        <f>'Assets-Liab 5-6'!D41</f>
        <v>7836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284729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284729</v>
      </c>
      <c r="D140" s="2" t="str">
        <f t="shared" si="1"/>
        <v>Error?</v>
      </c>
    </row>
    <row r="141" spans="1:4" x14ac:dyDescent="0.2">
      <c r="A141" s="5">
        <v>80</v>
      </c>
      <c r="B141" s="138">
        <f>'Assets-Liab 5-6'!E41</f>
        <v>284729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90883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793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793</v>
      </c>
      <c r="C169" s="2" t="s">
        <v>594</v>
      </c>
      <c r="D169" s="2" t="str">
        <f t="shared" si="1"/>
        <v>Error?</v>
      </c>
    </row>
    <row r="170" spans="1:4" x14ac:dyDescent="0.2">
      <c r="A170" s="5">
        <v>109</v>
      </c>
      <c r="B170" s="138">
        <f>'Assets-Liab 5-6'!F39</f>
        <v>90090</v>
      </c>
      <c r="D170" s="2" t="str">
        <f t="shared" si="1"/>
        <v>Error?</v>
      </c>
    </row>
    <row r="171" spans="1:4" x14ac:dyDescent="0.2">
      <c r="A171" s="5">
        <v>110</v>
      </c>
      <c r="B171" s="138">
        <f>'Assets-Liab 5-6'!F41</f>
        <v>90883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38163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38163</v>
      </c>
      <c r="D189" s="2" t="str">
        <f t="shared" si="1"/>
        <v>Error?</v>
      </c>
    </row>
    <row r="190" spans="1:4" x14ac:dyDescent="0.2">
      <c r="A190" s="5">
        <v>129</v>
      </c>
      <c r="B190" s="138">
        <f>'Assets-Liab 5-6'!G41</f>
        <v>38163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36718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36718</v>
      </c>
      <c r="D212" s="2" t="str">
        <f t="shared" si="2"/>
        <v>Error?</v>
      </c>
    </row>
    <row r="213" spans="1:4" x14ac:dyDescent="0.2">
      <c r="A213" s="12">
        <v>152</v>
      </c>
      <c r="B213" s="138">
        <f>'Assets-Liab 5-6'!H41</f>
        <v>36718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129737</v>
      </c>
      <c r="D273" s="2" t="str">
        <f t="shared" si="3"/>
        <v>Error?</v>
      </c>
    </row>
    <row r="274" spans="1:4" x14ac:dyDescent="0.2">
      <c r="A274" s="5">
        <v>213</v>
      </c>
      <c r="B274" s="138">
        <f>'Assets-Liab 5-6'!M17</f>
        <v>7727474</v>
      </c>
      <c r="D274" s="2" t="str">
        <f t="shared" si="3"/>
        <v>Error?</v>
      </c>
    </row>
    <row r="275" spans="1:4" x14ac:dyDescent="0.2">
      <c r="A275" s="5">
        <v>214</v>
      </c>
      <c r="B275" s="138">
        <f>'Assets-Liab 5-6'!M18</f>
        <v>194042</v>
      </c>
      <c r="D275" s="2" t="str">
        <f t="shared" si="3"/>
        <v>Error?</v>
      </c>
    </row>
    <row r="276" spans="1:4" x14ac:dyDescent="0.2">
      <c r="A276" s="5">
        <v>215</v>
      </c>
      <c r="B276" s="138">
        <f>'Assets-Liab 5-6'!M19</f>
        <v>199356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8250609</v>
      </c>
      <c r="C279" s="2" t="s">
        <v>594</v>
      </c>
      <c r="D279" s="2" t="str">
        <f t="shared" si="3"/>
        <v>Error?</v>
      </c>
    </row>
    <row r="280" spans="1:4" x14ac:dyDescent="0.2">
      <c r="A280" s="5">
        <v>219</v>
      </c>
      <c r="B280" s="138">
        <f>'Assets-Liab 5-6'!M40</f>
        <v>8250609</v>
      </c>
      <c r="D280" s="2" t="str">
        <f t="shared" si="3"/>
        <v>Error?</v>
      </c>
    </row>
    <row r="281" spans="1:4" x14ac:dyDescent="0.2">
      <c r="A281" s="5">
        <v>220</v>
      </c>
      <c r="B281" s="138">
        <f>'Assets-Liab 5-6'!M41</f>
        <v>8250609</v>
      </c>
      <c r="C281" s="2" t="s">
        <v>594</v>
      </c>
      <c r="D281" s="2" t="str">
        <f t="shared" si="3"/>
        <v>Error?</v>
      </c>
    </row>
    <row r="282" spans="1:4" x14ac:dyDescent="0.2">
      <c r="A282" s="5">
        <v>221</v>
      </c>
      <c r="B282" s="138">
        <f>'Assets-Liab 5-6'!N21</f>
        <v>284729</v>
      </c>
      <c r="D282" s="2" t="str">
        <f t="shared" si="3"/>
        <v>Error?</v>
      </c>
    </row>
    <row r="283" spans="1:4" x14ac:dyDescent="0.2">
      <c r="A283" s="5">
        <v>222</v>
      </c>
      <c r="B283" s="138">
        <f>'Assets-Liab 5-6'!N22</f>
        <v>1603774</v>
      </c>
      <c r="D283" s="2" t="str">
        <f t="shared" si="3"/>
        <v>Error?</v>
      </c>
    </row>
    <row r="284" spans="1:4" x14ac:dyDescent="0.2">
      <c r="A284" s="5">
        <v>223</v>
      </c>
      <c r="B284" s="138">
        <f>'Assets-Liab 5-6'!N23</f>
        <v>1888503</v>
      </c>
      <c r="C284" s="2" t="s">
        <v>594</v>
      </c>
      <c r="D284" s="2" t="str">
        <f t="shared" si="3"/>
        <v>Error?</v>
      </c>
    </row>
    <row r="285" spans="1:4" x14ac:dyDescent="0.2">
      <c r="A285" s="5">
        <v>224</v>
      </c>
      <c r="B285" s="138">
        <f>'Assets-Liab 5-6'!N36</f>
        <v>1888503</v>
      </c>
      <c r="D285" s="2" t="str">
        <f t="shared" si="3"/>
        <v>Error?</v>
      </c>
    </row>
    <row r="286" spans="1:4" x14ac:dyDescent="0.2">
      <c r="A286" s="10">
        <v>225</v>
      </c>
      <c r="D286" s="2" t="str">
        <f t="shared" si="3"/>
        <v>OK</v>
      </c>
    </row>
    <row r="287" spans="1:4" x14ac:dyDescent="0.2">
      <c r="A287" s="5">
        <v>226</v>
      </c>
      <c r="B287" s="138">
        <f>'Assets-Liab 5-6'!N37</f>
        <v>1888503</v>
      </c>
      <c r="C287" s="2" t="s">
        <v>594</v>
      </c>
      <c r="D287" s="2" t="str">
        <f t="shared" si="3"/>
        <v>Error?</v>
      </c>
    </row>
    <row r="288" spans="1:4" x14ac:dyDescent="0.2">
      <c r="A288" s="5">
        <v>227</v>
      </c>
      <c r="B288" s="138">
        <f>'Assets-Liab 5-6'!N41</f>
        <v>1888503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1197876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1227037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97162</v>
      </c>
      <c r="D722" s="2" t="str">
        <f t="shared" si="10"/>
        <v>Error?</v>
      </c>
    </row>
    <row r="723" spans="1:4" x14ac:dyDescent="0.2">
      <c r="A723" s="5">
        <v>662</v>
      </c>
      <c r="B723" s="138">
        <f>'Expenditures 15-22'!C38</f>
        <v>29464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5514</v>
      </c>
      <c r="D726" s="2" t="str">
        <f t="shared" si="10"/>
        <v>Error?</v>
      </c>
    </row>
    <row r="727" spans="1:4" x14ac:dyDescent="0.2">
      <c r="A727" s="5">
        <v>666</v>
      </c>
      <c r="B727" s="138">
        <f>'Expenditures 15-22'!C42</f>
        <v>132140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48836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48836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158015</v>
      </c>
      <c r="D733" s="2" t="str">
        <f t="shared" si="10"/>
        <v>Error?</v>
      </c>
    </row>
    <row r="734" spans="1:4" x14ac:dyDescent="0.2">
      <c r="A734" s="5">
        <v>673</v>
      </c>
      <c r="B734" s="138">
        <f>'Expenditures 15-22'!C53</f>
        <v>158015</v>
      </c>
      <c r="C734" s="2" t="s">
        <v>594</v>
      </c>
      <c r="D734" s="2" t="str">
        <f t="shared" si="10"/>
        <v>Error?</v>
      </c>
    </row>
    <row r="735" spans="1:4" x14ac:dyDescent="0.2">
      <c r="A735" s="5">
        <v>674</v>
      </c>
      <c r="B735" s="138">
        <f>'Expenditures 15-22'!C55</f>
        <v>112950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112950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39580</v>
      </c>
      <c r="D739" s="2" t="str">
        <f t="shared" si="10"/>
        <v>Error?</v>
      </c>
    </row>
    <row r="740" spans="1:4" x14ac:dyDescent="0.2">
      <c r="A740" s="5">
        <v>679</v>
      </c>
      <c r="B740" s="138">
        <f>'Expenditures 15-22'!C61</f>
        <v>190136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56909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286625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738566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1965603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298258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313668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15026</v>
      </c>
      <c r="D780" s="2" t="str">
        <f t="shared" si="11"/>
        <v>Error?</v>
      </c>
    </row>
    <row r="781" spans="1:4" x14ac:dyDescent="0.2">
      <c r="A781" s="5">
        <v>720</v>
      </c>
      <c r="B781" s="138">
        <f>'Expenditures 15-22'!D38</f>
        <v>23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33</v>
      </c>
      <c r="D784" s="2" t="str">
        <f t="shared" si="11"/>
        <v>Error?</v>
      </c>
    </row>
    <row r="785" spans="1:4" x14ac:dyDescent="0.2">
      <c r="A785" s="5">
        <v>724</v>
      </c>
      <c r="B785" s="138">
        <f>'Expenditures 15-22'!D42</f>
        <v>15082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12929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12929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57496</v>
      </c>
      <c r="D791" s="2" t="str">
        <f t="shared" si="11"/>
        <v>Error?</v>
      </c>
    </row>
    <row r="792" spans="1:4" x14ac:dyDescent="0.2">
      <c r="A792" s="5">
        <v>731</v>
      </c>
      <c r="B792" s="138">
        <f>'Expenditures 15-22'!D53</f>
        <v>57496</v>
      </c>
      <c r="C792" s="2" t="s">
        <v>594</v>
      </c>
      <c r="D792" s="2" t="str">
        <f t="shared" si="11"/>
        <v>Error?</v>
      </c>
    </row>
    <row r="793" spans="1:4" x14ac:dyDescent="0.2">
      <c r="A793" s="5">
        <v>732</v>
      </c>
      <c r="B793" s="138">
        <f>'Expenditures 15-22'!D55</f>
        <v>30187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30187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12175</v>
      </c>
      <c r="D797" s="2" t="str">
        <f t="shared" si="11"/>
        <v>Error?</v>
      </c>
    </row>
    <row r="798" spans="1:4" x14ac:dyDescent="0.2">
      <c r="A798" s="5">
        <v>737</v>
      </c>
      <c r="B798" s="138">
        <f>'Expenditures 15-22'!D61</f>
        <v>42623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54907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170601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484269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17153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18835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36156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v>
      </c>
      <c r="C843" s="2" t="s">
        <v>594</v>
      </c>
      <c r="D843" s="2" t="str">
        <f t="shared" si="12"/>
        <v>Error?</v>
      </c>
    </row>
    <row r="844" spans="1:4" x14ac:dyDescent="0.2">
      <c r="A844" s="5">
        <v>783</v>
      </c>
      <c r="B844" s="138">
        <f>'Expenditures 15-22'!E44</f>
        <v>12621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3405</v>
      </c>
      <c r="D846" s="2" t="str">
        <f t="shared" si="12"/>
        <v>Error?</v>
      </c>
    </row>
    <row r="847" spans="1:4" x14ac:dyDescent="0.2">
      <c r="A847" s="5">
        <v>786</v>
      </c>
      <c r="B847" s="138">
        <f>'Expenditures 15-22'!E47</f>
        <v>16026</v>
      </c>
      <c r="C847" s="2" t="s">
        <v>594</v>
      </c>
      <c r="D847" s="2" t="str">
        <f t="shared" si="12"/>
        <v>Error?</v>
      </c>
    </row>
    <row r="848" spans="1:4" x14ac:dyDescent="0.2">
      <c r="A848" s="5">
        <v>787</v>
      </c>
      <c r="B848" s="138">
        <f>'Expenditures 15-22'!E49</f>
        <v>13700</v>
      </c>
      <c r="D848" s="2" t="str">
        <f t="shared" si="12"/>
        <v>Error?</v>
      </c>
    </row>
    <row r="849" spans="1:4" x14ac:dyDescent="0.2">
      <c r="A849" s="5">
        <v>788</v>
      </c>
      <c r="B849" s="138">
        <f>'Expenditures 15-22'!E50</f>
        <v>8113</v>
      </c>
      <c r="D849" s="2" t="str">
        <f t="shared" si="12"/>
        <v>Error?</v>
      </c>
    </row>
    <row r="850" spans="1:4" x14ac:dyDescent="0.2">
      <c r="A850" s="5">
        <v>789</v>
      </c>
      <c r="B850" s="138">
        <f>'Expenditures 15-22'!E53</f>
        <v>21813</v>
      </c>
      <c r="C850" s="2" t="s">
        <v>594</v>
      </c>
      <c r="D850" s="2" t="str">
        <f t="shared" si="12"/>
        <v>Error?</v>
      </c>
    </row>
    <row r="851" spans="1:4" x14ac:dyDescent="0.2">
      <c r="A851" s="5">
        <v>790</v>
      </c>
      <c r="B851" s="138">
        <f>'Expenditures 15-22'!E55</f>
        <v>459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1193</v>
      </c>
      <c r="D855" s="2" t="str">
        <f t="shared" si="12"/>
        <v>Error?</v>
      </c>
    </row>
    <row r="856" spans="1:4" x14ac:dyDescent="0.2">
      <c r="A856" s="5">
        <v>795</v>
      </c>
      <c r="B856" s="138">
        <f>'Expenditures 15-22'!E61</f>
        <v>61283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63846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102204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216104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74529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14606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100042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303</v>
      </c>
      <c r="C901" s="2" t="s">
        <v>594</v>
      </c>
      <c r="D901" s="2" t="str">
        <f t="shared" si="13"/>
        <v>Error?</v>
      </c>
    </row>
    <row r="902" spans="1:4" x14ac:dyDescent="0.2">
      <c r="A902" s="5">
        <v>841</v>
      </c>
      <c r="B902" s="138">
        <f>'Expenditures 15-22'!F44</f>
        <v>5345</v>
      </c>
      <c r="D902" s="2" t="str">
        <f t="shared" si="13"/>
        <v>Error?</v>
      </c>
    </row>
    <row r="903" spans="1:4" x14ac:dyDescent="0.2">
      <c r="A903" s="5">
        <v>842</v>
      </c>
      <c r="B903" s="138">
        <f>'Expenditures 15-22'!F45</f>
        <v>1275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6620</v>
      </c>
      <c r="C905" s="2" t="s">
        <v>594</v>
      </c>
      <c r="D905" s="2" t="str">
        <f t="shared" si="13"/>
        <v>Error?</v>
      </c>
    </row>
    <row r="906" spans="1:4" x14ac:dyDescent="0.2">
      <c r="A906" s="5">
        <v>845</v>
      </c>
      <c r="B906" s="138">
        <f>'Expenditures 15-22'!F49</f>
        <v>2401</v>
      </c>
      <c r="D906" s="2" t="str">
        <f t="shared" si="13"/>
        <v>Error?</v>
      </c>
    </row>
    <row r="907" spans="1:4" x14ac:dyDescent="0.2">
      <c r="A907" s="5">
        <v>846</v>
      </c>
      <c r="B907" s="138">
        <f>'Expenditures 15-22'!F50</f>
        <v>1794</v>
      </c>
      <c r="D907" s="2" t="str">
        <f t="shared" si="13"/>
        <v>Error?</v>
      </c>
    </row>
    <row r="908" spans="1:4" x14ac:dyDescent="0.2">
      <c r="A908" s="5">
        <v>847</v>
      </c>
      <c r="B908" s="138">
        <f>'Expenditures 15-22'!F53</f>
        <v>4195</v>
      </c>
      <c r="C908" s="2" t="s">
        <v>594</v>
      </c>
      <c r="D908" s="2" t="str">
        <f t="shared" si="13"/>
        <v>Error?</v>
      </c>
    </row>
    <row r="909" spans="1:4" x14ac:dyDescent="0.2">
      <c r="A909" s="5">
        <v>848</v>
      </c>
      <c r="B909" s="138">
        <f>'Expenditures 15-22'!F55</f>
        <v>1232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1232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245</v>
      </c>
      <c r="D913" s="2" t="str">
        <f t="shared" si="13"/>
        <v>Error?</v>
      </c>
    </row>
    <row r="914" spans="1:4" x14ac:dyDescent="0.2">
      <c r="A914" s="5">
        <v>853</v>
      </c>
      <c r="B914" s="138">
        <f>'Expenditures 15-22'!F61</f>
        <v>1129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140497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141871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154221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254263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5896</v>
      </c>
      <c r="D960" s="2" t="str">
        <f t="shared" si="14"/>
        <v>Error?</v>
      </c>
    </row>
    <row r="961" spans="1:4" x14ac:dyDescent="0.2">
      <c r="A961" s="5">
        <v>900</v>
      </c>
      <c r="B961" s="138">
        <f>'Expenditures 15-22'!G45</f>
        <v>10000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15896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8434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8434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24330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24330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14850</v>
      </c>
      <c r="D1022" s="2" t="str">
        <f t="shared" si="14"/>
        <v>Error?</v>
      </c>
    </row>
    <row r="1023" spans="1:4" x14ac:dyDescent="0.2">
      <c r="A1023" s="5">
        <v>962</v>
      </c>
      <c r="B1023" s="138">
        <f>'Expenditures 15-22'!H50</f>
        <v>8452</v>
      </c>
      <c r="D1023" s="2" t="str">
        <f t="shared" ref="D1023:D1086" si="15">IF(ISBLANK(B1023),"OK",IF(A1023-B1023=0,"OK","Error?"))</f>
        <v>Error?</v>
      </c>
    </row>
    <row r="1024" spans="1:4" x14ac:dyDescent="0.2">
      <c r="A1024" s="5">
        <v>963</v>
      </c>
      <c r="B1024" s="138">
        <f>'Expenditures 15-22'!H53</f>
        <v>23302</v>
      </c>
      <c r="C1024" s="2" t="s">
        <v>594</v>
      </c>
      <c r="D1024" s="2" t="str">
        <f t="shared" si="15"/>
        <v>Error?</v>
      </c>
    </row>
    <row r="1025" spans="1:4" x14ac:dyDescent="0.2">
      <c r="A1025" s="5">
        <v>964</v>
      </c>
      <c r="B1025" s="138">
        <f>'Expenditures 15-22'!H55</f>
        <v>1057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1057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25309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425419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456735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1591142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36122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1682910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112188</v>
      </c>
      <c r="C1110" s="2" t="s">
        <v>594</v>
      </c>
      <c r="D1110" s="2" t="str">
        <f t="shared" si="16"/>
        <v>Error?</v>
      </c>
    </row>
    <row r="1111" spans="1:4" x14ac:dyDescent="0.2">
      <c r="A1111" s="5">
        <v>1050</v>
      </c>
      <c r="B1111" s="138">
        <f>'Expenditures 15-22'!K38</f>
        <v>29850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5547</v>
      </c>
      <c r="C1114" s="2" t="s">
        <v>594</v>
      </c>
      <c r="D1114" s="2" t="str">
        <f t="shared" si="16"/>
        <v>Error?</v>
      </c>
    </row>
    <row r="1115" spans="1:4" x14ac:dyDescent="0.2">
      <c r="A1115" s="5">
        <v>1054</v>
      </c>
      <c r="B1115" s="138">
        <f>'Expenditures 15-22'!K42</f>
        <v>147585</v>
      </c>
      <c r="C1115" s="2" t="s">
        <v>594</v>
      </c>
      <c r="D1115" s="2" t="str">
        <f t="shared" si="16"/>
        <v>Error?</v>
      </c>
    </row>
    <row r="1116" spans="1:4" x14ac:dyDescent="0.2">
      <c r="A1116" s="5">
        <v>1055</v>
      </c>
      <c r="B1116" s="138">
        <f>'Expenditures 15-22'!K44</f>
        <v>23862</v>
      </c>
      <c r="C1116" s="2" t="s">
        <v>594</v>
      </c>
      <c r="D1116" s="2" t="str">
        <f t="shared" si="16"/>
        <v>Error?</v>
      </c>
    </row>
    <row r="1117" spans="1:4" x14ac:dyDescent="0.2">
      <c r="A1117" s="5">
        <v>1056</v>
      </c>
      <c r="B1117" s="138">
        <f>'Expenditures 15-22'!K45</f>
        <v>73040</v>
      </c>
      <c r="C1117" s="2" t="s">
        <v>594</v>
      </c>
      <c r="D1117" s="2" t="str">
        <f t="shared" si="16"/>
        <v>Error?</v>
      </c>
    </row>
    <row r="1118" spans="1:4" x14ac:dyDescent="0.2">
      <c r="A1118" s="5">
        <v>1057</v>
      </c>
      <c r="B1118" s="138">
        <f>'Expenditures 15-22'!K46</f>
        <v>3405</v>
      </c>
      <c r="C1118" s="2" t="s">
        <v>594</v>
      </c>
      <c r="D1118" s="2" t="str">
        <f t="shared" si="16"/>
        <v>Error?</v>
      </c>
    </row>
    <row r="1119" spans="1:4" x14ac:dyDescent="0.2">
      <c r="A1119" s="5">
        <v>1058</v>
      </c>
      <c r="B1119" s="138">
        <f>'Expenditures 15-22'!K47</f>
        <v>100307</v>
      </c>
      <c r="C1119" s="2" t="s">
        <v>594</v>
      </c>
      <c r="D1119" s="2" t="str">
        <f t="shared" si="16"/>
        <v>Error?</v>
      </c>
    </row>
    <row r="1120" spans="1:4" x14ac:dyDescent="0.2">
      <c r="A1120" s="5">
        <v>1059</v>
      </c>
      <c r="B1120" s="138">
        <f>'Expenditures 15-22'!K49</f>
        <v>30951</v>
      </c>
      <c r="C1120" s="2" t="s">
        <v>594</v>
      </c>
      <c r="D1120" s="2" t="str">
        <f t="shared" si="16"/>
        <v>Error?</v>
      </c>
    </row>
    <row r="1121" spans="1:4" x14ac:dyDescent="0.2">
      <c r="A1121" s="5">
        <v>1060</v>
      </c>
      <c r="B1121" s="138">
        <f>'Expenditures 15-22'!K50</f>
        <v>233870</v>
      </c>
      <c r="C1121" s="2" t="s">
        <v>594</v>
      </c>
      <c r="D1121" s="2" t="str">
        <f t="shared" si="16"/>
        <v>Error?</v>
      </c>
    </row>
    <row r="1122" spans="1:4" x14ac:dyDescent="0.2">
      <c r="A1122" s="5">
        <v>1061</v>
      </c>
      <c r="B1122" s="138">
        <f>'Expenditures 15-22'!K53</f>
        <v>264821</v>
      </c>
      <c r="C1122" s="2" t="s">
        <v>594</v>
      </c>
      <c r="D1122" s="2" t="str">
        <f t="shared" si="16"/>
        <v>Error?</v>
      </c>
    </row>
    <row r="1123" spans="1:4" x14ac:dyDescent="0.2">
      <c r="A1123" s="5">
        <v>1062</v>
      </c>
      <c r="B1123" s="138">
        <f>'Expenditures 15-22'!K55</f>
        <v>145885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145885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53193</v>
      </c>
      <c r="C1127" s="2" t="s">
        <v>594</v>
      </c>
      <c r="D1127" s="2" t="str">
        <f t="shared" si="16"/>
        <v>Error?</v>
      </c>
    </row>
    <row r="1128" spans="1:4" x14ac:dyDescent="0.2">
      <c r="A1128" s="5">
        <v>1067</v>
      </c>
      <c r="B1128" s="138">
        <f>'Expenditures 15-22'!K61</f>
        <v>303605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199835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556633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1215231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503163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3401304</v>
      </c>
      <c r="C1152" s="2" t="s">
        <v>594</v>
      </c>
      <c r="D1152" s="2" t="str">
        <f t="shared" si="17"/>
        <v>Error?</v>
      </c>
    </row>
    <row r="1153" spans="1:4" x14ac:dyDescent="0.2">
      <c r="A1153" s="5">
        <v>1092</v>
      </c>
      <c r="B1153" s="138">
        <f>'Expenditures 15-22'!K115</f>
        <v>243960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46607</v>
      </c>
      <c r="D1237" s="2" t="str">
        <f t="shared" si="18"/>
        <v>Error?</v>
      </c>
    </row>
    <row r="1238" spans="1:4" x14ac:dyDescent="0.2">
      <c r="A1238" s="10">
        <v>1177</v>
      </c>
      <c r="D1238" s="2" t="str">
        <f t="shared" si="18"/>
        <v>OK</v>
      </c>
    </row>
    <row r="1239" spans="1:4" x14ac:dyDescent="0.2">
      <c r="A1239" s="5">
        <v>1178</v>
      </c>
      <c r="B1239" s="138">
        <f>'Expenditures 15-22'!E127</f>
        <v>46607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46607</v>
      </c>
      <c r="C1241" s="2" t="s">
        <v>594</v>
      </c>
      <c r="D1241" s="2" t="str">
        <f t="shared" si="18"/>
        <v>Error?</v>
      </c>
    </row>
    <row r="1242" spans="1:4" x14ac:dyDescent="0.2">
      <c r="A1242" s="5">
        <v>1181</v>
      </c>
      <c r="B1242" s="138">
        <f>'Expenditures 15-22'!E151</f>
        <v>46827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172163</v>
      </c>
      <c r="D1245" s="2" t="str">
        <f t="shared" si="18"/>
        <v>Error?</v>
      </c>
    </row>
    <row r="1246" spans="1:4" x14ac:dyDescent="0.2">
      <c r="A1246" s="10">
        <v>1185</v>
      </c>
      <c r="D1246" s="2" t="str">
        <f t="shared" si="18"/>
        <v>OK</v>
      </c>
    </row>
    <row r="1247" spans="1:4" x14ac:dyDescent="0.2">
      <c r="A1247" s="5">
        <v>1186</v>
      </c>
      <c r="B1247" s="138">
        <f>'Expenditures 15-22'!F127</f>
        <v>172163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172163</v>
      </c>
      <c r="C1249" s="2" t="s">
        <v>594</v>
      </c>
      <c r="D1249" s="2" t="str">
        <f t="shared" si="18"/>
        <v>Error?</v>
      </c>
    </row>
    <row r="1250" spans="1:4" x14ac:dyDescent="0.2">
      <c r="A1250" s="5">
        <v>1189</v>
      </c>
      <c r="B1250" s="138">
        <f>'Expenditures 15-22'!F151</f>
        <v>172163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14815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14815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14815</v>
      </c>
      <c r="C1258" s="2" t="s">
        <v>594</v>
      </c>
      <c r="D1258" s="2" t="str">
        <f t="shared" si="18"/>
        <v>Error?</v>
      </c>
    </row>
    <row r="1259" spans="1:4" x14ac:dyDescent="0.2">
      <c r="A1259" s="5">
        <v>1198</v>
      </c>
      <c r="B1259" s="138">
        <f>'Expenditures 15-22'!G151</f>
        <v>14815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233585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233585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233585</v>
      </c>
      <c r="C1281" s="2" t="s">
        <v>594</v>
      </c>
      <c r="D1281" s="2" t="str">
        <f t="shared" si="19"/>
        <v>Error?</v>
      </c>
    </row>
    <row r="1282" spans="1:4" x14ac:dyDescent="0.2">
      <c r="A1282" s="5">
        <v>1221</v>
      </c>
      <c r="B1282" s="138">
        <f>'Expenditures 15-22'!K139</f>
        <v>220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233805</v>
      </c>
      <c r="C1288" s="2" t="s">
        <v>594</v>
      </c>
      <c r="D1288" s="2" t="str">
        <f t="shared" si="19"/>
        <v>Error?</v>
      </c>
    </row>
    <row r="1289" spans="1:4" x14ac:dyDescent="0.2">
      <c r="A1289" s="5">
        <v>1228</v>
      </c>
      <c r="B1289" s="138">
        <f>'Expenditures 15-22'!K152</f>
        <v>-38962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56656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281755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338411</v>
      </c>
      <c r="C1317" s="2" t="s">
        <v>594</v>
      </c>
      <c r="D1317" s="2" t="str">
        <f t="shared" si="19"/>
        <v>Error?</v>
      </c>
    </row>
    <row r="1318" spans="1:4" x14ac:dyDescent="0.2">
      <c r="A1318" s="5">
        <v>1257</v>
      </c>
      <c r="B1318" s="138">
        <f>'Expenditures 15-22'!H174</f>
        <v>338411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56656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281755</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338411</v>
      </c>
      <c r="C1331" s="2" t="s">
        <v>594</v>
      </c>
      <c r="D1331" s="2" t="str">
        <f t="shared" si="19"/>
        <v>Error?</v>
      </c>
    </row>
    <row r="1332" spans="1:4" x14ac:dyDescent="0.2">
      <c r="A1332" s="5">
        <v>1271</v>
      </c>
      <c r="B1332" s="138">
        <f>'Expenditures 15-22'!K174</f>
        <v>338411</v>
      </c>
      <c r="C1332" s="2" t="s">
        <v>594</v>
      </c>
      <c r="D1332" s="2" t="str">
        <f t="shared" si="19"/>
        <v>Error?</v>
      </c>
    </row>
    <row r="1333" spans="1:4" x14ac:dyDescent="0.2">
      <c r="A1333" s="5">
        <v>1272</v>
      </c>
      <c r="B1333" s="138">
        <f>'Expenditures 15-22'!K175</f>
        <v>63040</v>
      </c>
      <c r="C1333" s="2" t="s">
        <v>594</v>
      </c>
      <c r="D1333" s="2" t="str">
        <f t="shared" si="19"/>
        <v>Error?</v>
      </c>
    </row>
    <row r="1334" spans="1:4" x14ac:dyDescent="0.2">
      <c r="A1334" s="10">
        <v>1273</v>
      </c>
      <c r="D1334" s="2" t="str">
        <f t="shared" si="19"/>
        <v>OK</v>
      </c>
    </row>
    <row r="1335" spans="1:4" x14ac:dyDescent="0.2">
      <c r="A1335" s="5">
        <v>1274</v>
      </c>
      <c r="B1335" s="138">
        <f>'Expenditures 15-22'!C182</f>
        <v>109535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109535</v>
      </c>
      <c r="C1339" s="2" t="s">
        <v>594</v>
      </c>
      <c r="D1339" s="2" t="str">
        <f t="shared" si="19"/>
        <v>Error?</v>
      </c>
    </row>
    <row r="1340" spans="1:4" x14ac:dyDescent="0.2">
      <c r="A1340" s="5">
        <v>1279</v>
      </c>
      <c r="B1340" s="138">
        <f>'Expenditures 15-22'!C210</f>
        <v>109535</v>
      </c>
      <c r="C1340" s="2" t="s">
        <v>594</v>
      </c>
      <c r="D1340" s="2" t="str">
        <f t="shared" si="19"/>
        <v>Error?</v>
      </c>
    </row>
    <row r="1341" spans="1:4" x14ac:dyDescent="0.2">
      <c r="A1341" s="5">
        <v>1280</v>
      </c>
      <c r="B1341" s="138">
        <f>'Expenditures 15-22'!D182</f>
        <v>43768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43768</v>
      </c>
      <c r="C1345" s="2" t="s">
        <v>594</v>
      </c>
      <c r="D1345" s="2" t="str">
        <f t="shared" si="20"/>
        <v>Error?</v>
      </c>
    </row>
    <row r="1346" spans="1:4" x14ac:dyDescent="0.2">
      <c r="A1346" s="5">
        <v>1285</v>
      </c>
      <c r="B1346" s="138">
        <f>'Expenditures 15-22'!D210</f>
        <v>43768</v>
      </c>
      <c r="C1346" s="2" t="s">
        <v>594</v>
      </c>
      <c r="D1346" s="2" t="str">
        <f t="shared" si="20"/>
        <v>Error?</v>
      </c>
    </row>
    <row r="1347" spans="1:4" x14ac:dyDescent="0.2">
      <c r="A1347" s="5">
        <v>1286</v>
      </c>
      <c r="B1347" s="138">
        <f>'Expenditures 15-22'!E182</f>
        <v>24175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24175</v>
      </c>
      <c r="C1351" s="2" t="s">
        <v>594</v>
      </c>
      <c r="D1351" s="2" t="str">
        <f t="shared" si="20"/>
        <v>Error?</v>
      </c>
    </row>
    <row r="1352" spans="1:4" x14ac:dyDescent="0.2">
      <c r="A1352" s="5">
        <v>1291</v>
      </c>
      <c r="B1352" s="138">
        <f>'Expenditures 15-22'!E196</f>
        <v>20362</v>
      </c>
      <c r="C1352" s="2" t="s">
        <v>594</v>
      </c>
      <c r="D1352" s="2" t="str">
        <f t="shared" si="20"/>
        <v>Error?</v>
      </c>
    </row>
    <row r="1353" spans="1:4" x14ac:dyDescent="0.2">
      <c r="A1353" s="5">
        <v>1292</v>
      </c>
      <c r="B1353" s="138">
        <f>'Expenditures 15-22'!E210</f>
        <v>44537</v>
      </c>
      <c r="C1353" s="2" t="s">
        <v>594</v>
      </c>
      <c r="D1353" s="2" t="str">
        <f t="shared" si="20"/>
        <v>Error?</v>
      </c>
    </row>
    <row r="1354" spans="1:4" x14ac:dyDescent="0.2">
      <c r="A1354" s="5">
        <v>1293</v>
      </c>
      <c r="B1354" s="138">
        <f>'Expenditures 15-22'!F182</f>
        <v>29917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29917</v>
      </c>
      <c r="C1358" s="2" t="s">
        <v>594</v>
      </c>
      <c r="D1358" s="2" t="str">
        <f t="shared" si="20"/>
        <v>Error?</v>
      </c>
    </row>
    <row r="1359" spans="1:4" x14ac:dyDescent="0.2">
      <c r="A1359" s="5">
        <v>1298</v>
      </c>
      <c r="B1359" s="138">
        <f>'Expenditures 15-22'!F210</f>
        <v>29917</v>
      </c>
      <c r="C1359" s="2" t="s">
        <v>594</v>
      </c>
      <c r="D1359" s="2" t="str">
        <f t="shared" si="20"/>
        <v>Error?</v>
      </c>
    </row>
    <row r="1360" spans="1:4" x14ac:dyDescent="0.2">
      <c r="A1360" s="5">
        <v>1299</v>
      </c>
      <c r="B1360" s="138">
        <f>'Expenditures 15-22'!G182</f>
        <v>2500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2500</v>
      </c>
      <c r="C1364" s="2" t="s">
        <v>594</v>
      </c>
      <c r="D1364" s="2" t="str">
        <f t="shared" si="20"/>
        <v>Error?</v>
      </c>
    </row>
    <row r="1365" spans="1:4" x14ac:dyDescent="0.2">
      <c r="A1365" s="5">
        <v>1304</v>
      </c>
      <c r="B1365" s="138">
        <f>'Expenditures 15-22'!G210</f>
        <v>2500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209895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209895</v>
      </c>
      <c r="C1381" s="2" t="s">
        <v>594</v>
      </c>
      <c r="D1381" s="2" t="str">
        <f t="shared" si="20"/>
        <v>Error?</v>
      </c>
    </row>
    <row r="1382" spans="1:4" x14ac:dyDescent="0.2">
      <c r="A1382" s="5">
        <v>1321</v>
      </c>
      <c r="B1382" s="138">
        <f>'Expenditures 15-22'!K196</f>
        <v>20362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230257</v>
      </c>
      <c r="C1388" s="2" t="s">
        <v>594</v>
      </c>
      <c r="D1388" s="2" t="str">
        <f t="shared" si="20"/>
        <v>Error?</v>
      </c>
    </row>
    <row r="1389" spans="1:4" x14ac:dyDescent="0.2">
      <c r="A1389" s="5">
        <v>1328</v>
      </c>
      <c r="B1389" s="138">
        <f>'Expenditures 15-22'!K211</f>
        <v>58018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26317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1318</v>
      </c>
      <c r="D1412" s="2" t="str">
        <f t="shared" si="21"/>
        <v>Error?</v>
      </c>
    </row>
    <row r="1413" spans="1:4" x14ac:dyDescent="0.2">
      <c r="A1413" s="5">
        <v>1352</v>
      </c>
      <c r="B1413" s="138">
        <f>'Expenditures 15-22'!D234</f>
        <v>6141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422</v>
      </c>
      <c r="D1416" s="2" t="str">
        <f t="shared" si="21"/>
        <v>Error?</v>
      </c>
    </row>
    <row r="1417" spans="1:4" x14ac:dyDescent="0.2">
      <c r="A1417" s="5">
        <v>1356</v>
      </c>
      <c r="B1417" s="138">
        <f>'Expenditures 15-22'!D238</f>
        <v>7881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654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7624</v>
      </c>
      <c r="D1423" s="2" t="str">
        <f t="shared" si="21"/>
        <v>Error?</v>
      </c>
    </row>
    <row r="1424" spans="1:4" x14ac:dyDescent="0.2">
      <c r="A1424" s="5">
        <v>1363</v>
      </c>
      <c r="B1424" s="138">
        <f>'Expenditures 15-22'!D257</f>
        <v>7624</v>
      </c>
      <c r="C1424" s="2" t="s">
        <v>594</v>
      </c>
      <c r="D1424" s="2" t="str">
        <f t="shared" si="21"/>
        <v>Error?</v>
      </c>
    </row>
    <row r="1425" spans="1:4" x14ac:dyDescent="0.2">
      <c r="A1425" s="5">
        <v>1364</v>
      </c>
      <c r="B1425" s="138">
        <f>'Expenditures 15-22'!D259</f>
        <v>6952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6952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37176</v>
      </c>
      <c r="D1431" s="2" t="str">
        <f t="shared" si="21"/>
        <v>Error?</v>
      </c>
    </row>
    <row r="1432" spans="1:4" x14ac:dyDescent="0.2">
      <c r="A1432" s="5">
        <v>1371</v>
      </c>
      <c r="B1432" s="138">
        <f>'Expenditures 15-22'!D267</f>
        <v>12917</v>
      </c>
      <c r="D1432" s="2" t="str">
        <f t="shared" si="21"/>
        <v>Error?</v>
      </c>
    </row>
    <row r="1433" spans="1:4" x14ac:dyDescent="0.2">
      <c r="A1433" s="5">
        <v>1372</v>
      </c>
      <c r="B1433" s="138">
        <f>'Expenditures 15-22'!D268</f>
        <v>10885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68746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91857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118174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26317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1318</v>
      </c>
      <c r="C1476" s="2" t="s">
        <v>594</v>
      </c>
      <c r="D1476" s="2" t="str">
        <f t="shared" si="22"/>
        <v>Error?</v>
      </c>
    </row>
    <row r="1477" spans="1:4" x14ac:dyDescent="0.2">
      <c r="A1477" s="5">
        <v>1416</v>
      </c>
      <c r="B1477" s="138">
        <f>'Expenditures 15-22'!K234</f>
        <v>6141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422</v>
      </c>
      <c r="C1480" s="2" t="s">
        <v>594</v>
      </c>
      <c r="D1480" s="2" t="str">
        <f t="shared" si="22"/>
        <v>Error?</v>
      </c>
    </row>
    <row r="1481" spans="1:4" x14ac:dyDescent="0.2">
      <c r="A1481" s="5">
        <v>1420</v>
      </c>
      <c r="B1481" s="138">
        <f>'Expenditures 15-22'!K238</f>
        <v>7881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654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7624</v>
      </c>
      <c r="C1487" s="2" t="s">
        <v>594</v>
      </c>
      <c r="D1487" s="2" t="str">
        <f t="shared" si="22"/>
        <v>Error?</v>
      </c>
    </row>
    <row r="1488" spans="1:4" x14ac:dyDescent="0.2">
      <c r="A1488" s="5">
        <v>1427</v>
      </c>
      <c r="B1488" s="138">
        <f>'Expenditures 15-22'!K257</f>
        <v>7624</v>
      </c>
      <c r="C1488" s="2" t="s">
        <v>594</v>
      </c>
      <c r="D1488" s="2" t="str">
        <f t="shared" si="22"/>
        <v>Error?</v>
      </c>
    </row>
    <row r="1489" spans="1:4" x14ac:dyDescent="0.2">
      <c r="A1489" s="5">
        <v>1428</v>
      </c>
      <c r="B1489" s="138">
        <f>'Expenditures 15-22'!K259</f>
        <v>6952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6952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7768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37176</v>
      </c>
      <c r="C1495" s="2" t="s">
        <v>594</v>
      </c>
      <c r="D1495" s="2" t="str">
        <f t="shared" si="22"/>
        <v>Error?</v>
      </c>
    </row>
    <row r="1496" spans="1:4" x14ac:dyDescent="0.2">
      <c r="A1496" s="5">
        <v>1435</v>
      </c>
      <c r="B1496" s="138">
        <f>'Expenditures 15-22'!K267</f>
        <v>12917</v>
      </c>
      <c r="C1496" s="2" t="s">
        <v>594</v>
      </c>
      <c r="D1496" s="2" t="str">
        <f t="shared" si="22"/>
        <v>Error?</v>
      </c>
    </row>
    <row r="1497" spans="1:4" x14ac:dyDescent="0.2">
      <c r="A1497" s="5">
        <v>1436</v>
      </c>
      <c r="B1497" s="138">
        <f>'Expenditures 15-22'!K268</f>
        <v>10885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68746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91857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118174</v>
      </c>
      <c r="C1517" s="2" t="s">
        <v>594</v>
      </c>
      <c r="D1517" s="2" t="str">
        <f t="shared" si="22"/>
        <v>Error?</v>
      </c>
    </row>
    <row r="1518" spans="1:4" x14ac:dyDescent="0.2">
      <c r="A1518" s="5">
        <v>1457</v>
      </c>
      <c r="B1518" s="138">
        <f>'Expenditures 15-22'!K296</f>
        <v>11048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27137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27137</v>
      </c>
      <c r="C1547" s="2" t="s">
        <v>594</v>
      </c>
      <c r="D1547" s="2" t="str">
        <f t="shared" si="23"/>
        <v>Error?</v>
      </c>
    </row>
    <row r="1548" spans="1:4" x14ac:dyDescent="0.2">
      <c r="A1548" s="5">
        <v>1487</v>
      </c>
      <c r="B1548" s="138">
        <f>'Expenditures 15-22'!G312</f>
        <v>27137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27137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27137</v>
      </c>
      <c r="C1559" s="2" t="s">
        <v>594</v>
      </c>
      <c r="D1559" s="2" t="str">
        <f t="shared" si="23"/>
        <v>Error?</v>
      </c>
    </row>
    <row r="1560" spans="1:4" x14ac:dyDescent="0.2">
      <c r="A1560" s="5">
        <v>1499</v>
      </c>
      <c r="B1560" s="138">
        <f>'Expenditures 15-22'!K312</f>
        <v>27137</v>
      </c>
      <c r="C1560" s="2" t="s">
        <v>594</v>
      </c>
      <c r="D1560" s="2" t="str">
        <f t="shared" si="23"/>
        <v>Error?</v>
      </c>
    </row>
    <row r="1561" spans="1:4" x14ac:dyDescent="0.2">
      <c r="A1561" s="5">
        <v>1500</v>
      </c>
      <c r="B1561" s="138">
        <f>'Expenditures 15-22'!K313</f>
        <v>-26892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214917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441700</v>
      </c>
      <c r="C1630" s="2" t="s">
        <v>594</v>
      </c>
      <c r="D1630" s="2" t="str">
        <f t="shared" si="24"/>
        <v>Error?</v>
      </c>
    </row>
    <row r="1631" spans="1:4" x14ac:dyDescent="0.2">
      <c r="A1631" s="5">
        <v>1570</v>
      </c>
      <c r="B1631" s="138">
        <f>'Acct Summary 7-8'!D79</f>
        <v>46798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7836</v>
      </c>
      <c r="C1644" s="2" t="s">
        <v>594</v>
      </c>
      <c r="D1644" s="2" t="str">
        <f t="shared" si="24"/>
        <v>Error?</v>
      </c>
    </row>
    <row r="1645" spans="1:4" x14ac:dyDescent="0.2">
      <c r="A1645" s="5">
        <v>1584</v>
      </c>
      <c r="B1645" s="138">
        <f>'Acct Summary 7-8'!E79</f>
        <v>204512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284729</v>
      </c>
      <c r="C1658" s="2" t="s">
        <v>594</v>
      </c>
      <c r="D1658" s="2" t="str">
        <f t="shared" si="24"/>
        <v>Error?</v>
      </c>
    </row>
    <row r="1659" spans="1:4" x14ac:dyDescent="0.2">
      <c r="A1659" s="5">
        <v>1598</v>
      </c>
      <c r="B1659" s="138">
        <f>'Acct Summary 7-8'!F79</f>
        <v>32072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90090</v>
      </c>
      <c r="C1672" s="2" t="s">
        <v>594</v>
      </c>
      <c r="D1672" s="2" t="str">
        <f t="shared" si="25"/>
        <v>Error?</v>
      </c>
    </row>
    <row r="1673" spans="1:4" x14ac:dyDescent="0.2">
      <c r="A1673" s="5">
        <v>1612</v>
      </c>
      <c r="B1673" s="138">
        <f>'Acct Summary 7-8'!G79</f>
        <v>27115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38163</v>
      </c>
      <c r="C1686" s="2" t="s">
        <v>594</v>
      </c>
      <c r="D1686" s="2" t="str">
        <f t="shared" si="25"/>
        <v>Error?</v>
      </c>
    </row>
    <row r="1687" spans="1:4" x14ac:dyDescent="0.2">
      <c r="A1687" s="5">
        <v>1626</v>
      </c>
      <c r="B1687" s="138">
        <f>'Acct Summary 7-8'!H79</f>
        <v>63610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36718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836531</v>
      </c>
      <c r="C1744" s="2" t="s">
        <v>594</v>
      </c>
      <c r="D1744" s="2" t="str">
        <f t="shared" si="26"/>
        <v>Error?</v>
      </c>
    </row>
    <row r="1745" spans="1:5" x14ac:dyDescent="0.2">
      <c r="A1745" s="5">
        <v>1684</v>
      </c>
      <c r="B1745" s="138">
        <f>'Tax Sched 23'!B5</f>
        <v>157475</v>
      </c>
      <c r="C1745" s="2" t="s">
        <v>594</v>
      </c>
      <c r="D1745" s="2" t="str">
        <f t="shared" si="26"/>
        <v>Error?</v>
      </c>
    </row>
    <row r="1746" spans="1:5" x14ac:dyDescent="0.2">
      <c r="A1746" s="5">
        <v>1685</v>
      </c>
      <c r="B1746" s="138">
        <f>'Tax Sched 23'!B6</f>
        <v>52807</v>
      </c>
      <c r="C1746" s="2" t="s">
        <v>594</v>
      </c>
      <c r="D1746" s="2" t="str">
        <f t="shared" si="26"/>
        <v>Error?</v>
      </c>
    </row>
    <row r="1747" spans="1:5" x14ac:dyDescent="0.2">
      <c r="A1747" s="5">
        <v>1686</v>
      </c>
      <c r="B1747" s="138">
        <f>'Tax Sched 23'!B7</f>
        <v>62638</v>
      </c>
      <c r="C1747" s="2" t="s">
        <v>594</v>
      </c>
      <c r="D1747" s="2" t="str">
        <f t="shared" si="26"/>
        <v>Error?</v>
      </c>
    </row>
    <row r="1748" spans="1:5" x14ac:dyDescent="0.2">
      <c r="A1748" s="5">
        <v>1687</v>
      </c>
      <c r="B1748" s="138">
        <f>'Tax Sched 23'!B8</f>
        <v>46595</v>
      </c>
      <c r="C1748" s="2" t="s">
        <v>594</v>
      </c>
      <c r="D1748" s="2" t="str">
        <f t="shared" si="26"/>
        <v>Error?</v>
      </c>
    </row>
    <row r="1749" spans="1:5" x14ac:dyDescent="0.2">
      <c r="A1749" s="5">
        <v>1688</v>
      </c>
      <c r="B1749" s="138">
        <f>'Tax Sched 23'!B10</f>
        <v>14945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87788</v>
      </c>
      <c r="C1752" s="2" t="s">
        <v>594</v>
      </c>
      <c r="D1752" s="2" t="str">
        <f t="shared" si="26"/>
        <v>Error?</v>
      </c>
    </row>
    <row r="1753" spans="1:5" x14ac:dyDescent="0.2">
      <c r="A1753" s="5">
        <v>1692</v>
      </c>
      <c r="B1753" s="138">
        <f>'Tax Sched 23'!B12</f>
        <v>15681</v>
      </c>
      <c r="C1753" s="2" t="s">
        <v>594</v>
      </c>
      <c r="D1753" s="2" t="str">
        <f t="shared" si="26"/>
        <v>Error?</v>
      </c>
    </row>
    <row r="1754" spans="1:5" x14ac:dyDescent="0.2">
      <c r="A1754" s="5">
        <v>1693</v>
      </c>
      <c r="B1754" s="138">
        <f>'Tax Sched 23'!B14</f>
        <v>12581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1333636</v>
      </c>
      <c r="C1759" s="2" t="s">
        <v>594</v>
      </c>
      <c r="D1759" s="2" t="str">
        <f t="shared" si="26"/>
        <v>Error?</v>
      </c>
    </row>
    <row r="1760" spans="1:5" x14ac:dyDescent="0.2">
      <c r="A1760" s="5">
        <v>1699</v>
      </c>
      <c r="B1760" s="138">
        <f>'Tax Sched 23'!D4</f>
        <v>836531</v>
      </c>
      <c r="C1760" s="2" t="s">
        <v>594</v>
      </c>
      <c r="D1760" s="2" t="str">
        <f t="shared" si="26"/>
        <v>Error?</v>
      </c>
    </row>
    <row r="1761" spans="1:5" x14ac:dyDescent="0.2">
      <c r="A1761" s="5">
        <v>1700</v>
      </c>
      <c r="B1761" s="138">
        <f>'Tax Sched 23'!D5</f>
        <v>157475</v>
      </c>
      <c r="C1761" s="2" t="s">
        <v>594</v>
      </c>
      <c r="D1761" s="2" t="str">
        <f t="shared" si="26"/>
        <v>Error?</v>
      </c>
    </row>
    <row r="1762" spans="1:5" s="8" customFormat="1" x14ac:dyDescent="0.2">
      <c r="A1762" s="5">
        <v>1701</v>
      </c>
      <c r="B1762" s="138">
        <f>'Tax Sched 23'!D6</f>
        <v>52807</v>
      </c>
      <c r="C1762" s="2" t="s">
        <v>594</v>
      </c>
      <c r="D1762" s="2" t="str">
        <f t="shared" si="26"/>
        <v>Error?</v>
      </c>
      <c r="E1762" s="9"/>
    </row>
    <row r="1763" spans="1:5" x14ac:dyDescent="0.2">
      <c r="A1763" s="5">
        <v>1702</v>
      </c>
      <c r="B1763" s="138">
        <f>'Tax Sched 23'!D7</f>
        <v>62638</v>
      </c>
      <c r="C1763" s="2" t="s">
        <v>594</v>
      </c>
      <c r="D1763" s="2" t="str">
        <f t="shared" si="26"/>
        <v>Error?</v>
      </c>
    </row>
    <row r="1764" spans="1:5" x14ac:dyDescent="0.2">
      <c r="A1764" s="5">
        <v>1703</v>
      </c>
      <c r="B1764" s="138">
        <f>'Tax Sched 23'!D8</f>
        <v>46595</v>
      </c>
      <c r="C1764" s="2" t="s">
        <v>594</v>
      </c>
      <c r="D1764" s="2" t="str">
        <f t="shared" si="26"/>
        <v>Error?</v>
      </c>
    </row>
    <row r="1765" spans="1:5" x14ac:dyDescent="0.2">
      <c r="A1765" s="5">
        <v>1704</v>
      </c>
      <c r="B1765" s="138">
        <f>'Tax Sched 23'!D10</f>
        <v>14945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87788</v>
      </c>
      <c r="C1768" s="2" t="s">
        <v>594</v>
      </c>
      <c r="D1768" s="2" t="str">
        <f t="shared" si="26"/>
        <v>Error?</v>
      </c>
    </row>
    <row r="1769" spans="1:5" x14ac:dyDescent="0.2">
      <c r="A1769" s="5">
        <v>1708</v>
      </c>
      <c r="B1769" s="138">
        <f>'Tax Sched 23'!D12</f>
        <v>15681</v>
      </c>
      <c r="C1769" s="2" t="s">
        <v>594</v>
      </c>
      <c r="D1769" s="2" t="str">
        <f t="shared" si="26"/>
        <v>Error?</v>
      </c>
    </row>
    <row r="1770" spans="1:5" x14ac:dyDescent="0.2">
      <c r="A1770" s="5">
        <v>1709</v>
      </c>
      <c r="B1770" s="138">
        <f>'Tax Sched 23'!D14</f>
        <v>12581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1333636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2170258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12581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12581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12581</v>
      </c>
      <c r="D1980" s="2" t="str">
        <f t="shared" si="29"/>
        <v>Error?</v>
      </c>
    </row>
    <row r="1981" spans="1:5" x14ac:dyDescent="0.2">
      <c r="A1981" s="10">
        <v>1920</v>
      </c>
      <c r="D1981" s="2" t="str">
        <f t="shared" si="29"/>
        <v>OK</v>
      </c>
      <c r="E1981" s="2" t="s">
        <v>137</v>
      </c>
    </row>
    <row r="1982" spans="1:5" x14ac:dyDescent="0.2">
      <c r="A1982" s="5">
        <v>1921</v>
      </c>
      <c r="B1982" s="138">
        <f>'Rest Tax Levies-Tort Im 25'!H23</f>
        <v>12581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129737</v>
      </c>
      <c r="D2008" s="2" t="str">
        <f t="shared" si="30"/>
        <v>Error?</v>
      </c>
    </row>
    <row r="2009" spans="1:4" x14ac:dyDescent="0.2">
      <c r="A2009" s="5">
        <v>1948</v>
      </c>
      <c r="B2009" s="138">
        <f>'Cap Outlay Deprec 26'!C8</f>
        <v>10678879</v>
      </c>
      <c r="D2009" s="2" t="str">
        <f t="shared" si="30"/>
        <v>Error?</v>
      </c>
    </row>
    <row r="2010" spans="1:4" x14ac:dyDescent="0.2">
      <c r="A2010" s="5">
        <v>1949</v>
      </c>
      <c r="B2010" s="138">
        <f>'Cap Outlay Deprec 26'!C10</f>
        <v>260228</v>
      </c>
      <c r="D2010" s="2" t="str">
        <f t="shared" si="30"/>
        <v>Error?</v>
      </c>
    </row>
    <row r="2011" spans="1:4" x14ac:dyDescent="0.2">
      <c r="A2011" s="5">
        <v>1950</v>
      </c>
      <c r="B2011" s="138">
        <f>'Cap Outlay Deprec 26'!C12</f>
        <v>385607</v>
      </c>
      <c r="D2011" s="2" t="str">
        <f t="shared" si="30"/>
        <v>Error?</v>
      </c>
    </row>
    <row r="2012" spans="1:4" x14ac:dyDescent="0.2">
      <c r="A2012" s="5">
        <v>1951</v>
      </c>
      <c r="B2012" s="138">
        <f>'Cap Outlay Deprec 26'!C13</f>
        <v>496620</v>
      </c>
      <c r="D2012" s="2" t="str">
        <f t="shared" si="30"/>
        <v>Error?</v>
      </c>
    </row>
    <row r="2013" spans="1:4" x14ac:dyDescent="0.2">
      <c r="A2013" s="5">
        <v>1952</v>
      </c>
      <c r="B2013" s="138">
        <f>'Cap Outlay Deprec 26'!C16</f>
        <v>11951071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50837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43345</v>
      </c>
      <c r="D2017" s="2" t="str">
        <f t="shared" si="30"/>
        <v>Error?</v>
      </c>
    </row>
    <row r="2018" spans="1:4" x14ac:dyDescent="0.2">
      <c r="A2018" s="5">
        <v>1957</v>
      </c>
      <c r="B2018" s="138">
        <f>'Cap Outlay Deprec 26'!D13</f>
        <v>2500</v>
      </c>
      <c r="D2018" s="2" t="str">
        <f t="shared" si="30"/>
        <v>Error?</v>
      </c>
    </row>
    <row r="2019" spans="1:4" x14ac:dyDescent="0.2">
      <c r="A2019" s="5">
        <v>1958</v>
      </c>
      <c r="B2019" s="138">
        <f>'Cap Outlay Deprec 26'!D16</f>
        <v>96682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129737</v>
      </c>
      <c r="C2026" s="2" t="s">
        <v>594</v>
      </c>
      <c r="D2026" s="2" t="str">
        <f t="shared" si="30"/>
        <v>Error?</v>
      </c>
    </row>
    <row r="2027" spans="1:4" x14ac:dyDescent="0.2">
      <c r="A2027" s="5">
        <v>1966</v>
      </c>
      <c r="B2027" s="138">
        <f>'Cap Outlay Deprec 26'!F8</f>
        <v>10729716</v>
      </c>
      <c r="C2027" s="2" t="s">
        <v>594</v>
      </c>
      <c r="D2027" s="2" t="str">
        <f t="shared" si="30"/>
        <v>Error?</v>
      </c>
    </row>
    <row r="2028" spans="1:4" x14ac:dyDescent="0.2">
      <c r="A2028" s="5">
        <v>1967</v>
      </c>
      <c r="B2028" s="138">
        <f>'Cap Outlay Deprec 26'!F10</f>
        <v>260228</v>
      </c>
      <c r="C2028" s="2" t="s">
        <v>594</v>
      </c>
      <c r="D2028" s="2" t="str">
        <f t="shared" si="30"/>
        <v>Error?</v>
      </c>
    </row>
    <row r="2029" spans="1:4" x14ac:dyDescent="0.2">
      <c r="A2029" s="5">
        <v>1968</v>
      </c>
      <c r="B2029" s="138">
        <f>'Cap Outlay Deprec 26'!F12</f>
        <v>428952</v>
      </c>
      <c r="C2029" s="2" t="s">
        <v>594</v>
      </c>
      <c r="D2029" s="2" t="str">
        <f t="shared" si="30"/>
        <v>Error?</v>
      </c>
    </row>
    <row r="2030" spans="1:4" x14ac:dyDescent="0.2">
      <c r="A2030" s="5">
        <v>1969</v>
      </c>
      <c r="B2030" s="138">
        <f>'Cap Outlay Deprec 26'!F13</f>
        <v>499120</v>
      </c>
      <c r="C2030" s="2" t="s">
        <v>594</v>
      </c>
      <c r="D2030" s="2" t="str">
        <f t="shared" si="30"/>
        <v>Error?</v>
      </c>
    </row>
    <row r="2031" spans="1:4" x14ac:dyDescent="0.2">
      <c r="A2031" s="5">
        <v>1970</v>
      </c>
      <c r="B2031" s="138">
        <f>'Cap Outlay Deprec 26'!F16</f>
        <v>12047753</v>
      </c>
      <c r="C2031" s="2" t="s">
        <v>594</v>
      </c>
      <c r="D2031" s="2" t="str">
        <f t="shared" si="30"/>
        <v>Error?</v>
      </c>
    </row>
    <row r="2032" spans="1:4" x14ac:dyDescent="0.2">
      <c r="A2032" s="10">
        <v>1971</v>
      </c>
      <c r="D2032" s="2" t="str">
        <f t="shared" si="30"/>
        <v>OK</v>
      </c>
    </row>
    <row r="2033" spans="1:4" x14ac:dyDescent="0.2">
      <c r="A2033" s="5">
        <v>1972</v>
      </c>
      <c r="B2033" s="138">
        <f>'Cap Outlay Deprec 26'!H8</f>
        <v>2787787</v>
      </c>
      <c r="D2033" s="2" t="str">
        <f t="shared" si="30"/>
        <v>Error?</v>
      </c>
    </row>
    <row r="2034" spans="1:4" x14ac:dyDescent="0.2">
      <c r="A2034" s="5">
        <v>1973</v>
      </c>
      <c r="B2034" s="138">
        <f>'Cap Outlay Deprec 26'!H10</f>
        <v>53487</v>
      </c>
      <c r="D2034" s="2" t="str">
        <f t="shared" si="30"/>
        <v>Error?</v>
      </c>
    </row>
    <row r="2035" spans="1:4" x14ac:dyDescent="0.2">
      <c r="A2035" s="5">
        <v>1974</v>
      </c>
      <c r="B2035" s="138">
        <f>'Cap Outlay Deprec 26'!H12</f>
        <v>231906</v>
      </c>
      <c r="D2035" s="2" t="str">
        <f t="shared" si="30"/>
        <v>Error?</v>
      </c>
    </row>
    <row r="2036" spans="1:4" x14ac:dyDescent="0.2">
      <c r="A2036" s="5">
        <v>1975</v>
      </c>
      <c r="B2036" s="138">
        <f>'Cap Outlay Deprec 26'!H13</f>
        <v>435291</v>
      </c>
      <c r="D2036" s="2" t="str">
        <f t="shared" si="30"/>
        <v>Error?</v>
      </c>
    </row>
    <row r="2037" spans="1:4" x14ac:dyDescent="0.2">
      <c r="A2037" s="5">
        <v>1976</v>
      </c>
      <c r="B2037" s="138">
        <f>'Cap Outlay Deprec 26'!H16</f>
        <v>3508471</v>
      </c>
      <c r="C2037" s="2" t="s">
        <v>594</v>
      </c>
      <c r="D2037" s="2" t="str">
        <f t="shared" si="30"/>
        <v>Error?</v>
      </c>
    </row>
    <row r="2038" spans="1:4" x14ac:dyDescent="0.2">
      <c r="A2038" s="10">
        <v>1977</v>
      </c>
      <c r="D2038" s="2" t="str">
        <f t="shared" si="30"/>
        <v>OK</v>
      </c>
    </row>
    <row r="2039" spans="1:4" x14ac:dyDescent="0.2">
      <c r="A2039" s="5">
        <v>1978</v>
      </c>
      <c r="B2039" s="138">
        <f>'Cap Outlay Deprec 26'!I8</f>
        <v>214455</v>
      </c>
      <c r="D2039" s="2" t="str">
        <f t="shared" si="30"/>
        <v>Error?</v>
      </c>
    </row>
    <row r="2040" spans="1:4" x14ac:dyDescent="0.2">
      <c r="A2040" s="5">
        <v>1979</v>
      </c>
      <c r="B2040" s="138">
        <f>'Cap Outlay Deprec 26'!I10</f>
        <v>12699</v>
      </c>
      <c r="D2040" s="2" t="str">
        <f t="shared" si="30"/>
        <v>Error?</v>
      </c>
    </row>
    <row r="2041" spans="1:4" x14ac:dyDescent="0.2">
      <c r="A2041" s="5">
        <v>1980</v>
      </c>
      <c r="B2041" s="138">
        <f>'Cap Outlay Deprec 26'!I12</f>
        <v>33928</v>
      </c>
      <c r="D2041" s="2" t="str">
        <f t="shared" si="30"/>
        <v>Error?</v>
      </c>
    </row>
    <row r="2042" spans="1:4" x14ac:dyDescent="0.2">
      <c r="A2042" s="5">
        <v>1981</v>
      </c>
      <c r="B2042" s="138">
        <f>'Cap Outlay Deprec 26'!I13</f>
        <v>27591</v>
      </c>
      <c r="D2042" s="2" t="str">
        <f t="shared" si="30"/>
        <v>Error?</v>
      </c>
    </row>
    <row r="2043" spans="1:4" x14ac:dyDescent="0.2">
      <c r="A2043" s="5">
        <v>1982</v>
      </c>
      <c r="B2043" s="138">
        <f>'Cap Outlay Deprec 26'!I16</f>
        <v>288673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3002242</v>
      </c>
      <c r="C2051" s="2" t="s">
        <v>594</v>
      </c>
      <c r="D2051" s="2" t="str">
        <f t="shared" si="31"/>
        <v>Error?</v>
      </c>
    </row>
    <row r="2052" spans="1:4" x14ac:dyDescent="0.2">
      <c r="A2052" s="5">
        <v>1991</v>
      </c>
      <c r="B2052" s="138">
        <f>'Cap Outlay Deprec 26'!K10</f>
        <v>66186</v>
      </c>
      <c r="C2052" s="2" t="s">
        <v>594</v>
      </c>
      <c r="D2052" s="2" t="str">
        <f t="shared" si="31"/>
        <v>Error?</v>
      </c>
    </row>
    <row r="2053" spans="1:4" x14ac:dyDescent="0.2">
      <c r="A2053" s="5">
        <v>1992</v>
      </c>
      <c r="B2053" s="138">
        <f>'Cap Outlay Deprec 26'!K12</f>
        <v>265834</v>
      </c>
      <c r="C2053" s="2" t="s">
        <v>594</v>
      </c>
      <c r="D2053" s="2" t="str">
        <f t="shared" si="31"/>
        <v>Error?</v>
      </c>
    </row>
    <row r="2054" spans="1:4" x14ac:dyDescent="0.2">
      <c r="A2054" s="5">
        <v>1993</v>
      </c>
      <c r="B2054" s="138">
        <f>'Cap Outlay Deprec 26'!K13</f>
        <v>462882</v>
      </c>
      <c r="C2054" s="2" t="s">
        <v>594</v>
      </c>
      <c r="D2054" s="2" t="str">
        <f t="shared" si="31"/>
        <v>Error?</v>
      </c>
    </row>
    <row r="2055" spans="1:4" x14ac:dyDescent="0.2">
      <c r="A2055" s="5">
        <v>1994</v>
      </c>
      <c r="B2055" s="138">
        <f>'Cap Outlay Deprec 26'!K16</f>
        <v>3797144</v>
      </c>
      <c r="C2055" s="2" t="s">
        <v>594</v>
      </c>
      <c r="D2055" s="2" t="str">
        <f t="shared" si="31"/>
        <v>Error?</v>
      </c>
    </row>
    <row r="2056" spans="1:4" x14ac:dyDescent="0.2">
      <c r="A2056" s="5">
        <v>1995</v>
      </c>
      <c r="B2056" s="138">
        <f>'Cap Outlay Deprec 26'!L5</f>
        <v>129737</v>
      </c>
      <c r="C2056" s="2" t="s">
        <v>594</v>
      </c>
      <c r="D2056" s="2" t="str">
        <f t="shared" si="31"/>
        <v>Error?</v>
      </c>
    </row>
    <row r="2057" spans="1:4" x14ac:dyDescent="0.2">
      <c r="A2057" s="5">
        <v>1996</v>
      </c>
      <c r="B2057" s="138">
        <f>'Cap Outlay Deprec 26'!L8</f>
        <v>7727474</v>
      </c>
      <c r="C2057" s="2" t="s">
        <v>594</v>
      </c>
      <c r="D2057" s="2" t="str">
        <f t="shared" si="31"/>
        <v>Error?</v>
      </c>
    </row>
    <row r="2058" spans="1:4" x14ac:dyDescent="0.2">
      <c r="A2058" s="5">
        <v>1997</v>
      </c>
      <c r="B2058" s="138">
        <f>'Cap Outlay Deprec 26'!L10</f>
        <v>194042</v>
      </c>
      <c r="C2058" s="2" t="s">
        <v>594</v>
      </c>
      <c r="D2058" s="2" t="str">
        <f t="shared" si="31"/>
        <v>Error?</v>
      </c>
    </row>
    <row r="2059" spans="1:4" x14ac:dyDescent="0.2">
      <c r="A2059" s="5">
        <v>1998</v>
      </c>
      <c r="B2059" s="138">
        <f>'Cap Outlay Deprec 26'!L12</f>
        <v>163118</v>
      </c>
      <c r="C2059" s="2" t="s">
        <v>594</v>
      </c>
      <c r="D2059" s="2" t="str">
        <f t="shared" si="31"/>
        <v>Error?</v>
      </c>
    </row>
    <row r="2060" spans="1:4" x14ac:dyDescent="0.2">
      <c r="A2060" s="5">
        <v>1999</v>
      </c>
      <c r="B2060" s="138">
        <f>'Cap Outlay Deprec 26'!L13</f>
        <v>36238</v>
      </c>
      <c r="C2060" s="2" t="s">
        <v>594</v>
      </c>
      <c r="D2060" s="2" t="str">
        <f t="shared" si="31"/>
        <v>Error?</v>
      </c>
    </row>
    <row r="2061" spans="1:4" x14ac:dyDescent="0.2">
      <c r="A2061" s="5">
        <v>2000</v>
      </c>
      <c r="B2061" s="138">
        <f>'Cap Outlay Deprec 26'!L16</f>
        <v>8250609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425419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503163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220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18777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1103693</v>
      </c>
      <c r="C2551" s="2" t="s">
        <v>594</v>
      </c>
      <c r="D2551" s="2" t="str">
        <f t="shared" si="38"/>
        <v>Error?</v>
      </c>
    </row>
    <row r="2552" spans="1:4" x14ac:dyDescent="0.2">
      <c r="A2552" s="10">
        <v>2491</v>
      </c>
      <c r="D2552" s="2" t="str">
        <f t="shared" si="38"/>
        <v>OK</v>
      </c>
    </row>
    <row r="2553" spans="1:4" x14ac:dyDescent="0.2">
      <c r="A2553" s="5">
        <v>2492</v>
      </c>
      <c r="B2553" s="138">
        <f>'Acct Summary 7-8'!C6</f>
        <v>2193221</v>
      </c>
      <c r="C2553" s="2" t="s">
        <v>594</v>
      </c>
      <c r="D2553" s="2" t="str">
        <f t="shared" si="38"/>
        <v>Error?</v>
      </c>
    </row>
    <row r="2554" spans="1:4" x14ac:dyDescent="0.2">
      <c r="A2554" s="5">
        <v>2493</v>
      </c>
      <c r="B2554" s="138">
        <f>'Acct Summary 7-8'!C7</f>
        <v>348350</v>
      </c>
      <c r="C2554" s="2" t="s">
        <v>594</v>
      </c>
      <c r="D2554" s="2" t="str">
        <f t="shared" si="38"/>
        <v>Error?</v>
      </c>
    </row>
    <row r="2555" spans="1:4" x14ac:dyDescent="0.2">
      <c r="A2555" s="5">
        <v>2494</v>
      </c>
      <c r="B2555" s="138">
        <f>'Acct Summary 7-8'!C8</f>
        <v>3645264</v>
      </c>
      <c r="C2555" s="2" t="s">
        <v>594</v>
      </c>
      <c r="D2555" s="2" t="str">
        <f t="shared" si="38"/>
        <v>Error?</v>
      </c>
    </row>
    <row r="2556" spans="1:4" x14ac:dyDescent="0.2">
      <c r="A2556" s="5">
        <v>2495</v>
      </c>
      <c r="B2556" s="138">
        <f>'Acct Summary 7-8'!C12</f>
        <v>1682910</v>
      </c>
      <c r="C2556" s="2" t="s">
        <v>594</v>
      </c>
      <c r="D2556" s="2" t="str">
        <f t="shared" si="38"/>
        <v>Error?</v>
      </c>
    </row>
    <row r="2557" spans="1:4" x14ac:dyDescent="0.2">
      <c r="A2557" s="5">
        <v>2496</v>
      </c>
      <c r="B2557" s="138">
        <f>'Acct Summary 7-8'!C13</f>
        <v>1215231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503163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3401304</v>
      </c>
      <c r="C2561" s="2" t="s">
        <v>594</v>
      </c>
      <c r="D2561" s="2" t="str">
        <f t="shared" si="39"/>
        <v>Error?</v>
      </c>
    </row>
    <row r="2562" spans="1:4" x14ac:dyDescent="0.2">
      <c r="A2562" s="5">
        <v>2501</v>
      </c>
      <c r="B2562" s="138">
        <f>'Acct Summary 7-8'!C20</f>
        <v>243960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194843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194843</v>
      </c>
      <c r="C2568" s="2" t="s">
        <v>594</v>
      </c>
      <c r="D2568" s="2" t="str">
        <f t="shared" si="39"/>
        <v>Error?</v>
      </c>
    </row>
    <row r="2569" spans="1:4" x14ac:dyDescent="0.2">
      <c r="A2569" s="5">
        <v>2508</v>
      </c>
      <c r="B2569" s="138">
        <f>'Acct Summary 7-8'!D13</f>
        <v>233585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220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233805</v>
      </c>
      <c r="C2573" s="2" t="s">
        <v>594</v>
      </c>
      <c r="D2573" s="2" t="str">
        <f t="shared" si="39"/>
        <v>Error?</v>
      </c>
    </row>
    <row r="2574" spans="1:4" x14ac:dyDescent="0.2">
      <c r="A2574" s="5">
        <v>2513</v>
      </c>
      <c r="B2574" s="138">
        <f>'Acct Summary 7-8'!D20</f>
        <v>-38962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103493</v>
      </c>
      <c r="C2591" s="2" t="s">
        <v>594</v>
      </c>
      <c r="D2591" s="2" t="str">
        <f t="shared" si="39"/>
        <v>Error?</v>
      </c>
    </row>
    <row r="2592" spans="1:4" x14ac:dyDescent="0.2">
      <c r="A2592" s="10">
        <v>2531</v>
      </c>
      <c r="D2592" s="2" t="str">
        <f t="shared" si="39"/>
        <v>OK</v>
      </c>
    </row>
    <row r="2593" spans="1:4" x14ac:dyDescent="0.2">
      <c r="A2593" s="5">
        <v>2532</v>
      </c>
      <c r="B2593" s="138">
        <f>'Acct Summary 7-8'!F6</f>
        <v>184782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288275</v>
      </c>
      <c r="C2595" s="2" t="s">
        <v>594</v>
      </c>
      <c r="D2595" s="2" t="str">
        <f t="shared" si="39"/>
        <v>Error?</v>
      </c>
    </row>
    <row r="2596" spans="1:4" x14ac:dyDescent="0.2">
      <c r="A2596" s="5">
        <v>2535</v>
      </c>
      <c r="B2596" s="138">
        <f>'Acct Summary 7-8'!F13</f>
        <v>209895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20362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230257</v>
      </c>
      <c r="C2600" s="2" t="s">
        <v>594</v>
      </c>
      <c r="D2600" s="2" t="str">
        <f t="shared" si="39"/>
        <v>Error?</v>
      </c>
    </row>
    <row r="2601" spans="1:4" x14ac:dyDescent="0.2">
      <c r="A2601" s="5">
        <v>2540</v>
      </c>
      <c r="B2601" s="138">
        <f>'Acct Summary 7-8'!F20</f>
        <v>58018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129222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129222</v>
      </c>
      <c r="C2606" s="2" t="s">
        <v>594</v>
      </c>
      <c r="D2606" s="2" t="str">
        <f t="shared" si="39"/>
        <v>Error?</v>
      </c>
    </row>
    <row r="2607" spans="1:4" x14ac:dyDescent="0.2">
      <c r="A2607" s="5">
        <v>2546</v>
      </c>
      <c r="B2607" s="138">
        <f>'Acct Summary 7-8'!G12</f>
        <v>26317</v>
      </c>
      <c r="C2607" s="2" t="s">
        <v>594</v>
      </c>
      <c r="D2607" s="2" t="str">
        <f t="shared" si="39"/>
        <v>Error?</v>
      </c>
    </row>
    <row r="2608" spans="1:4" x14ac:dyDescent="0.2">
      <c r="A2608" s="5">
        <v>2547</v>
      </c>
      <c r="B2608" s="138">
        <f>'Acct Summary 7-8'!G13</f>
        <v>91857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118174</v>
      </c>
      <c r="C2612" s="2" t="s">
        <v>594</v>
      </c>
      <c r="D2612" s="2" t="str">
        <f t="shared" si="39"/>
        <v>Error?</v>
      </c>
    </row>
    <row r="2613" spans="1:4" x14ac:dyDescent="0.2">
      <c r="A2613" s="5">
        <v>2552</v>
      </c>
      <c r="B2613" s="138">
        <f>'Acct Summary 7-8'!G20</f>
        <v>11048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392829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401451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338411</v>
      </c>
      <c r="C2634" s="2" t="s">
        <v>594</v>
      </c>
      <c r="D2634" s="2" t="str">
        <f t="shared" si="40"/>
        <v>Error?</v>
      </c>
    </row>
    <row r="2635" spans="1:4" x14ac:dyDescent="0.2">
      <c r="A2635" s="5">
        <v>2574</v>
      </c>
      <c r="B2635" s="138">
        <f>'Acct Summary 7-8'!E17</f>
        <v>338411</v>
      </c>
      <c r="C2635" s="2" t="s">
        <v>594</v>
      </c>
      <c r="D2635" s="2" t="str">
        <f t="shared" si="40"/>
        <v>Error?</v>
      </c>
    </row>
    <row r="2636" spans="1:4" x14ac:dyDescent="0.2">
      <c r="A2636" s="5">
        <v>2575</v>
      </c>
      <c r="B2636" s="138">
        <f>'Acct Summary 7-8'!E20</f>
        <v>63040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245</v>
      </c>
      <c r="C2658" s="2" t="s">
        <v>594</v>
      </c>
      <c r="D2658" s="2" t="str">
        <f t="shared" si="40"/>
        <v>Error?</v>
      </c>
    </row>
    <row r="2659" spans="1:4" x14ac:dyDescent="0.2">
      <c r="A2659" s="5">
        <v>2598</v>
      </c>
      <c r="B2659" s="138">
        <f>'Acct Summary 7-8'!H13</f>
        <v>27137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27137</v>
      </c>
      <c r="C2661" s="2" t="s">
        <v>594</v>
      </c>
      <c r="D2661" s="2" t="str">
        <f t="shared" si="40"/>
        <v>Error?</v>
      </c>
    </row>
    <row r="2662" spans="1:4" x14ac:dyDescent="0.2">
      <c r="A2662" s="5">
        <v>2601</v>
      </c>
      <c r="B2662" s="138">
        <f>'Acct Summary 7-8'!H20</f>
        <v>-26892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77744</v>
      </c>
      <c r="C2789" s="2" t="s">
        <v>594</v>
      </c>
      <c r="D2789" s="2" t="str">
        <f t="shared" si="42"/>
        <v>Error?</v>
      </c>
    </row>
    <row r="2790" spans="1:4" x14ac:dyDescent="0.2">
      <c r="A2790" s="5">
        <v>2729</v>
      </c>
      <c r="B2790" s="138">
        <f>'Expenditures 15-22'!E102</f>
        <v>77744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20362</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20362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362479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77349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362479</v>
      </c>
      <c r="D2912" s="2" t="str">
        <f t="shared" si="44"/>
        <v>Error?</v>
      </c>
    </row>
    <row r="2913" spans="1:4" x14ac:dyDescent="0.2">
      <c r="A2913" s="5">
        <v>2852</v>
      </c>
      <c r="B2913" s="138">
        <f>'Assets-Liab 5-6'!I41</f>
        <v>362479</v>
      </c>
      <c r="C2913" s="2" t="s">
        <v>594</v>
      </c>
      <c r="D2913" s="2" t="str">
        <f t="shared" si="44"/>
        <v>Error?</v>
      </c>
    </row>
    <row r="2914" spans="1:4" x14ac:dyDescent="0.2">
      <c r="A2914" s="5">
        <v>2853</v>
      </c>
      <c r="B2914" s="138">
        <f>'Assets-Liab 5-6'!L33</f>
        <v>77349</v>
      </c>
      <c r="D2914" s="2" t="str">
        <f t="shared" si="44"/>
        <v>Error?</v>
      </c>
    </row>
    <row r="2915" spans="1:4" x14ac:dyDescent="0.2">
      <c r="A2915" s="10">
        <v>2854</v>
      </c>
      <c r="D2915" s="2" t="str">
        <f t="shared" si="44"/>
        <v>OK</v>
      </c>
    </row>
    <row r="2916" spans="1:4" x14ac:dyDescent="0.2">
      <c r="A2916" s="5">
        <v>2855</v>
      </c>
      <c r="B2916" s="138">
        <f>'Assets-Liab 5-6'!L34</f>
        <v>77349</v>
      </c>
      <c r="C2916" s="2" t="s">
        <v>594</v>
      </c>
      <c r="D2916" s="2" t="str">
        <f t="shared" si="44"/>
        <v>Error?</v>
      </c>
    </row>
    <row r="2917" spans="1:4" x14ac:dyDescent="0.2">
      <c r="A2917" s="5">
        <v>2856</v>
      </c>
      <c r="B2917" s="138">
        <f>'Assets-Liab 5-6'!L41</f>
        <v>77349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77744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425419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503163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220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20362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20362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29102</v>
      </c>
      <c r="D3055" s="2" t="str">
        <f t="shared" si="46"/>
        <v>Error?</v>
      </c>
    </row>
    <row r="3056" spans="1:4" x14ac:dyDescent="0.2">
      <c r="A3056" s="5">
        <v>2995</v>
      </c>
      <c r="B3056" s="138">
        <f>'Expenditures 15-22'!D10</f>
        <v>15403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9933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54438</v>
      </c>
      <c r="C3062" s="2" t="s">
        <v>594</v>
      </c>
      <c r="D3062" s="2" t="str">
        <f t="shared" si="46"/>
        <v>Error?</v>
      </c>
    </row>
    <row r="3063" spans="1:4" x14ac:dyDescent="0.2">
      <c r="A3063" s="10">
        <v>3002</v>
      </c>
      <c r="D3063" s="2" t="str">
        <f t="shared" si="46"/>
        <v>OK</v>
      </c>
    </row>
    <row r="3064" spans="1:4" x14ac:dyDescent="0.2">
      <c r="A3064" s="5">
        <v>3003</v>
      </c>
      <c r="B3064" s="138">
        <f>'Expenditures 15-22'!D219</f>
        <v>355</v>
      </c>
      <c r="D3064" s="2" t="str">
        <f t="shared" si="46"/>
        <v>Error?</v>
      </c>
    </row>
    <row r="3065" spans="1:4" x14ac:dyDescent="0.2">
      <c r="A3065" s="5">
        <v>3004</v>
      </c>
      <c r="B3065" s="138">
        <f>'Expenditures 15-22'!K219</f>
        <v>355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17334</v>
      </c>
      <c r="C3225" s="2" t="s">
        <v>594</v>
      </c>
      <c r="D3225" s="2" t="str">
        <f t="shared" si="49"/>
        <v>Error?</v>
      </c>
    </row>
    <row r="3226" spans="1:4" x14ac:dyDescent="0.2">
      <c r="A3226" s="5">
        <v>3165</v>
      </c>
      <c r="B3226" s="138">
        <f>'Acct Summary 7-8'!I8</f>
        <v>17334</v>
      </c>
      <c r="C3226" s="2" t="s">
        <v>594</v>
      </c>
      <c r="D3226" s="2" t="str">
        <f t="shared" si="49"/>
        <v>Error?</v>
      </c>
    </row>
    <row r="3227" spans="1:4" x14ac:dyDescent="0.2">
      <c r="A3227" s="5">
        <v>3166</v>
      </c>
      <c r="B3227" s="138">
        <f>'Acct Summary 7-8'!I20</f>
        <v>17334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17177</v>
      </c>
      <c r="C3231" s="2" t="s">
        <v>594</v>
      </c>
      <c r="D3231" s="2" t="str">
        <f t="shared" si="49"/>
        <v>Error?</v>
      </c>
    </row>
    <row r="3232" spans="1:4" x14ac:dyDescent="0.2">
      <c r="A3232" s="5">
        <v>3171</v>
      </c>
      <c r="B3232" s="138">
        <f>'Acct Summary 7-8'!C77</f>
        <v>-17177</v>
      </c>
      <c r="C3232" s="2" t="s">
        <v>594</v>
      </c>
      <c r="D3232" s="2" t="str">
        <f t="shared" si="49"/>
        <v>Error?</v>
      </c>
    </row>
    <row r="3233" spans="1:4" x14ac:dyDescent="0.2">
      <c r="A3233" s="5">
        <v>3172</v>
      </c>
      <c r="B3233" s="138">
        <f>'Acct Summary 7-8'!C78</f>
        <v>226783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-38962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58018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11048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17177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17177</v>
      </c>
      <c r="C3277" s="2" t="s">
        <v>594</v>
      </c>
      <c r="D3277" s="2" t="str">
        <f t="shared" si="50"/>
        <v>Error?</v>
      </c>
    </row>
    <row r="3278" spans="1:4" x14ac:dyDescent="0.2">
      <c r="A3278" s="5">
        <v>3217</v>
      </c>
      <c r="B3278" s="138">
        <f>'Acct Summary 7-8'!E78</f>
        <v>80217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-26892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17334</v>
      </c>
      <c r="C3320" s="2" t="s">
        <v>594</v>
      </c>
      <c r="D3320" s="2" t="str">
        <f t="shared" si="50"/>
        <v>Error?</v>
      </c>
    </row>
    <row r="3321" spans="1:4" x14ac:dyDescent="0.2">
      <c r="A3321" s="5">
        <v>3260</v>
      </c>
      <c r="B3321" s="138">
        <f>'Acct Summary 7-8'!I79</f>
        <v>345145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362479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25962</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25962</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441658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7836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284729</v>
      </c>
      <c r="D3417" s="2" t="str">
        <f t="shared" si="52"/>
        <v>Error?</v>
      </c>
    </row>
    <row r="3418" spans="1:4" x14ac:dyDescent="0.2">
      <c r="A3418" s="10">
        <v>3357</v>
      </c>
      <c r="D3418" s="2" t="str">
        <f t="shared" si="52"/>
        <v>OK</v>
      </c>
    </row>
    <row r="3419" spans="1:4" x14ac:dyDescent="0.2">
      <c r="A3419" s="5">
        <v>3358</v>
      </c>
      <c r="B3419" s="138">
        <f>'Assets-Liab 5-6'!F4</f>
        <v>90883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38163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36718</v>
      </c>
      <c r="D3425" s="2" t="str">
        <f t="shared" si="52"/>
        <v>Error?</v>
      </c>
    </row>
    <row r="3426" spans="1:4" x14ac:dyDescent="0.2">
      <c r="A3426" s="10">
        <v>3365</v>
      </c>
      <c r="D3426" s="2" t="str">
        <f t="shared" si="52"/>
        <v>OK</v>
      </c>
    </row>
    <row r="3427" spans="1:4" x14ac:dyDescent="0.2">
      <c r="A3427" s="5">
        <v>3366</v>
      </c>
      <c r="B3427" s="138">
        <f>'Assets-Liab 5-6'!I4</f>
        <v>362479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77349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46595</v>
      </c>
      <c r="C3446" s="2" t="s">
        <v>594</v>
      </c>
      <c r="D3446" s="2" t="str">
        <f t="shared" si="52"/>
        <v>Error?</v>
      </c>
    </row>
    <row r="3447" spans="1:4" x14ac:dyDescent="0.2">
      <c r="A3447" s="5">
        <v>3386</v>
      </c>
      <c r="B3447" s="138">
        <f>'Tax Sched 23'!D16</f>
        <v>46595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34747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34747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34747</v>
      </c>
      <c r="D3567" s="2" t="str">
        <f t="shared" si="54"/>
        <v>Error?</v>
      </c>
    </row>
    <row r="3568" spans="1:4" x14ac:dyDescent="0.2">
      <c r="A3568" s="5">
        <v>3507</v>
      </c>
      <c r="B3568" s="138">
        <f>'Assets-Liab 5-6'!K41</f>
        <v>34747</v>
      </c>
      <c r="C3568" s="2" t="s">
        <v>594</v>
      </c>
      <c r="D3568" s="2" t="str">
        <f t="shared" si="54"/>
        <v>Error?</v>
      </c>
    </row>
    <row r="3569" spans="1:4" x14ac:dyDescent="0.2">
      <c r="A3569" s="5">
        <v>3508</v>
      </c>
      <c r="B3569" s="138">
        <f>'Acct Summary 7-8'!K4</f>
        <v>16035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16035</v>
      </c>
      <c r="C3571" s="2" t="s">
        <v>594</v>
      </c>
      <c r="D3571" s="2" t="str">
        <f t="shared" si="54"/>
        <v>Error?</v>
      </c>
    </row>
    <row r="3572" spans="1:4" x14ac:dyDescent="0.2">
      <c r="A3572" s="5">
        <v>3511</v>
      </c>
      <c r="B3572" s="138">
        <f>'Acct Summary 7-8'!K13</f>
        <v>27900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27900</v>
      </c>
      <c r="C3575" s="2" t="s">
        <v>594</v>
      </c>
      <c r="D3575" s="2" t="str">
        <f t="shared" si="54"/>
        <v>Error?</v>
      </c>
    </row>
    <row r="3576" spans="1:4" x14ac:dyDescent="0.2">
      <c r="A3576" s="5">
        <v>3515</v>
      </c>
      <c r="B3576" s="138">
        <f>'Acct Summary 7-8'!K20</f>
        <v>-11865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-11865</v>
      </c>
      <c r="C3588" s="2" t="s">
        <v>594</v>
      </c>
      <c r="D3588" s="2" t="str">
        <f t="shared" si="55"/>
        <v>Error?</v>
      </c>
    </row>
    <row r="3589" spans="1:4" x14ac:dyDescent="0.2">
      <c r="A3589" s="5">
        <v>3528</v>
      </c>
      <c r="B3589" s="138">
        <f>'Acct Summary 7-8'!K79</f>
        <v>46612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34747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27900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27900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27900</v>
      </c>
      <c r="C3649" s="2" t="s">
        <v>594</v>
      </c>
      <c r="D3649" s="2" t="str">
        <f t="shared" si="56"/>
        <v>Error?</v>
      </c>
    </row>
    <row r="3650" spans="1:4" x14ac:dyDescent="0.2">
      <c r="A3650" s="5">
        <v>3589</v>
      </c>
      <c r="B3650" s="138">
        <f>'Expenditures 15-22'!G367</f>
        <v>27900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27900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27900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27900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27900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-11865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141867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1107333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4752597</v>
      </c>
      <c r="C4122" s="2" t="s">
        <v>594</v>
      </c>
      <c r="D4122" s="2" t="str">
        <f t="shared" si="63"/>
        <v>Error?</v>
      </c>
    </row>
    <row r="4123" spans="1:4" x14ac:dyDescent="0.2">
      <c r="A4123" s="5">
        <v>4062</v>
      </c>
      <c r="B4123" s="138">
        <f>'Acct Summary 7-8'!D10</f>
        <v>194843</v>
      </c>
      <c r="C4123" s="2" t="s">
        <v>594</v>
      </c>
      <c r="D4123" s="2" t="str">
        <f t="shared" si="63"/>
        <v>Error?</v>
      </c>
    </row>
    <row r="4124" spans="1:4" x14ac:dyDescent="0.2">
      <c r="A4124" s="5">
        <v>4063</v>
      </c>
      <c r="B4124" s="138">
        <f>'Acct Summary 7-8'!E10</f>
        <v>401451</v>
      </c>
      <c r="C4124" s="2" t="s">
        <v>594</v>
      </c>
      <c r="D4124" s="2" t="str">
        <f t="shared" si="63"/>
        <v>Error?</v>
      </c>
    </row>
    <row r="4125" spans="1:4" x14ac:dyDescent="0.2">
      <c r="A4125" s="5">
        <v>4064</v>
      </c>
      <c r="B4125" s="138">
        <f>'Acct Summary 7-8'!F10</f>
        <v>288275</v>
      </c>
      <c r="C4125" s="2" t="s">
        <v>594</v>
      </c>
      <c r="D4125" s="2" t="str">
        <f t="shared" si="63"/>
        <v>Error?</v>
      </c>
    </row>
    <row r="4126" spans="1:4" x14ac:dyDescent="0.2">
      <c r="A4126" s="5">
        <v>4065</v>
      </c>
      <c r="B4126" s="138">
        <f>'Acct Summary 7-8'!G10</f>
        <v>129222</v>
      </c>
      <c r="C4126" s="2" t="s">
        <v>594</v>
      </c>
      <c r="D4126" s="2" t="str">
        <f t="shared" si="63"/>
        <v>Error?</v>
      </c>
    </row>
    <row r="4127" spans="1:4" x14ac:dyDescent="0.2">
      <c r="A4127" s="5">
        <v>4066</v>
      </c>
      <c r="B4127" s="138">
        <f>'Acct Summary 7-8'!H10</f>
        <v>245</v>
      </c>
      <c r="C4127" s="2" t="s">
        <v>594</v>
      </c>
      <c r="D4127" s="2" t="str">
        <f t="shared" si="63"/>
        <v>Error?</v>
      </c>
    </row>
    <row r="4128" spans="1:4" x14ac:dyDescent="0.2">
      <c r="A4128" s="5">
        <v>4067</v>
      </c>
      <c r="B4128" s="138">
        <f>'Acct Summary 7-8'!I10</f>
        <v>17334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16035</v>
      </c>
      <c r="C4130" s="2" t="s">
        <v>594</v>
      </c>
      <c r="D4130" s="2" t="str">
        <f t="shared" si="63"/>
        <v>Error?</v>
      </c>
    </row>
    <row r="4131" spans="1:4" x14ac:dyDescent="0.2">
      <c r="A4131" s="5">
        <v>4070</v>
      </c>
      <c r="B4131" s="138">
        <f>'Acct Summary 7-8'!C18</f>
        <v>1107333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4508637</v>
      </c>
      <c r="C4136" s="2" t="s">
        <v>594</v>
      </c>
      <c r="D4136" s="2" t="str">
        <f t="shared" si="63"/>
        <v>Error?</v>
      </c>
    </row>
    <row r="4137" spans="1:4" x14ac:dyDescent="0.2">
      <c r="A4137" s="5">
        <v>4076</v>
      </c>
      <c r="B4137" s="138">
        <f>'Acct Summary 7-8'!D19</f>
        <v>233805</v>
      </c>
      <c r="C4137" s="2" t="s">
        <v>594</v>
      </c>
      <c r="D4137" s="2" t="str">
        <f t="shared" si="63"/>
        <v>Error?</v>
      </c>
    </row>
    <row r="4138" spans="1:4" x14ac:dyDescent="0.2">
      <c r="A4138" s="5">
        <v>4077</v>
      </c>
      <c r="B4138" s="138">
        <f>'Acct Summary 7-8'!E19</f>
        <v>338411</v>
      </c>
      <c r="C4138" s="2" t="s">
        <v>594</v>
      </c>
      <c r="D4138" s="2" t="str">
        <f t="shared" si="63"/>
        <v>Error?</v>
      </c>
    </row>
    <row r="4139" spans="1:4" x14ac:dyDescent="0.2">
      <c r="A4139" s="5">
        <v>4078</v>
      </c>
      <c r="B4139" s="138">
        <f>'Acct Summary 7-8'!F19</f>
        <v>230257</v>
      </c>
      <c r="C4139" s="2" t="s">
        <v>594</v>
      </c>
      <c r="D4139" s="2" t="str">
        <f t="shared" si="63"/>
        <v>Error?</v>
      </c>
    </row>
    <row r="4140" spans="1:4" x14ac:dyDescent="0.2">
      <c r="A4140" s="5">
        <v>4079</v>
      </c>
      <c r="B4140" s="138">
        <f>'Acct Summary 7-8'!G19</f>
        <v>118174</v>
      </c>
      <c r="C4140" s="2" t="s">
        <v>594</v>
      </c>
      <c r="D4140" s="2" t="str">
        <f t="shared" si="63"/>
        <v>Error?</v>
      </c>
    </row>
    <row r="4141" spans="1:4" x14ac:dyDescent="0.2">
      <c r="A4141" s="5">
        <v>4080</v>
      </c>
      <c r="B4141" s="138">
        <f>'Acct Summary 7-8'!H19</f>
        <v>27137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27900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1888503</v>
      </c>
      <c r="C4171" s="2" t="s">
        <v>594</v>
      </c>
      <c r="D4171" s="2" t="str">
        <f t="shared" si="64"/>
        <v>Error?</v>
      </c>
    </row>
    <row r="4172" spans="1:4" x14ac:dyDescent="0.2">
      <c r="A4172" s="5">
        <v>4111</v>
      </c>
      <c r="B4172" s="138">
        <f>'Short-Term Long-Term Debt 24'!J49</f>
        <v>1603774</v>
      </c>
      <c r="C4172" s="2" t="s">
        <v>594</v>
      </c>
      <c r="D4172" s="2" t="str">
        <f t="shared" si="64"/>
        <v>Error?</v>
      </c>
    </row>
    <row r="4173" spans="1:4" x14ac:dyDescent="0.2">
      <c r="A4173" s="5">
        <v>4112</v>
      </c>
      <c r="B4173" s="138">
        <f>'Short-Term Long-Term Debt 24'!H49</f>
        <v>281755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220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220</v>
      </c>
      <c r="C4202" s="2" t="s">
        <v>594</v>
      </c>
      <c r="D4202" s="2" t="str">
        <f t="shared" si="64"/>
        <v>Error?</v>
      </c>
    </row>
    <row r="4203" spans="1:4" x14ac:dyDescent="0.2">
      <c r="A4203" s="5">
        <v>4142</v>
      </c>
      <c r="B4203" s="138">
        <f>'Expenditures 15-22'!E139</f>
        <v>220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2604.42</v>
      </c>
      <c r="C4265" s="2" t="s">
        <v>594</v>
      </c>
      <c r="D4265" s="2" t="str">
        <f t="shared" si="65"/>
        <v>Error?</v>
      </c>
      <c r="E4265" s="128"/>
    </row>
    <row r="4266" spans="1:5" x14ac:dyDescent="0.2">
      <c r="A4266" s="12">
        <v>4205</v>
      </c>
      <c r="B4266" s="138">
        <f>('FP Info 3'!F10)*100000</f>
        <v>500.70599999999996</v>
      </c>
      <c r="C4266" s="2" t="s">
        <v>594</v>
      </c>
      <c r="D4266" s="2" t="str">
        <f t="shared" si="65"/>
        <v>Error?</v>
      </c>
      <c r="E4266" s="128"/>
    </row>
    <row r="4267" spans="1:5" x14ac:dyDescent="0.2">
      <c r="A4267" s="12">
        <v>4206</v>
      </c>
      <c r="B4267" s="138">
        <f>('FP Info 3'!H10)*100000</f>
        <v>196.39000000000001</v>
      </c>
      <c r="C4267" s="2" t="s">
        <v>594</v>
      </c>
      <c r="D4267" s="2" t="str">
        <f t="shared" si="65"/>
        <v>Error?</v>
      </c>
      <c r="E4267" s="128"/>
    </row>
    <row r="4268" spans="1:5" x14ac:dyDescent="0.2">
      <c r="A4268" s="12">
        <v>4207</v>
      </c>
      <c r="B4268" s="138">
        <f>('FP Info 3'!J10)*100000</f>
        <v>3302</v>
      </c>
      <c r="C4268" s="2" t="s">
        <v>594</v>
      </c>
      <c r="D4268" s="2" t="str">
        <f t="shared" si="65"/>
        <v>Error?</v>
      </c>
    </row>
    <row r="4269" spans="1:5" x14ac:dyDescent="0.2">
      <c r="A4269" s="12">
        <v>4208</v>
      </c>
      <c r="B4269" s="138">
        <f>'FP Info 3'!J16</f>
        <v>902105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15305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8622</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44.78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8622</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6888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32921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33118833</v>
      </c>
      <c r="D4995" s="2" t="str">
        <f t="shared" si="77"/>
        <v>Error?</v>
      </c>
    </row>
    <row r="4996" spans="1:4" x14ac:dyDescent="0.2">
      <c r="A4996" s="12">
        <v>4935</v>
      </c>
      <c r="B4996" s="138">
        <f>'FP Info 3'!H31</f>
        <v>4570398.9540000008</v>
      </c>
      <c r="D4996" s="2" t="str">
        <f t="shared" si="77"/>
        <v>Error?</v>
      </c>
    </row>
    <row r="4997" spans="1:4" x14ac:dyDescent="0.2">
      <c r="A4997" s="12">
        <v>4936</v>
      </c>
      <c r="B4997" s="138">
        <f>'FP Info 3'!H37</f>
        <v>1888503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836531</v>
      </c>
      <c r="D5061" s="2" t="str">
        <f t="shared" si="78"/>
        <v>Error?</v>
      </c>
    </row>
    <row r="5062" spans="1:4" x14ac:dyDescent="0.2">
      <c r="A5062" s="10">
        <v>5001</v>
      </c>
      <c r="D5062" s="2" t="str">
        <f t="shared" si="78"/>
        <v>OK</v>
      </c>
    </row>
    <row r="5063" spans="1:4" x14ac:dyDescent="0.2">
      <c r="A5063" s="5">
        <v>5002</v>
      </c>
      <c r="B5063" s="138">
        <f>'Revenues 9-14'!C7</f>
        <v>12581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849112</v>
      </c>
      <c r="C5066" s="2" t="s">
        <v>594</v>
      </c>
      <c r="D5066" s="2" t="str">
        <f t="shared" si="78"/>
        <v>Error?</v>
      </c>
    </row>
    <row r="5067" spans="1:4" x14ac:dyDescent="0.2">
      <c r="A5067" s="5">
        <v>5006</v>
      </c>
      <c r="B5067" s="138">
        <f>'Revenues 9-14'!C14</f>
        <v>6047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144732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150779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3043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3043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3093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3205</v>
      </c>
      <c r="C5096" s="2" t="s">
        <v>594</v>
      </c>
      <c r="D5096" s="2" t="str">
        <f t="shared" si="78"/>
        <v>Error?</v>
      </c>
    </row>
    <row r="5097" spans="1:4" x14ac:dyDescent="0.2">
      <c r="A5097" s="5">
        <v>5036</v>
      </c>
      <c r="B5097" s="138">
        <f>'Revenues 9-14'!C77</f>
        <v>27694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10295</v>
      </c>
      <c r="D5101" s="2" t="str">
        <f t="shared" si="78"/>
        <v>Error?</v>
      </c>
    </row>
    <row r="5102" spans="1:4" x14ac:dyDescent="0.2">
      <c r="A5102" s="5">
        <v>5041</v>
      </c>
      <c r="B5102" s="138">
        <f>'Revenues 9-14'!C82</f>
        <v>37989</v>
      </c>
      <c r="C5102" s="2" t="s">
        <v>594</v>
      </c>
      <c r="D5102" s="2" t="str">
        <f t="shared" si="78"/>
        <v>Error?</v>
      </c>
    </row>
    <row r="5103" spans="1:4" x14ac:dyDescent="0.2">
      <c r="A5103" s="5">
        <v>5042</v>
      </c>
      <c r="B5103" s="138">
        <f>'Revenues 9-14'!C84</f>
        <v>12550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12917</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25467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3550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22290</v>
      </c>
      <c r="D5119" s="2" t="str">
        <f t="shared" ref="D5119:D5182" si="79">IF(ISBLANK(B5119),"OK",IF(A5119-B5119=0,"OK","Error?"))</f>
        <v>Error?</v>
      </c>
    </row>
    <row r="5120" spans="1:4" x14ac:dyDescent="0.2">
      <c r="A5120" s="5">
        <v>5059</v>
      </c>
      <c r="B5120" s="138">
        <f>'Revenues 9-14'!C108</f>
        <v>34098</v>
      </c>
      <c r="C5120" s="2" t="s">
        <v>594</v>
      </c>
      <c r="D5120" s="2" t="str">
        <f t="shared" si="79"/>
        <v>Error?</v>
      </c>
    </row>
    <row r="5121" spans="1:4" x14ac:dyDescent="0.2">
      <c r="A5121" s="5">
        <v>5060</v>
      </c>
      <c r="B5121" s="138">
        <f>'Revenues 9-14'!C109</f>
        <v>1103693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2100472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2100472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32662</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40856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73518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8041</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8041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3270</v>
      </c>
      <c r="D5167" s="2" t="str">
        <f t="shared" si="79"/>
        <v>Error?</v>
      </c>
    </row>
    <row r="5168" spans="1:4" x14ac:dyDescent="0.2">
      <c r="A5168" s="5">
        <v>5107</v>
      </c>
      <c r="B5168" s="138">
        <f>'Revenues 9-14'!C147</f>
        <v>6420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92749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2193221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149543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42996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192539</v>
      </c>
      <c r="C5246" s="2" t="s">
        <v>594</v>
      </c>
      <c r="D5246" s="2" t="str">
        <f t="shared" si="80"/>
        <v>Error?</v>
      </c>
    </row>
    <row r="5247" spans="1:4" x14ac:dyDescent="0.2">
      <c r="A5247" s="5">
        <v>5186</v>
      </c>
      <c r="B5247" s="138">
        <f>'Revenues 9-14'!C203</f>
        <v>104333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104333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348350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348350</v>
      </c>
      <c r="C5326" s="2" t="s">
        <v>594</v>
      </c>
      <c r="D5326" s="2" t="str">
        <f t="shared" si="82"/>
        <v>Error?</v>
      </c>
    </row>
    <row r="5327" spans="1:4" x14ac:dyDescent="0.2">
      <c r="A5327" s="5">
        <v>5266</v>
      </c>
      <c r="B5327" s="138">
        <f>'Revenues 9-14'!C275</f>
        <v>3645264</v>
      </c>
      <c r="C5327" s="2" t="s">
        <v>594</v>
      </c>
      <c r="D5327" s="2" t="str">
        <f t="shared" si="82"/>
        <v>Error?</v>
      </c>
    </row>
    <row r="5328" spans="1:4" x14ac:dyDescent="0.2">
      <c r="A5328" s="5">
        <v>5267</v>
      </c>
      <c r="B5328" s="138">
        <f>'Revenues 9-14'!D5</f>
        <v>157475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157475</v>
      </c>
      <c r="C5334" s="2" t="s">
        <v>594</v>
      </c>
      <c r="D5334" s="2" t="str">
        <f t="shared" si="82"/>
        <v>Error?</v>
      </c>
    </row>
    <row r="5335" spans="1:4" x14ac:dyDescent="0.2">
      <c r="A5335" s="5">
        <v>5274</v>
      </c>
      <c r="B5335" s="138">
        <f>'Revenues 9-14'!D14</f>
        <v>1122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26122</v>
      </c>
      <c r="C5339" s="2" t="s">
        <v>594</v>
      </c>
      <c r="D5339" s="2" t="str">
        <f t="shared" si="82"/>
        <v>Error?</v>
      </c>
    </row>
    <row r="5340" spans="1:4" x14ac:dyDescent="0.2">
      <c r="A5340" s="5">
        <v>5279</v>
      </c>
      <c r="B5340" s="138">
        <f>'Revenues 9-14'!D65</f>
        <v>391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10855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10855</v>
      </c>
      <c r="C5355" s="2" t="s">
        <v>594</v>
      </c>
      <c r="D5355" s="2" t="str">
        <f t="shared" si="82"/>
        <v>Error?</v>
      </c>
    </row>
    <row r="5356" spans="1:4" x14ac:dyDescent="0.2">
      <c r="A5356" s="5">
        <v>5295</v>
      </c>
      <c r="B5356" s="138">
        <f>'Revenues 9-14'!D109</f>
        <v>194843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194843</v>
      </c>
      <c r="C5508" s="2" t="s">
        <v>594</v>
      </c>
      <c r="D5508" s="2" t="str">
        <f t="shared" si="85"/>
        <v>Error?</v>
      </c>
    </row>
    <row r="5509" spans="1:4" x14ac:dyDescent="0.2">
      <c r="A5509" s="5">
        <v>5448</v>
      </c>
      <c r="B5509" s="138">
        <f>'Revenues 9-14'!E5</f>
        <v>52807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52807</v>
      </c>
      <c r="C5513" s="2" t="s">
        <v>594</v>
      </c>
      <c r="D5513" s="2" t="str">
        <f t="shared" si="85"/>
        <v>Error?</v>
      </c>
    </row>
    <row r="5514" spans="1:4" x14ac:dyDescent="0.2">
      <c r="A5514" s="5">
        <v>5453</v>
      </c>
      <c r="B5514" s="138">
        <f>'Revenues 9-14'!E14</f>
        <v>376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376</v>
      </c>
      <c r="C5518" s="2" t="s">
        <v>594</v>
      </c>
      <c r="D5518" s="2" t="str">
        <f t="shared" si="85"/>
        <v>Error?</v>
      </c>
    </row>
    <row r="5519" spans="1:4" x14ac:dyDescent="0.2">
      <c r="A5519" s="5">
        <v>5458</v>
      </c>
      <c r="B5519" s="138">
        <f>'Revenues 9-14'!E65</f>
        <v>1367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1367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338279</v>
      </c>
      <c r="C5526" s="2" t="s">
        <v>594</v>
      </c>
      <c r="D5526" s="2" t="str">
        <f t="shared" si="85"/>
        <v>Error?</v>
      </c>
    </row>
    <row r="5527" spans="1:4" x14ac:dyDescent="0.2">
      <c r="A5527" s="5">
        <v>5466</v>
      </c>
      <c r="B5527" s="138">
        <f>'Revenues 9-14'!E109</f>
        <v>392829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401451</v>
      </c>
      <c r="C5552" s="2" t="s">
        <v>594</v>
      </c>
      <c r="D5552" s="2" t="str">
        <f t="shared" si="85"/>
        <v>Error?</v>
      </c>
    </row>
    <row r="5553" spans="1:4" x14ac:dyDescent="0.2">
      <c r="A5553" s="5">
        <v>5492</v>
      </c>
      <c r="B5553" s="138">
        <f>'Revenues 9-14'!F5</f>
        <v>62638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62638</v>
      </c>
      <c r="C5557" s="2" t="s">
        <v>594</v>
      </c>
      <c r="D5557" s="2" t="str">
        <f t="shared" si="85"/>
        <v>Error?</v>
      </c>
    </row>
    <row r="5558" spans="1:4" x14ac:dyDescent="0.2">
      <c r="A5558" s="5">
        <v>5497</v>
      </c>
      <c r="B5558" s="138">
        <f>'Revenues 9-14'!F14</f>
        <v>446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40446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103493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184782</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184782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184782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184782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288275</v>
      </c>
      <c r="C5720" s="2" t="s">
        <v>594</v>
      </c>
      <c r="D5720" s="2" t="str">
        <f t="shared" si="88"/>
        <v>Error?</v>
      </c>
    </row>
    <row r="5721" spans="1:4" x14ac:dyDescent="0.2">
      <c r="A5721" s="5">
        <v>5660</v>
      </c>
      <c r="B5721" s="138">
        <f>'Revenues 9-14'!G5</f>
        <v>46595</v>
      </c>
      <c r="D5721" s="2" t="str">
        <f t="shared" si="88"/>
        <v>Error?</v>
      </c>
    </row>
    <row r="5722" spans="1:4" x14ac:dyDescent="0.2">
      <c r="A5722" s="5">
        <v>5661</v>
      </c>
      <c r="B5722" s="138">
        <f>'Revenues 9-14'!G7</f>
        <v>0</v>
      </c>
      <c r="D5722" s="2" t="str">
        <f t="shared" si="88"/>
        <v>Error?</v>
      </c>
    </row>
    <row r="5723" spans="1:4" x14ac:dyDescent="0.2">
      <c r="A5723" s="5">
        <v>5662</v>
      </c>
      <c r="B5723" s="138">
        <f>'Revenues 9-14'!G8</f>
        <v>46595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93190</v>
      </c>
      <c r="C5725" s="2" t="s">
        <v>594</v>
      </c>
      <c r="D5725" s="2" t="str">
        <f t="shared" si="88"/>
        <v>Error?</v>
      </c>
    </row>
    <row r="5726" spans="1:4" x14ac:dyDescent="0.2">
      <c r="A5726" s="5">
        <v>5665</v>
      </c>
      <c r="B5726" s="138">
        <f>'Revenues 9-14'!G14</f>
        <v>664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35664</v>
      </c>
      <c r="C5730" s="2" t="s">
        <v>594</v>
      </c>
      <c r="D5730" s="2" t="str">
        <f t="shared" si="88"/>
        <v>Error?</v>
      </c>
    </row>
    <row r="5731" spans="1:4" x14ac:dyDescent="0.2">
      <c r="A5731" s="5">
        <v>5670</v>
      </c>
      <c r="B5731" s="138">
        <f>'Revenues 9-14'!G65</f>
        <v>368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129222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245</v>
      </c>
      <c r="C5915" s="2" t="s">
        <v>594</v>
      </c>
      <c r="D5915" s="2" t="str">
        <f t="shared" si="91"/>
        <v>Error?</v>
      </c>
    </row>
    <row r="5916" spans="1:4" x14ac:dyDescent="0.2">
      <c r="A5916" s="5">
        <v>5855</v>
      </c>
      <c r="B5916" s="138">
        <f>'Revenues 9-14'!I5</f>
        <v>14945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14945</v>
      </c>
      <c r="C5918" s="2" t="s">
        <v>594</v>
      </c>
      <c r="D5918" s="2" t="str">
        <f t="shared" si="91"/>
        <v>Error?</v>
      </c>
    </row>
    <row r="5919" spans="1:4" x14ac:dyDescent="0.2">
      <c r="A5919" s="5">
        <v>5858</v>
      </c>
      <c r="B5919" s="138">
        <f>'Revenues 9-14'!I14</f>
        <v>107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107</v>
      </c>
      <c r="C5923" s="2" t="s">
        <v>594</v>
      </c>
      <c r="D5923" s="2" t="str">
        <f t="shared" si="91"/>
        <v>Error?</v>
      </c>
    </row>
    <row r="5924" spans="1:4" x14ac:dyDescent="0.2">
      <c r="A5924" s="5">
        <v>5863</v>
      </c>
      <c r="B5924" s="138">
        <f>'Revenues 9-14'!I65</f>
        <v>2282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17334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15681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15681</v>
      </c>
      <c r="C5987" s="2" t="s">
        <v>594</v>
      </c>
      <c r="D5987" s="2" t="str">
        <f t="shared" si="92"/>
        <v>Error?</v>
      </c>
    </row>
    <row r="5988" spans="1:4" x14ac:dyDescent="0.2">
      <c r="A5988" s="5">
        <v>5927</v>
      </c>
      <c r="B5988" s="138">
        <f>'Revenues 9-14'!K14</f>
        <v>111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111</v>
      </c>
      <c r="C5992" s="2" t="s">
        <v>594</v>
      </c>
      <c r="D5992" s="2" t="str">
        <f t="shared" si="92"/>
        <v>Error?</v>
      </c>
    </row>
    <row r="5993" spans="1:4" x14ac:dyDescent="0.2">
      <c r="A5993" s="5">
        <v>5932</v>
      </c>
      <c r="B5993" s="138">
        <f>'Revenues 9-14'!K65</f>
        <v>243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16035</v>
      </c>
      <c r="C6023" s="2" t="s">
        <v>594</v>
      </c>
      <c r="D6023" s="2" t="str">
        <f t="shared" si="93"/>
        <v>Error?</v>
      </c>
    </row>
    <row r="6024" spans="1:5" x14ac:dyDescent="0.2">
      <c r="A6024" s="5">
        <v>5963</v>
      </c>
      <c r="B6024" s="138">
        <f>'Revenues 9-14'!G109</f>
        <v>129222</v>
      </c>
      <c r="C6024" s="2" t="s">
        <v>594</v>
      </c>
      <c r="D6024" s="2" t="str">
        <f t="shared" si="93"/>
        <v>Error?</v>
      </c>
    </row>
    <row r="6025" spans="1:5" x14ac:dyDescent="0.2">
      <c r="A6025" s="5">
        <v>5964</v>
      </c>
      <c r="B6025" s="138">
        <f>'Revenues 9-14'!H109</f>
        <v>245</v>
      </c>
      <c r="C6025" s="2" t="s">
        <v>594</v>
      </c>
      <c r="D6025" s="2" t="str">
        <f t="shared" si="93"/>
        <v>Error?</v>
      </c>
    </row>
    <row r="6026" spans="1:5" x14ac:dyDescent="0.2">
      <c r="A6026" s="5">
        <v>5965</v>
      </c>
      <c r="B6026" s="138">
        <f>'Revenues 9-14'!I109</f>
        <v>17334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16035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20602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448.73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44333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44333</v>
      </c>
      <c r="D6215" s="2" t="str">
        <f t="shared" si="96"/>
        <v>Error?</v>
      </c>
      <c r="E6215" s="2" t="s">
        <v>199</v>
      </c>
    </row>
    <row r="6216" spans="1:5" x14ac:dyDescent="0.2">
      <c r="A6216">
        <v>6155</v>
      </c>
      <c r="B6216" s="138">
        <f>'Assets-Liab 5-6'!J41</f>
        <v>44333</v>
      </c>
      <c r="D6216" s="2" t="str">
        <f t="shared" si="96"/>
        <v>Error?</v>
      </c>
      <c r="E6216" s="2" t="s">
        <v>199</v>
      </c>
    </row>
    <row r="6217" spans="1:5" x14ac:dyDescent="0.2">
      <c r="A6217">
        <v>6156</v>
      </c>
      <c r="B6217" s="138">
        <f>'Assets-Liab 5-6'!J4</f>
        <v>44333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88768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88768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88768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76452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76452</v>
      </c>
      <c r="D6229" s="2" t="str">
        <f t="shared" si="96"/>
        <v>Error?</v>
      </c>
      <c r="E6229" s="2" t="s">
        <v>199</v>
      </c>
    </row>
    <row r="6230" spans="1:5" x14ac:dyDescent="0.2">
      <c r="A6230">
        <v>6169</v>
      </c>
      <c r="B6230" s="138">
        <f>'Acct Summary 7-8'!J20</f>
        <v>12316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17177</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12316</v>
      </c>
      <c r="D6263" s="2" t="str">
        <f t="shared" si="96"/>
        <v>Error?</v>
      </c>
      <c r="E6263" s="2" t="s">
        <v>199</v>
      </c>
    </row>
    <row r="6264" spans="1:5" x14ac:dyDescent="0.2">
      <c r="A6264">
        <v>6203</v>
      </c>
      <c r="B6264" s="138">
        <f>'Acct Summary 7-8'!J79</f>
        <v>32017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44333</v>
      </c>
      <c r="D6266" s="2" t="str">
        <f t="shared" si="96"/>
        <v>Error?</v>
      </c>
      <c r="E6266" s="2" t="s">
        <v>199</v>
      </c>
    </row>
    <row r="6267" spans="1:5" x14ac:dyDescent="0.2">
      <c r="A6267">
        <v>6206</v>
      </c>
      <c r="B6267" s="138">
        <f>'Acct Summary 7-8'!C82</f>
        <v>226783</v>
      </c>
      <c r="D6267" s="2" t="str">
        <f t="shared" si="96"/>
        <v>Error?</v>
      </c>
      <c r="E6267" s="2" t="s">
        <v>199</v>
      </c>
    </row>
    <row r="6268" spans="1:5" x14ac:dyDescent="0.2">
      <c r="A6268">
        <v>6207</v>
      </c>
      <c r="B6268" s="138">
        <f>'Acct Summary 7-8'!D82</f>
        <v>-38962</v>
      </c>
      <c r="D6268" s="2" t="str">
        <f t="shared" si="96"/>
        <v>Error?</v>
      </c>
      <c r="E6268" s="2" t="s">
        <v>199</v>
      </c>
    </row>
    <row r="6269" spans="1:5" x14ac:dyDescent="0.2">
      <c r="A6269">
        <v>6208</v>
      </c>
      <c r="B6269" s="138">
        <f>'Acct Summary 7-8'!E82</f>
        <v>80217</v>
      </c>
      <c r="D6269" s="2" t="str">
        <f t="shared" si="96"/>
        <v>Error?</v>
      </c>
      <c r="E6269" s="2" t="s">
        <v>199</v>
      </c>
    </row>
    <row r="6270" spans="1:5" x14ac:dyDescent="0.2">
      <c r="A6270">
        <v>6209</v>
      </c>
      <c r="B6270" s="138">
        <f>'Acct Summary 7-8'!F82</f>
        <v>58018</v>
      </c>
      <c r="D6270" s="2" t="str">
        <f t="shared" si="96"/>
        <v>Error?</v>
      </c>
      <c r="E6270" s="2" t="s">
        <v>199</v>
      </c>
    </row>
    <row r="6271" spans="1:5" x14ac:dyDescent="0.2">
      <c r="A6271">
        <v>6210</v>
      </c>
      <c r="B6271" s="138">
        <f>'Acct Summary 7-8'!G82</f>
        <v>11048</v>
      </c>
      <c r="D6271" s="2" t="str">
        <f t="shared" ref="D6271:D6334" si="97">IF(ISBLANK(B6271),"OK",IF(A6271-B6271=0,"OK","Error?"))</f>
        <v>Error?</v>
      </c>
      <c r="E6271" s="2" t="s">
        <v>199</v>
      </c>
    </row>
    <row r="6272" spans="1:5" x14ac:dyDescent="0.2">
      <c r="A6272">
        <v>6211</v>
      </c>
      <c r="B6272" s="138">
        <f>'Acct Summary 7-8'!H82</f>
        <v>-26892</v>
      </c>
      <c r="D6272" s="2" t="str">
        <f t="shared" si="97"/>
        <v>Error?</v>
      </c>
      <c r="E6272" s="2" t="s">
        <v>199</v>
      </c>
    </row>
    <row r="6273" spans="1:5" x14ac:dyDescent="0.2">
      <c r="A6273">
        <v>6212</v>
      </c>
      <c r="B6273" s="138">
        <f>'Acct Summary 7-8'!I82</f>
        <v>17334</v>
      </c>
      <c r="D6273" s="2" t="str">
        <f t="shared" si="97"/>
        <v>Error?</v>
      </c>
      <c r="E6273" s="2" t="s">
        <v>199</v>
      </c>
    </row>
    <row r="6274" spans="1:5" x14ac:dyDescent="0.2">
      <c r="A6274">
        <v>6213</v>
      </c>
      <c r="B6274" s="138">
        <f>'Acct Summary 7-8'!J82</f>
        <v>12316</v>
      </c>
      <c r="D6274" s="2" t="str">
        <f t="shared" si="97"/>
        <v>Error?</v>
      </c>
      <c r="E6274" s="2" t="s">
        <v>199</v>
      </c>
    </row>
    <row r="6275" spans="1:5" x14ac:dyDescent="0.2">
      <c r="A6275">
        <v>6214</v>
      </c>
      <c r="B6275" s="138">
        <f>'Acct Summary 7-8'!K82</f>
        <v>-11865</v>
      </c>
      <c r="D6275" s="2" t="str">
        <f t="shared" si="97"/>
        <v>Error?</v>
      </c>
      <c r="E6275" s="2" t="s">
        <v>199</v>
      </c>
    </row>
    <row r="6276" spans="1:5" x14ac:dyDescent="0.2">
      <c r="A6276">
        <v>6215</v>
      </c>
      <c r="B6276" s="138">
        <f>'Acct Summary 7-8'!C83</f>
        <v>0.51343219379669458</v>
      </c>
      <c r="D6276" s="2" t="str">
        <f t="shared" si="97"/>
        <v>Error?</v>
      </c>
      <c r="E6276" s="2" t="s">
        <v>199</v>
      </c>
    </row>
    <row r="6277" spans="1:5" x14ac:dyDescent="0.2">
      <c r="A6277">
        <v>6216</v>
      </c>
      <c r="B6277" s="138">
        <f>'Acct Summary 7-8'!D83</f>
        <v>-4.972179683511996</v>
      </c>
      <c r="D6277" s="2" t="str">
        <f t="shared" si="97"/>
        <v>Error?</v>
      </c>
      <c r="E6277" s="2" t="s">
        <v>199</v>
      </c>
    </row>
    <row r="6278" spans="1:5" x14ac:dyDescent="0.2">
      <c r="A6278">
        <v>6217</v>
      </c>
      <c r="B6278" s="138">
        <f>'Acct Summary 7-8'!E83</f>
        <v>0.28173104952428452</v>
      </c>
      <c r="D6278" s="2" t="str">
        <f t="shared" si="97"/>
        <v>Error?</v>
      </c>
      <c r="E6278" s="2" t="s">
        <v>199</v>
      </c>
    </row>
    <row r="6279" spans="1:5" x14ac:dyDescent="0.2">
      <c r="A6279">
        <v>6218</v>
      </c>
      <c r="B6279" s="138">
        <f>'Acct Summary 7-8'!F83</f>
        <v>0.64400044400044398</v>
      </c>
      <c r="D6279" s="2" t="str">
        <f t="shared" si="97"/>
        <v>Error?</v>
      </c>
      <c r="E6279" s="2" t="s">
        <v>199</v>
      </c>
    </row>
    <row r="6280" spans="1:5" x14ac:dyDescent="0.2">
      <c r="A6280">
        <v>6219</v>
      </c>
      <c r="B6280" s="138">
        <f>'Acct Summary 7-8'!G83</f>
        <v>0.28949506066084951</v>
      </c>
      <c r="D6280" s="2" t="str">
        <f t="shared" si="97"/>
        <v>Error?</v>
      </c>
      <c r="E6280" s="2" t="s">
        <v>199</v>
      </c>
    </row>
    <row r="6281" spans="1:5" x14ac:dyDescent="0.2">
      <c r="A6281">
        <v>6220</v>
      </c>
      <c r="B6281" s="138">
        <f>'Acct Summary 7-8'!H83</f>
        <v>-0.73239283185358683</v>
      </c>
      <c r="D6281" s="2" t="str">
        <f t="shared" si="97"/>
        <v>Error?</v>
      </c>
      <c r="E6281" s="2" t="s">
        <v>199</v>
      </c>
    </row>
    <row r="6282" spans="1:5" x14ac:dyDescent="0.2">
      <c r="A6282">
        <v>6221</v>
      </c>
      <c r="B6282" s="138">
        <f>'Acct Summary 7-8'!I83</f>
        <v>4.7820701337180915E-2</v>
      </c>
      <c r="D6282" s="2" t="str">
        <f t="shared" si="97"/>
        <v>Error?</v>
      </c>
      <c r="E6282" s="2" t="s">
        <v>199</v>
      </c>
    </row>
    <row r="6283" spans="1:5" x14ac:dyDescent="0.2">
      <c r="A6283">
        <v>6222</v>
      </c>
      <c r="B6283" s="138">
        <f>'Acct Summary 7-8'!J83</f>
        <v>0.27780660004962443</v>
      </c>
      <c r="D6283" s="2" t="str">
        <f t="shared" si="97"/>
        <v>Error?</v>
      </c>
      <c r="E6283" s="2" t="s">
        <v>199</v>
      </c>
    </row>
    <row r="6284" spans="1:5" x14ac:dyDescent="0.2">
      <c r="A6284">
        <v>6223</v>
      </c>
      <c r="B6284" s="138">
        <f>'Acct Summary 7-8'!K83</f>
        <v>-0.34146832820099576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17177</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87788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87788</v>
      </c>
      <c r="D6301" s="2" t="str">
        <f t="shared" si="97"/>
        <v>Error?</v>
      </c>
      <c r="E6301" s="2" t="s">
        <v>199</v>
      </c>
    </row>
    <row r="6302" spans="1:5" x14ac:dyDescent="0.2">
      <c r="A6302">
        <v>6241</v>
      </c>
      <c r="B6302" s="138">
        <f>'Revenues 9-14'!J14</f>
        <v>625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625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88768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8622</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8622</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436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76452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88768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20292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20292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56160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56160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76452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76452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76452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76452</v>
      </c>
      <c r="D7224" s="2" t="str">
        <f t="shared" si="111"/>
        <v>Error?</v>
      </c>
    </row>
    <row r="7225" spans="1:4" x14ac:dyDescent="0.2">
      <c r="A7225">
        <v>7164</v>
      </c>
      <c r="B7225" s="138">
        <f>'Expenditures 15-22'!K343</f>
        <v>12316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436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v>
      </c>
      <c r="D7263" s="2" t="str">
        <f t="shared" si="112"/>
        <v>Error?</v>
      </c>
    </row>
    <row r="7264" spans="1:4" x14ac:dyDescent="0.2">
      <c r="A7264">
        <f t="shared" si="113"/>
        <v>7203</v>
      </c>
      <c r="B7264" s="138">
        <f>'Expenditures 15-22'!D17</f>
        <v>7</v>
      </c>
      <c r="D7264" s="2" t="str">
        <f t="shared" si="112"/>
        <v>Error?</v>
      </c>
    </row>
    <row r="7265" spans="1:5" x14ac:dyDescent="0.2">
      <c r="A7265">
        <f t="shared" si="113"/>
        <v>7204</v>
      </c>
      <c r="B7265" s="138">
        <f>'Expenditures 15-22'!E17</f>
        <v>168</v>
      </c>
      <c r="D7265" s="2" t="str">
        <f t="shared" si="112"/>
        <v>Error?</v>
      </c>
    </row>
    <row r="7266" spans="1:5" x14ac:dyDescent="0.2">
      <c r="A7266">
        <f t="shared" si="113"/>
        <v>7205</v>
      </c>
      <c r="B7266" s="138">
        <f>'Expenditures 15-22'!F17</f>
        <v>538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288673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-58944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338279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338279</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27137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48912</v>
      </c>
      <c r="D7724" s="2" t="str">
        <f t="shared" si="126"/>
        <v>Error?</v>
      </c>
      <c r="E7724" s="2" t="s">
        <v>881</v>
      </c>
      <c r="F7724" s="2"/>
    </row>
    <row r="7725" spans="1:6" x14ac:dyDescent="0.2">
      <c r="A7725">
        <v>7664</v>
      </c>
      <c r="B7725" s="138">
        <f>'Rest Tax Levies-Tort Im 25'!J19</f>
        <v>220000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268912</v>
      </c>
      <c r="D7727" s="2" t="str">
        <f t="shared" si="126"/>
        <v>Error?</v>
      </c>
      <c r="E7727" s="2" t="s">
        <v>881</v>
      </c>
    </row>
    <row r="7728" spans="1:6" x14ac:dyDescent="0.2">
      <c r="A7728">
        <v>7667</v>
      </c>
      <c r="B7728" s="138">
        <f>'Revenues 9-14'!E103</f>
        <v>338279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296049</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-16714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-16714</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8622</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Crab Orchard CUSD 3</v>
      </c>
      <c r="B7" s="2422"/>
      <c r="C7" s="2422"/>
      <c r="D7" s="2423"/>
      <c r="E7" s="2424">
        <f>COVER!A13</f>
        <v>21100003026</v>
      </c>
      <c r="F7" s="2425"/>
      <c r="G7" s="2431">
        <f>COVER!T23</f>
        <v>65.022628999999995</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Cindy A. Bobell, CPA</v>
      </c>
      <c r="H9" s="2437"/>
      <c r="I9" s="2437"/>
      <c r="J9" s="2437"/>
      <c r="K9" s="2437"/>
      <c r="L9" s="2438"/>
    </row>
    <row r="10" spans="1:29" ht="13.5" customHeight="1" x14ac:dyDescent="0.2">
      <c r="A10" s="2411" t="str">
        <f>COVER!A38</f>
        <v>Derek Hutchins</v>
      </c>
      <c r="B10" s="2412"/>
      <c r="C10" s="2412"/>
      <c r="D10" s="2412"/>
      <c r="E10" s="2412"/>
      <c r="F10" s="2413"/>
      <c r="G10" s="2405" t="str">
        <f>COVER!T17</f>
        <v>10653 Khoury League Road</v>
      </c>
      <c r="H10" s="2406"/>
      <c r="I10" s="2406"/>
      <c r="J10" s="2406"/>
      <c r="K10" s="2406"/>
      <c r="L10" s="2407"/>
    </row>
    <row r="11" spans="1:29" ht="13.5" customHeight="1" x14ac:dyDescent="0.2">
      <c r="A11" s="1185" t="s">
        <v>1599</v>
      </c>
      <c r="B11" s="1186"/>
      <c r="C11" s="1187"/>
      <c r="D11" s="1192"/>
      <c r="E11" s="1187"/>
      <c r="F11" s="1191"/>
      <c r="G11" s="2405" t="str">
        <f>COVER!T19</f>
        <v>Marion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cabcpa@frontier.com</v>
      </c>
      <c r="J13" s="2418"/>
      <c r="K13" s="2418"/>
      <c r="L13" s="2419"/>
    </row>
    <row r="14" spans="1:29" ht="13.5" customHeight="1" x14ac:dyDescent="0.2">
      <c r="A14" s="2405" t="str">
        <f>COVER!A19</f>
        <v>18189 Cory Bailey Street</v>
      </c>
      <c r="B14" s="2406"/>
      <c r="C14" s="2406"/>
      <c r="D14" s="2406"/>
      <c r="E14" s="2406"/>
      <c r="F14" s="2407"/>
      <c r="G14" s="1196" t="s">
        <v>1247</v>
      </c>
      <c r="H14" s="1194"/>
      <c r="I14" s="1194"/>
      <c r="J14" s="1194"/>
      <c r="K14" s="1194"/>
      <c r="L14" s="1195"/>
    </row>
    <row r="15" spans="1:29" ht="13.5" customHeight="1" x14ac:dyDescent="0.2">
      <c r="A15" s="2405" t="str">
        <f>COVER!A21</f>
        <v>Marion</v>
      </c>
      <c r="B15" s="2406"/>
      <c r="C15" s="2406"/>
      <c r="D15" s="2406"/>
      <c r="E15" s="2406"/>
      <c r="F15" s="2407"/>
      <c r="G15" s="2402" t="str">
        <f>COVER!T15</f>
        <v>Cindy A. Bobell, CPA</v>
      </c>
      <c r="H15" s="2403"/>
      <c r="I15" s="2403"/>
      <c r="J15" s="2403"/>
      <c r="K15" s="2403"/>
      <c r="L15" s="2404"/>
    </row>
    <row r="16" spans="1:29" ht="12.2" customHeight="1" x14ac:dyDescent="0.2">
      <c r="A16" s="2427">
        <f>COVER!A25</f>
        <v>62959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618-997-9711</v>
      </c>
      <c r="H18" s="2422"/>
      <c r="I18" s="2422"/>
      <c r="J18" s="2422"/>
      <c r="K18" s="2421" t="str">
        <f>COVER!X21</f>
        <v>618-997-8014</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Crab Orchard CUSD 3</v>
      </c>
      <c r="B1" s="2420"/>
      <c r="C1" s="2420"/>
      <c r="D1" s="2420"/>
    </row>
    <row r="2" spans="1:11" s="1215" customFormat="1" ht="12.75" x14ac:dyDescent="0.2">
      <c r="A2" s="2444">
        <f>'Single Audit Cover'!E7</f>
        <v>21100003026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Crab Orchard CUSD 3</v>
      </c>
      <c r="B1" s="2447"/>
      <c r="C1" s="2447"/>
      <c r="D1" s="2447"/>
      <c r="E1" s="2447"/>
    </row>
    <row r="2" spans="1:5" x14ac:dyDescent="0.2">
      <c r="A2" s="2448">
        <f>'Single Audit Cover'!E7</f>
        <v>21100003026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356972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20602</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377574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377574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377574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Crab Orchard CUSD 3</v>
      </c>
      <c r="B1" s="2460"/>
      <c r="C1" s="2460"/>
      <c r="D1" s="2460"/>
      <c r="E1" s="2460"/>
      <c r="F1" s="2460"/>
    </row>
    <row r="2" spans="1:7" ht="13.5" customHeight="1" x14ac:dyDescent="0.2">
      <c r="A2" s="2461">
        <f>'Single Audit Cover'!E7</f>
        <v>21100003026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4">
        <f>+C33+C34</f>
        <v>0</v>
      </c>
      <c r="F34" s="245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9"/>
      <c r="C50" s="1869"/>
      <c r="D50" s="1869"/>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Crab Orchard CUSD 3</v>
      </c>
      <c r="C1" s="2464"/>
      <c r="D1" s="2464"/>
      <c r="E1" s="2464"/>
      <c r="F1" s="2464"/>
      <c r="G1" s="2464"/>
      <c r="H1" s="2464"/>
      <c r="I1" s="2464"/>
      <c r="J1" s="2464"/>
      <c r="K1" s="2464"/>
      <c r="L1" s="2464"/>
      <c r="M1" s="2464"/>
    </row>
    <row r="2" spans="2:14" ht="15" x14ac:dyDescent="0.2">
      <c r="B2" s="2461">
        <f>'Single Audit Cover'!E7</f>
        <v>21100003026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2102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2102</v>
      </c>
      <c r="C53" s="179">
        <v>22</v>
      </c>
      <c r="D53" s="247" t="s">
        <v>1537</v>
      </c>
      <c r="E53" s="248"/>
      <c r="F53" s="249"/>
      <c r="G53" s="249" t="s">
        <v>1536</v>
      </c>
      <c r="H53" s="250">
        <v>35735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2"/>
      <c r="G118" s="1955"/>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Crab Orchard CUSD 3</v>
      </c>
      <c r="C1" s="2479"/>
      <c r="D1" s="2479"/>
      <c r="E1" s="2479"/>
      <c r="F1" s="2479"/>
      <c r="G1" s="2479"/>
      <c r="H1" s="2479"/>
      <c r="I1" s="2479"/>
      <c r="J1" s="1422"/>
    </row>
    <row r="2" spans="2:10" s="317" customFormat="1" ht="12.75" customHeight="1" x14ac:dyDescent="0.2">
      <c r="B2" s="2480">
        <f>'Single Audit Cover'!E7</f>
        <v>21100003026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Crab Orchard CUSD 3</v>
      </c>
      <c r="C1" s="2478"/>
      <c r="D1" s="2478"/>
      <c r="E1" s="2478"/>
      <c r="F1" s="2478"/>
      <c r="G1" s="2478"/>
      <c r="H1" s="2478"/>
      <c r="I1" s="2478"/>
      <c r="J1" s="2478"/>
      <c r="K1" s="2478"/>
      <c r="L1" s="1374"/>
      <c r="M1" s="1374"/>
    </row>
    <row r="2" spans="1:13" ht="12" customHeight="1" x14ac:dyDescent="0.2">
      <c r="B2" s="2480">
        <f>'Single Audit Cover'!E7</f>
        <v>21100003026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2102</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2103</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2104</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2105</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2106</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&amp;RB-37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Crab Orchard CUSD 3</v>
      </c>
      <c r="C1" s="2501"/>
      <c r="D1" s="2501"/>
      <c r="E1" s="2501"/>
      <c r="F1" s="2501"/>
      <c r="G1" s="2501"/>
      <c r="H1" s="2501"/>
      <c r="I1" s="2501"/>
      <c r="J1" s="2501"/>
      <c r="K1" s="2501"/>
      <c r="L1" s="1465"/>
    </row>
    <row r="2" spans="1:12" ht="12.75" customHeight="1" x14ac:dyDescent="0.2">
      <c r="B2" s="2502">
        <f>'Single Audit Cover'!E7</f>
        <v>21100003026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Crab Orchard CUSD 3</v>
      </c>
      <c r="C1" s="2478"/>
      <c r="D1" s="2478"/>
      <c r="E1" s="1491"/>
    </row>
    <row r="2" spans="2:5" s="1282" customFormat="1" ht="12.75" customHeight="1" x14ac:dyDescent="0.2">
      <c r="B2" s="2480">
        <f>'Single Audit Cover'!E7</f>
        <v>21100003026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2108</v>
      </c>
      <c r="C7" s="324" t="s">
        <v>2109</v>
      </c>
      <c r="D7" s="324" t="s">
        <v>2110</v>
      </c>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&amp;RB-38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1" colorId="8" zoomScaleNormal="100" workbookViewId="0"/>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33118833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2.60442E-2</v>
      </c>
      <c r="E10" s="356" t="s">
        <v>1062</v>
      </c>
      <c r="F10" s="355">
        <v>5.0070599999999998E-3</v>
      </c>
      <c r="G10" s="356" t="s">
        <v>1062</v>
      </c>
      <c r="H10" s="355">
        <v>1.9639000000000002E-3</v>
      </c>
      <c r="I10" s="356" t="s">
        <v>1063</v>
      </c>
      <c r="J10" s="1754">
        <f>ROUND(D10+F10+H10,5)</f>
        <v>3.3020000000000001E-2</v>
      </c>
      <c r="K10" s="222"/>
      <c r="L10" s="355">
        <v>4.4779999999999999E-4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4145716</v>
      </c>
      <c r="E16" s="356"/>
      <c r="F16" s="1755">
        <f>SUM('Acct Summary 7-8'!C17,'Acct Summary 7-8'!D17,'Acct Summary 7-8'!F17)</f>
        <v>3865366</v>
      </c>
      <c r="G16" s="356"/>
      <c r="H16" s="1755">
        <f>SUM(D16-F16)</f>
        <v>280350</v>
      </c>
      <c r="I16" s="222"/>
      <c r="J16" s="1755">
        <f>SUM('Acct Summary 7-8'!C81,'Acct Summary 7-8'!D81,'Acct Summary 7-8'!F81,'Acct Summary 7-8'!I81)</f>
        <v>902105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4570398.9540000008</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1888503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Crab Orchard CUSD 3</v>
      </c>
      <c r="E7" s="391"/>
      <c r="G7" s="252"/>
      <c r="H7" s="387"/>
      <c r="I7" s="387"/>
      <c r="J7" s="387"/>
      <c r="K7" s="387"/>
      <c r="L7" s="329"/>
      <c r="M7" s="329"/>
      <c r="N7" s="329"/>
      <c r="O7" s="329"/>
      <c r="P7" s="329"/>
    </row>
    <row r="8" spans="1:18" ht="12.75" x14ac:dyDescent="0.2">
      <c r="A8" s="329"/>
      <c r="B8" s="329"/>
      <c r="C8" s="389" t="s">
        <v>1187</v>
      </c>
      <c r="D8" s="392">
        <f>COVER!A13</f>
        <v>21100003026</v>
      </c>
      <c r="E8" s="393"/>
      <c r="G8" s="329"/>
      <c r="H8" s="329"/>
      <c r="I8" s="329"/>
      <c r="J8" s="329"/>
      <c r="K8" s="329"/>
      <c r="L8" s="329"/>
      <c r="M8" s="329"/>
      <c r="N8" s="329"/>
      <c r="O8" s="329"/>
      <c r="P8" s="329"/>
    </row>
    <row r="9" spans="1:18" ht="12.75" x14ac:dyDescent="0.2">
      <c r="A9" s="329"/>
      <c r="B9" s="329"/>
      <c r="C9" s="389" t="s">
        <v>737</v>
      </c>
      <c r="D9" s="394" t="str">
        <f>COVER!A15</f>
        <v>Williamson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902105</v>
      </c>
      <c r="I12" s="404"/>
      <c r="J12" s="404"/>
      <c r="K12" s="405">
        <f>TRUNC((H12/H13*100000),5)/100000</f>
        <v>0.2185046574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4128539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-17177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3865366</v>
      </c>
      <c r="I17" s="404"/>
      <c r="J17" s="416"/>
      <c r="K17" s="405">
        <f>TRUNC((H17/H18*100000),5)/100000</f>
        <v>0.93625517400000002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4128539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-17177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902856</v>
      </c>
      <c r="I24" s="422"/>
      <c r="J24" s="422"/>
      <c r="K24" s="423">
        <f>TRUNC(((H24/H25*100000)/100000),2)</f>
        <v>84.08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10737.127780000001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929546.28581000003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1888503</v>
      </c>
      <c r="I32" s="420"/>
      <c r="J32" s="420"/>
      <c r="K32" s="423">
        <f>TRUNC(100-((((H32/H33*100))*100)/100),2)</f>
        <v>58.67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4570398.9540000008</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P6" colorId="8" zoomScaleNormal="100" workbookViewId="0"/>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441658</v>
      </c>
      <c r="D4" s="466">
        <v>7836</v>
      </c>
      <c r="E4" s="466">
        <v>284729</v>
      </c>
      <c r="F4" s="466">
        <v>90883</v>
      </c>
      <c r="G4" s="466">
        <v>38163</v>
      </c>
      <c r="H4" s="466">
        <v>36718</v>
      </c>
      <c r="I4" s="466">
        <v>362479</v>
      </c>
      <c r="J4" s="467">
        <v>44333</v>
      </c>
      <c r="K4" s="466">
        <v>34747</v>
      </c>
      <c r="L4" s="466">
        <v>77349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42</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441700</v>
      </c>
      <c r="D13" s="1759">
        <f t="shared" ref="D13:L13" si="0">SUM(D4:D12)</f>
        <v>7836</v>
      </c>
      <c r="E13" s="1759">
        <f t="shared" si="0"/>
        <v>284729</v>
      </c>
      <c r="F13" s="1759">
        <f t="shared" si="0"/>
        <v>90883</v>
      </c>
      <c r="G13" s="1759">
        <f t="shared" si="0"/>
        <v>38163</v>
      </c>
      <c r="H13" s="1759">
        <f t="shared" si="0"/>
        <v>36718</v>
      </c>
      <c r="I13" s="1759">
        <f t="shared" si="0"/>
        <v>362479</v>
      </c>
      <c r="J13" s="1759">
        <f t="shared" si="0"/>
        <v>44333</v>
      </c>
      <c r="K13" s="1759">
        <f t="shared" si="0"/>
        <v>34747</v>
      </c>
      <c r="L13" s="1759">
        <f t="shared" si="0"/>
        <v>77349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129737</v>
      </c>
      <c r="N16" s="484"/>
    </row>
    <row r="17" spans="1:14" s="485" customFormat="1" ht="12.75" customHeight="1" x14ac:dyDescent="0.2">
      <c r="A17" s="482" t="s">
        <v>1470</v>
      </c>
      <c r="B17" s="483">
        <v>230</v>
      </c>
      <c r="C17" s="477"/>
      <c r="D17" s="477"/>
      <c r="E17" s="477"/>
      <c r="F17" s="477"/>
      <c r="G17" s="477"/>
      <c r="H17" s="477"/>
      <c r="I17" s="477"/>
      <c r="J17" s="477"/>
      <c r="K17" s="477"/>
      <c r="L17" s="477"/>
      <c r="M17" s="467">
        <v>7727474</v>
      </c>
      <c r="N17" s="484"/>
    </row>
    <row r="18" spans="1:14" s="485" customFormat="1" ht="12.75" customHeight="1" x14ac:dyDescent="0.2">
      <c r="A18" s="482" t="s">
        <v>1471</v>
      </c>
      <c r="B18" s="483">
        <v>240</v>
      </c>
      <c r="C18" s="477"/>
      <c r="D18" s="477"/>
      <c r="E18" s="477"/>
      <c r="F18" s="477"/>
      <c r="G18" s="477"/>
      <c r="H18" s="477"/>
      <c r="I18" s="477"/>
      <c r="J18" s="477"/>
      <c r="K18" s="477"/>
      <c r="L18" s="477"/>
      <c r="M18" s="467">
        <v>194042</v>
      </c>
      <c r="N18" s="484"/>
    </row>
    <row r="19" spans="1:14" s="485" customFormat="1" ht="12.75" customHeight="1" x14ac:dyDescent="0.2">
      <c r="A19" s="482" t="s">
        <v>1472</v>
      </c>
      <c r="B19" s="483">
        <v>250</v>
      </c>
      <c r="C19" s="477"/>
      <c r="D19" s="477"/>
      <c r="E19" s="477"/>
      <c r="F19" s="477"/>
      <c r="G19" s="477"/>
      <c r="H19" s="477"/>
      <c r="I19" s="477"/>
      <c r="J19" s="477"/>
      <c r="K19" s="477"/>
      <c r="L19" s="477"/>
      <c r="M19" s="467">
        <v>199356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284729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1603774</v>
      </c>
    </row>
    <row r="23" spans="1:14" ht="13.5" customHeight="1" thickBot="1" x14ac:dyDescent="0.25">
      <c r="A23" s="1758" t="s">
        <v>664</v>
      </c>
      <c r="B23" s="1763"/>
      <c r="C23" s="468"/>
      <c r="D23" s="468"/>
      <c r="E23" s="468"/>
      <c r="F23" s="468"/>
      <c r="G23" s="468"/>
      <c r="H23" s="468"/>
      <c r="I23" s="468"/>
      <c r="J23" s="468"/>
      <c r="K23" s="468"/>
      <c r="L23" s="468"/>
      <c r="M23" s="1710">
        <f>SUM(M15:M22)</f>
        <v>8250609</v>
      </c>
      <c r="N23" s="1710">
        <f>SUM(N21:N22)</f>
        <v>1888503</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v>793</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77349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793</v>
      </c>
      <c r="G34" s="1762">
        <f t="shared" si="1"/>
        <v>0</v>
      </c>
      <c r="H34" s="1762">
        <f t="shared" si="1"/>
        <v>0</v>
      </c>
      <c r="I34" s="1762">
        <f t="shared" si="1"/>
        <v>0</v>
      </c>
      <c r="J34" s="1762">
        <f t="shared" si="1"/>
        <v>0</v>
      </c>
      <c r="K34" s="1762">
        <f t="shared" si="1"/>
        <v>0</v>
      </c>
      <c r="L34" s="1743">
        <f>SUM(L33)</f>
        <v>77349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1888503</v>
      </c>
    </row>
    <row r="37" spans="1:14" ht="13.5" thickBot="1" x14ac:dyDescent="0.25">
      <c r="A37" s="1758" t="s">
        <v>674</v>
      </c>
      <c r="B37" s="1763"/>
      <c r="C37" s="477"/>
      <c r="D37" s="477"/>
      <c r="E37" s="477"/>
      <c r="F37" s="477"/>
      <c r="G37" s="477"/>
      <c r="H37" s="477"/>
      <c r="I37" s="477"/>
      <c r="J37" s="477"/>
      <c r="K37" s="477"/>
      <c r="L37" s="480"/>
      <c r="M37" s="468"/>
      <c r="N37" s="1710">
        <f>SUM(N36:N36)</f>
        <v>1888503</v>
      </c>
    </row>
    <row r="38" spans="1:14" s="329" customFormat="1" ht="13.5" customHeight="1" thickTop="1" x14ac:dyDescent="0.2">
      <c r="A38" s="496" t="s">
        <v>440</v>
      </c>
      <c r="B38" s="483">
        <v>714</v>
      </c>
      <c r="C38" s="466">
        <v>18777</v>
      </c>
      <c r="D38" s="466"/>
      <c r="E38" s="466"/>
      <c r="F38" s="466"/>
      <c r="G38" s="466"/>
      <c r="H38" s="466"/>
      <c r="I38" s="466"/>
      <c r="J38" s="467"/>
      <c r="K38" s="466"/>
      <c r="L38" s="481"/>
      <c r="M38" s="497"/>
      <c r="N38" s="497"/>
    </row>
    <row r="39" spans="1:14" s="329" customFormat="1" ht="13.5" customHeight="1" x14ac:dyDescent="0.2">
      <c r="A39" s="496" t="s">
        <v>360</v>
      </c>
      <c r="B39" s="483">
        <v>730</v>
      </c>
      <c r="C39" s="466">
        <v>422923</v>
      </c>
      <c r="D39" s="466">
        <v>7836</v>
      </c>
      <c r="E39" s="466">
        <v>284729</v>
      </c>
      <c r="F39" s="466">
        <v>90090</v>
      </c>
      <c r="G39" s="466">
        <v>38163</v>
      </c>
      <c r="H39" s="466">
        <v>36718</v>
      </c>
      <c r="I39" s="466">
        <v>362479</v>
      </c>
      <c r="J39" s="467">
        <v>44333</v>
      </c>
      <c r="K39" s="466">
        <v>34747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8250609</v>
      </c>
      <c r="N40" s="497"/>
    </row>
    <row r="41" spans="1:14" ht="13.5" customHeight="1" thickBot="1" x14ac:dyDescent="0.25">
      <c r="A41" s="1758" t="s">
        <v>676</v>
      </c>
      <c r="B41" s="1728"/>
      <c r="C41" s="1710">
        <f>(SUM(C34,C37,C38,C39))</f>
        <v>441700</v>
      </c>
      <c r="D41" s="1710">
        <f t="shared" ref="D41:L41" si="2">SUM(D34,D37,D38:D39)</f>
        <v>7836</v>
      </c>
      <c r="E41" s="1710">
        <f t="shared" si="2"/>
        <v>284729</v>
      </c>
      <c r="F41" s="1710">
        <f t="shared" si="2"/>
        <v>90883</v>
      </c>
      <c r="G41" s="1710">
        <f t="shared" si="2"/>
        <v>38163</v>
      </c>
      <c r="H41" s="1710">
        <f t="shared" si="2"/>
        <v>36718</v>
      </c>
      <c r="I41" s="1710">
        <f t="shared" si="2"/>
        <v>362479</v>
      </c>
      <c r="J41" s="1710">
        <f t="shared" si="2"/>
        <v>44333</v>
      </c>
      <c r="K41" s="1710">
        <f t="shared" si="2"/>
        <v>34747</v>
      </c>
      <c r="L41" s="1710">
        <f t="shared" si="2"/>
        <v>77349</v>
      </c>
      <c r="M41" s="1710">
        <f>SUM(M40)</f>
        <v>8250609</v>
      </c>
      <c r="N41" s="1710">
        <f>SUM(N37)</f>
        <v>1888503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integral part of this statement.&amp;RB-5</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1" topLeftCell="A64"/>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1103693</v>
      </c>
      <c r="D4" s="1764">
        <f>'Revenues 9-14'!D109</f>
        <v>194843</v>
      </c>
      <c r="E4" s="1764">
        <f>'Revenues 9-14'!E109</f>
        <v>392829</v>
      </c>
      <c r="F4" s="1764">
        <f>'Revenues 9-14'!F109</f>
        <v>103493</v>
      </c>
      <c r="G4" s="1764">
        <f>'Revenues 9-14'!G109</f>
        <v>129222</v>
      </c>
      <c r="H4" s="1764">
        <f>'Revenues 9-14'!H109</f>
        <v>245</v>
      </c>
      <c r="I4" s="1764">
        <f>'Revenues 9-14'!I109</f>
        <v>17334</v>
      </c>
      <c r="J4" s="1764">
        <f>'Revenues 9-14'!J109</f>
        <v>88768</v>
      </c>
      <c r="K4" s="1764">
        <f>'Revenues 9-14'!K109</f>
        <v>16035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2193221</v>
      </c>
      <c r="D6" s="1765">
        <f>'Revenues 9-14'!D173</f>
        <v>0</v>
      </c>
      <c r="E6" s="1765">
        <f>'Revenues 9-14'!E173</f>
        <v>0</v>
      </c>
      <c r="F6" s="1765">
        <f>'Revenues 9-14'!F173</f>
        <v>184782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348350</v>
      </c>
      <c r="D7" s="1765">
        <f>'Revenues 9-14'!D274</f>
        <v>0</v>
      </c>
      <c r="E7" s="1765">
        <f>'Revenues 9-14'!E274</f>
        <v>8622</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3645264</v>
      </c>
      <c r="D8" s="1710">
        <f t="shared" ref="D8:K8" si="0">SUM(D4:D7)</f>
        <v>194843</v>
      </c>
      <c r="E8" s="1710">
        <f t="shared" si="0"/>
        <v>401451</v>
      </c>
      <c r="F8" s="1710">
        <f t="shared" si="0"/>
        <v>288275</v>
      </c>
      <c r="G8" s="1710">
        <f t="shared" si="0"/>
        <v>129222</v>
      </c>
      <c r="H8" s="1710">
        <f t="shared" si="0"/>
        <v>245</v>
      </c>
      <c r="I8" s="1710">
        <f t="shared" si="0"/>
        <v>17334</v>
      </c>
      <c r="J8" s="1710">
        <f t="shared" si="0"/>
        <v>88768</v>
      </c>
      <c r="K8" s="1710">
        <f t="shared" si="0"/>
        <v>16035</v>
      </c>
      <c r="L8" s="347"/>
    </row>
    <row r="9" spans="1:13" ht="15.75" thickTop="1" x14ac:dyDescent="0.2">
      <c r="A9" s="514" t="s">
        <v>1752</v>
      </c>
      <c r="B9" s="515">
        <v>3998</v>
      </c>
      <c r="C9" s="481">
        <v>1107333</v>
      </c>
      <c r="D9" s="516"/>
      <c r="E9" s="481"/>
      <c r="F9" s="481"/>
      <c r="G9" s="517"/>
      <c r="H9" s="481"/>
      <c r="I9" s="509" t="s">
        <v>1231</v>
      </c>
      <c r="J9" s="478"/>
      <c r="K9" s="481"/>
      <c r="L9" s="347"/>
    </row>
    <row r="10" spans="1:13" s="519" customFormat="1" ht="13.5" thickBot="1" x14ac:dyDescent="0.25">
      <c r="A10" s="1758" t="s">
        <v>1235</v>
      </c>
      <c r="B10" s="1731"/>
      <c r="C10" s="1710">
        <f>SUM(C8:C9)</f>
        <v>4752597</v>
      </c>
      <c r="D10" s="1710">
        <f t="shared" ref="D10:K10" si="1">SUM(D8:D9)</f>
        <v>194843</v>
      </c>
      <c r="E10" s="1710">
        <f t="shared" si="1"/>
        <v>401451</v>
      </c>
      <c r="F10" s="1710">
        <f t="shared" si="1"/>
        <v>288275</v>
      </c>
      <c r="G10" s="1710">
        <f t="shared" si="1"/>
        <v>129222</v>
      </c>
      <c r="H10" s="1710">
        <f t="shared" si="1"/>
        <v>245</v>
      </c>
      <c r="I10" s="1710">
        <f t="shared" si="1"/>
        <v>17334</v>
      </c>
      <c r="J10" s="1710">
        <f t="shared" si="1"/>
        <v>88768</v>
      </c>
      <c r="K10" s="1710">
        <f t="shared" si="1"/>
        <v>16035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1682910</v>
      </c>
      <c r="D12" s="520" t="s">
        <v>1231</v>
      </c>
      <c r="E12" s="468" t="s">
        <v>1231</v>
      </c>
      <c r="F12" s="468" t="s">
        <v>1231</v>
      </c>
      <c r="G12" s="1764">
        <f>'Expenditures 15-22'!K229</f>
        <v>26317</v>
      </c>
      <c r="H12" s="521"/>
      <c r="I12" s="468" t="s">
        <v>1231</v>
      </c>
      <c r="J12" s="468" t="s">
        <v>1231</v>
      </c>
      <c r="K12" s="521" t="s">
        <v>1231</v>
      </c>
      <c r="L12" s="347"/>
    </row>
    <row r="13" spans="1:13" ht="15.75" customHeight="1" x14ac:dyDescent="0.2">
      <c r="A13" s="1598" t="s">
        <v>477</v>
      </c>
      <c r="B13" s="1600">
        <v>2000</v>
      </c>
      <c r="C13" s="1765">
        <f>'Expenditures 15-22'!K74</f>
        <v>1215231</v>
      </c>
      <c r="D13" s="1765">
        <f>'Expenditures 15-22'!K129</f>
        <v>233585</v>
      </c>
      <c r="E13" s="469" t="s">
        <v>1231</v>
      </c>
      <c r="F13" s="1765">
        <f>'Expenditures 15-22'!K184</f>
        <v>209895</v>
      </c>
      <c r="G13" s="1765">
        <f>'Expenditures 15-22'!K279</f>
        <v>91857</v>
      </c>
      <c r="H13" s="1765">
        <f>'Expenditures 15-22'!K303</f>
        <v>27137</v>
      </c>
      <c r="I13" s="468" t="s">
        <v>1231</v>
      </c>
      <c r="J13" s="1765">
        <f>'Expenditures 15-22'!K330</f>
        <v>76452</v>
      </c>
      <c r="K13" s="1769">
        <f>'Expenditures 15-22'!K352</f>
        <v>27900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503163</v>
      </c>
      <c r="D15" s="1765">
        <f>'Expenditures 15-22'!K139</f>
        <v>220</v>
      </c>
      <c r="E15" s="1765">
        <f>'Expenditures 15-22'!K160</f>
        <v>0</v>
      </c>
      <c r="F15" s="1765">
        <f>'Expenditures 15-22'!K196</f>
        <v>20362</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338411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3401304</v>
      </c>
      <c r="D17" s="1710">
        <f t="shared" si="2"/>
        <v>233805</v>
      </c>
      <c r="E17" s="1710">
        <f t="shared" si="2"/>
        <v>338411</v>
      </c>
      <c r="F17" s="1710">
        <f t="shared" si="2"/>
        <v>230257</v>
      </c>
      <c r="G17" s="1710">
        <f t="shared" si="2"/>
        <v>118174</v>
      </c>
      <c r="H17" s="1710">
        <f t="shared" si="2"/>
        <v>27137</v>
      </c>
      <c r="I17" s="468"/>
      <c r="J17" s="1710">
        <f>SUM(J12:J16)</f>
        <v>76452</v>
      </c>
      <c r="K17" s="1710">
        <f>SUM(K12:K16)</f>
        <v>27900</v>
      </c>
      <c r="L17" s="347"/>
    </row>
    <row r="18" spans="1:12" ht="15" customHeight="1" thickTop="1" x14ac:dyDescent="0.2">
      <c r="A18" s="1766" t="s">
        <v>1753</v>
      </c>
      <c r="B18" s="1767">
        <v>4180</v>
      </c>
      <c r="C18" s="1764">
        <f t="shared" ref="C18:H18" si="3">C9</f>
        <v>1107333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4508637</v>
      </c>
      <c r="D19" s="1710">
        <f t="shared" si="4"/>
        <v>233805</v>
      </c>
      <c r="E19" s="1710">
        <f t="shared" si="4"/>
        <v>338411</v>
      </c>
      <c r="F19" s="1710">
        <f t="shared" si="4"/>
        <v>230257</v>
      </c>
      <c r="G19" s="1710">
        <f t="shared" si="4"/>
        <v>118174</v>
      </c>
      <c r="H19" s="1710">
        <f t="shared" si="4"/>
        <v>27137</v>
      </c>
      <c r="I19" s="468"/>
      <c r="J19" s="1710">
        <f>SUM(J17:J18)</f>
        <v>76452</v>
      </c>
      <c r="K19" s="1710">
        <f>SUM(K17:K18)</f>
        <v>27900</v>
      </c>
      <c r="L19" s="347"/>
    </row>
    <row r="20" spans="1:12" ht="16.5" thickTop="1" thickBot="1" x14ac:dyDescent="0.25">
      <c r="A20" s="2144" t="s">
        <v>1754</v>
      </c>
      <c r="B20" s="2145"/>
      <c r="C20" s="1768">
        <f>C8-C17</f>
        <v>243960</v>
      </c>
      <c r="D20" s="1768">
        <f t="shared" ref="D20:K20" si="5">D8-D17</f>
        <v>-38962</v>
      </c>
      <c r="E20" s="1768">
        <f t="shared" si="5"/>
        <v>63040</v>
      </c>
      <c r="F20" s="1768">
        <f t="shared" si="5"/>
        <v>58018</v>
      </c>
      <c r="G20" s="1768">
        <f t="shared" si="5"/>
        <v>11048</v>
      </c>
      <c r="H20" s="1768">
        <f t="shared" si="5"/>
        <v>-26892</v>
      </c>
      <c r="I20" s="1768">
        <f t="shared" si="5"/>
        <v>17334</v>
      </c>
      <c r="J20" s="1768">
        <f t="shared" si="5"/>
        <v>12316</v>
      </c>
      <c r="K20" s="1768">
        <f t="shared" si="5"/>
        <v>-11865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v>17177</v>
      </c>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17177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v>17177</v>
      </c>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17177</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-17177</v>
      </c>
      <c r="D77" s="1725">
        <f t="shared" si="8"/>
        <v>0</v>
      </c>
      <c r="E77" s="1725">
        <f t="shared" si="8"/>
        <v>17177</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226783</v>
      </c>
      <c r="D78" s="1724">
        <f t="shared" si="9"/>
        <v>-38962</v>
      </c>
      <c r="E78" s="1724">
        <f t="shared" si="9"/>
        <v>80217</v>
      </c>
      <c r="F78" s="1724">
        <f t="shared" si="9"/>
        <v>58018</v>
      </c>
      <c r="G78" s="1724">
        <f t="shared" si="9"/>
        <v>11048</v>
      </c>
      <c r="H78" s="1724">
        <f t="shared" si="9"/>
        <v>-26892</v>
      </c>
      <c r="I78" s="1724">
        <f t="shared" si="9"/>
        <v>17334</v>
      </c>
      <c r="J78" s="1724">
        <f t="shared" si="9"/>
        <v>12316</v>
      </c>
      <c r="K78" s="1724">
        <f t="shared" si="9"/>
        <v>-11865</v>
      </c>
      <c r="L78" s="533"/>
    </row>
    <row r="79" spans="1:12" ht="13.5" thickTop="1" x14ac:dyDescent="0.2">
      <c r="A79" s="1516" t="s">
        <v>2071</v>
      </c>
      <c r="B79" s="534"/>
      <c r="C79" s="478">
        <v>214917</v>
      </c>
      <c r="D79" s="535">
        <v>46798</v>
      </c>
      <c r="E79" s="535">
        <v>204512</v>
      </c>
      <c r="F79" s="535">
        <v>32072</v>
      </c>
      <c r="G79" s="535">
        <v>27115</v>
      </c>
      <c r="H79" s="535">
        <v>63610</v>
      </c>
      <c r="I79" s="535">
        <v>345145</v>
      </c>
      <c r="J79" s="535">
        <v>32017</v>
      </c>
      <c r="K79" s="535">
        <v>46612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441700</v>
      </c>
      <c r="D81" s="1710">
        <f>SUM(D78:D80)</f>
        <v>7836</v>
      </c>
      <c r="E81" s="1710">
        <f t="shared" ref="E81:K81" si="10">SUM(E78:E80)</f>
        <v>284729</v>
      </c>
      <c r="F81" s="1710">
        <f t="shared" si="10"/>
        <v>90090</v>
      </c>
      <c r="G81" s="1710">
        <f t="shared" si="10"/>
        <v>38163</v>
      </c>
      <c r="H81" s="1710">
        <f t="shared" si="10"/>
        <v>36718</v>
      </c>
      <c r="I81" s="1710">
        <f t="shared" si="10"/>
        <v>362479</v>
      </c>
      <c r="J81" s="1710">
        <f t="shared" si="10"/>
        <v>44333</v>
      </c>
      <c r="K81" s="1710">
        <f t="shared" si="10"/>
        <v>34747</v>
      </c>
      <c r="L81" s="347"/>
    </row>
    <row r="82" spans="1:12" ht="0.75" customHeight="1" thickTop="1" thickBot="1" x14ac:dyDescent="0.25">
      <c r="A82" s="536" t="s">
        <v>361</v>
      </c>
      <c r="B82" s="537"/>
      <c r="C82" s="538">
        <f>(C81-C79)</f>
        <v>226783</v>
      </c>
      <c r="D82" s="538">
        <f t="shared" ref="D82:K82" si="11">(D81-D79)</f>
        <v>-38962</v>
      </c>
      <c r="E82" s="538">
        <f t="shared" si="11"/>
        <v>80217</v>
      </c>
      <c r="F82" s="538">
        <f t="shared" si="11"/>
        <v>58018</v>
      </c>
      <c r="G82" s="538">
        <f t="shared" si="11"/>
        <v>11048</v>
      </c>
      <c r="H82" s="538">
        <f t="shared" si="11"/>
        <v>-26892</v>
      </c>
      <c r="I82" s="538">
        <f t="shared" si="11"/>
        <v>17334</v>
      </c>
      <c r="J82" s="538">
        <f t="shared" si="11"/>
        <v>12316</v>
      </c>
      <c r="K82" s="538">
        <f t="shared" si="11"/>
        <v>-11865</v>
      </c>
    </row>
    <row r="83" spans="1:12" ht="14.25" hidden="1" thickTop="1" thickBot="1" x14ac:dyDescent="0.25">
      <c r="A83" s="539" t="s">
        <v>362</v>
      </c>
      <c r="B83" s="464"/>
      <c r="C83" s="540">
        <f>C82/C81</f>
        <v>0.51343219379669458</v>
      </c>
      <c r="D83" s="540">
        <f t="shared" ref="D83:K83" si="12">D82/D81</f>
        <v>-4.972179683511996</v>
      </c>
      <c r="E83" s="540">
        <f t="shared" si="12"/>
        <v>0.28173104952428452</v>
      </c>
      <c r="F83" s="540">
        <f t="shared" si="12"/>
        <v>0.64400044400044398</v>
      </c>
      <c r="G83" s="540">
        <f t="shared" si="12"/>
        <v>0.28949506066084951</v>
      </c>
      <c r="H83" s="540">
        <f t="shared" si="12"/>
        <v>-0.73239283185358683</v>
      </c>
      <c r="I83" s="540">
        <f t="shared" si="12"/>
        <v>4.7820701337180915E-2</v>
      </c>
      <c r="J83" s="540">
        <f t="shared" si="12"/>
        <v>0.27780660004962443</v>
      </c>
      <c r="K83" s="540">
        <f t="shared" si="12"/>
        <v>-0.34146832820099576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836531</v>
      </c>
      <c r="D5" s="481">
        <v>157475</v>
      </c>
      <c r="E5" s="466">
        <v>52807</v>
      </c>
      <c r="F5" s="548">
        <v>62638</v>
      </c>
      <c r="G5" s="466">
        <v>46595</v>
      </c>
      <c r="H5" s="466"/>
      <c r="I5" s="466">
        <v>14945</v>
      </c>
      <c r="J5" s="467">
        <v>87788</v>
      </c>
      <c r="K5" s="466">
        <v>15681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12581</v>
      </c>
      <c r="D7" s="466"/>
      <c r="E7" s="468"/>
      <c r="F7" s="467"/>
      <c r="G7" s="467"/>
      <c r="H7" s="467"/>
      <c r="I7" s="468"/>
      <c r="J7" s="468"/>
      <c r="K7" s="468"/>
    </row>
    <row r="8" spans="1:12" x14ac:dyDescent="0.2">
      <c r="A8" s="463" t="s">
        <v>433</v>
      </c>
      <c r="B8" s="470">
        <v>1150</v>
      </c>
      <c r="C8" s="475"/>
      <c r="D8" s="475"/>
      <c r="E8" s="477"/>
      <c r="F8" s="477"/>
      <c r="G8" s="481">
        <v>46595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849112</v>
      </c>
      <c r="D12" s="1729">
        <f t="shared" si="0"/>
        <v>157475</v>
      </c>
      <c r="E12" s="1729">
        <f t="shared" si="0"/>
        <v>52807</v>
      </c>
      <c r="F12" s="1729">
        <f t="shared" si="0"/>
        <v>62638</v>
      </c>
      <c r="G12" s="1729">
        <f t="shared" si="0"/>
        <v>93190</v>
      </c>
      <c r="H12" s="1729">
        <f t="shared" si="0"/>
        <v>0</v>
      </c>
      <c r="I12" s="1729">
        <f t="shared" si="0"/>
        <v>14945</v>
      </c>
      <c r="J12" s="1729">
        <f t="shared" si="0"/>
        <v>87788</v>
      </c>
      <c r="K12" s="1710">
        <f t="shared" si="0"/>
        <v>15681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6047</v>
      </c>
      <c r="D14" s="466">
        <v>1122</v>
      </c>
      <c r="E14" s="466">
        <v>376</v>
      </c>
      <c r="F14" s="466">
        <v>446</v>
      </c>
      <c r="G14" s="466">
        <v>664</v>
      </c>
      <c r="H14" s="466"/>
      <c r="I14" s="466">
        <v>107</v>
      </c>
      <c r="J14" s="467">
        <v>625</v>
      </c>
      <c r="K14" s="466">
        <v>111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144732</v>
      </c>
      <c r="D16" s="466">
        <v>25000</v>
      </c>
      <c r="E16" s="466"/>
      <c r="F16" s="466">
        <v>40000</v>
      </c>
      <c r="G16" s="466">
        <v>35000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150779</v>
      </c>
      <c r="D18" s="1732">
        <f t="shared" ref="D18:K18" si="1">SUM(D14:D17)</f>
        <v>26122</v>
      </c>
      <c r="E18" s="1732">
        <f t="shared" si="1"/>
        <v>376</v>
      </c>
      <c r="F18" s="1732">
        <f t="shared" si="1"/>
        <v>40446</v>
      </c>
      <c r="G18" s="1732">
        <f t="shared" si="1"/>
        <v>35664</v>
      </c>
      <c r="H18" s="1732">
        <f t="shared" si="1"/>
        <v>0</v>
      </c>
      <c r="I18" s="1732">
        <f t="shared" si="1"/>
        <v>107</v>
      </c>
      <c r="J18" s="1732">
        <f t="shared" si="1"/>
        <v>625</v>
      </c>
      <c r="K18" s="1733">
        <f t="shared" si="1"/>
        <v>111</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3043</v>
      </c>
      <c r="D65" s="466">
        <v>391</v>
      </c>
      <c r="E65" s="466">
        <v>1367</v>
      </c>
      <c r="F65" s="467">
        <v>409</v>
      </c>
      <c r="G65" s="466">
        <v>368</v>
      </c>
      <c r="H65" s="466">
        <v>245</v>
      </c>
      <c r="I65" s="466">
        <v>2282</v>
      </c>
      <c r="J65" s="467">
        <v>355</v>
      </c>
      <c r="K65" s="466">
        <v>243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3043</v>
      </c>
      <c r="D67" s="1710">
        <f t="shared" ref="D67:K67" si="2">SUM(D65:D66)</f>
        <v>391</v>
      </c>
      <c r="E67" s="1710">
        <f t="shared" si="2"/>
        <v>1367</v>
      </c>
      <c r="F67" s="1710">
        <f t="shared" si="2"/>
        <v>409</v>
      </c>
      <c r="G67" s="1710">
        <f t="shared" si="2"/>
        <v>368</v>
      </c>
      <c r="H67" s="1710">
        <f t="shared" si="2"/>
        <v>245</v>
      </c>
      <c r="I67" s="1710">
        <f t="shared" si="2"/>
        <v>2282</v>
      </c>
      <c r="J67" s="1710">
        <f t="shared" si="2"/>
        <v>355</v>
      </c>
      <c r="K67" s="1710">
        <f t="shared" si="2"/>
        <v>243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3093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3205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27694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10295</v>
      </c>
      <c r="D81" s="466"/>
      <c r="E81" s="468"/>
      <c r="F81" s="468"/>
      <c r="G81" s="468"/>
      <c r="H81" s="468"/>
      <c r="I81" s="468"/>
      <c r="J81" s="468"/>
      <c r="K81" s="468"/>
    </row>
    <row r="82" spans="1:11" ht="12.75" customHeight="1" thickBot="1" x14ac:dyDescent="0.25">
      <c r="A82" s="1730" t="s">
        <v>259</v>
      </c>
      <c r="B82" s="1731"/>
      <c r="C82" s="1729">
        <f>SUM(C77:C81)</f>
        <v>37989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12550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12917</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25467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10855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3550</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338279</v>
      </c>
      <c r="F103" s="468"/>
      <c r="G103" s="468"/>
      <c r="H103" s="489"/>
      <c r="I103" s="468"/>
      <c r="J103" s="510"/>
      <c r="K103" s="510"/>
    </row>
    <row r="104" spans="1:12" ht="12.75" customHeight="1" x14ac:dyDescent="0.2">
      <c r="A104" s="463" t="s">
        <v>885</v>
      </c>
      <c r="B104" s="470">
        <v>1991</v>
      </c>
      <c r="C104" s="489">
        <v>6888</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22290</v>
      </c>
      <c r="D107" s="466"/>
      <c r="E107" s="466"/>
      <c r="F107" s="466"/>
      <c r="G107" s="466"/>
      <c r="H107" s="466"/>
      <c r="I107" s="466"/>
      <c r="J107" s="467"/>
      <c r="K107" s="466"/>
    </row>
    <row r="108" spans="1:12" ht="12.75" customHeight="1" thickBot="1" x14ac:dyDescent="0.25">
      <c r="A108" s="1730" t="s">
        <v>508</v>
      </c>
      <c r="B108" s="1734"/>
      <c r="C108" s="1729">
        <f>SUM(C95:C107)</f>
        <v>34098</v>
      </c>
      <c r="D108" s="1729">
        <f t="shared" ref="D108:K108" si="3">SUM(D95:D107)</f>
        <v>10855</v>
      </c>
      <c r="E108" s="1729">
        <f t="shared" si="3"/>
        <v>338279</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1103693</v>
      </c>
      <c r="D109" s="1737">
        <f t="shared" si="4"/>
        <v>194843</v>
      </c>
      <c r="E109" s="1737">
        <f t="shared" si="4"/>
        <v>392829</v>
      </c>
      <c r="F109" s="1737">
        <f t="shared" si="4"/>
        <v>103493</v>
      </c>
      <c r="G109" s="1737">
        <f t="shared" si="4"/>
        <v>129222</v>
      </c>
      <c r="H109" s="1737">
        <f t="shared" si="4"/>
        <v>245</v>
      </c>
      <c r="I109" s="1737">
        <f t="shared" si="4"/>
        <v>17334</v>
      </c>
      <c r="J109" s="1737">
        <f t="shared" si="4"/>
        <v>88768</v>
      </c>
      <c r="K109" s="1724">
        <f t="shared" si="4"/>
        <v>16035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2100472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2100472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32662</v>
      </c>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40856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73518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8041</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8041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3270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6420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184782</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184782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92749</v>
      </c>
      <c r="D172" s="1744">
        <f t="shared" si="6"/>
        <v>0</v>
      </c>
      <c r="E172" s="1744">
        <f t="shared" si="6"/>
        <v>0</v>
      </c>
      <c r="F172" s="1744">
        <f t="shared" si="6"/>
        <v>184782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2193221</v>
      </c>
      <c r="D173" s="1737">
        <f>SUM(D121,D172)</f>
        <v>0</v>
      </c>
      <c r="E173" s="1737">
        <f>SUM(E121,E172)</f>
        <v>0</v>
      </c>
      <c r="F173" s="1737">
        <f t="shared" ref="F173:K173" si="7">SUM(F121,F172)</f>
        <v>184782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149543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42996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192539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104333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104333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v>8622</v>
      </c>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8622</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15305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3252</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32921</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348350</v>
      </c>
      <c r="D273" s="1737">
        <f t="shared" si="10"/>
        <v>0</v>
      </c>
      <c r="E273" s="1737">
        <f t="shared" si="10"/>
        <v>8622</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348350</v>
      </c>
      <c r="D274" s="1737">
        <f>SUM(D178,D184,D273)</f>
        <v>0</v>
      </c>
      <c r="E274" s="1737">
        <f>SUM(E178,E273)</f>
        <v>8622</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3645264</v>
      </c>
      <c r="D275" s="1737">
        <f t="shared" si="12"/>
        <v>194843</v>
      </c>
      <c r="E275" s="1737">
        <f t="shared" si="12"/>
        <v>401451</v>
      </c>
      <c r="F275" s="1737">
        <f t="shared" si="12"/>
        <v>288275</v>
      </c>
      <c r="G275" s="1737">
        <f t="shared" si="12"/>
        <v>129222</v>
      </c>
      <c r="H275" s="1737">
        <f t="shared" si="12"/>
        <v>245</v>
      </c>
      <c r="I275" s="1737">
        <f t="shared" si="12"/>
        <v>17334</v>
      </c>
      <c r="J275" s="1737">
        <f t="shared" si="12"/>
        <v>88768</v>
      </c>
      <c r="K275" s="1724">
        <f t="shared" si="12"/>
        <v>16035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24" activePane="bottomLeft" state="frozen"/>
      <selection pane="bottomLeft"/>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12681+698296+11742+12993+6720+25583+16570+391882+21413-4</f>
        <v>1197876</v>
      </c>
      <c r="D5" s="466">
        <f>23+71332+53+1162+1574+4597+3+75+9197+152+6980+114+451+92905+2765+38385+397+2514+4586+3828+180+52418+4567</f>
        <v>298258</v>
      </c>
      <c r="E5" s="466">
        <f>43+689+7000+1732+689+7000</f>
        <v>17153</v>
      </c>
      <c r="F5" s="466">
        <f>8837+36753+962+1351+23838+2788</f>
        <v>74529</v>
      </c>
      <c r="G5" s="466"/>
      <c r="H5" s="466">
        <f>223+3103</f>
        <v>3326</v>
      </c>
      <c r="I5" s="467"/>
      <c r="J5" s="467"/>
      <c r="K5" s="1693">
        <f>SUM(C5:J5)</f>
        <v>1591142</v>
      </c>
      <c r="L5" s="466">
        <v>1583720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v>436</v>
      </c>
      <c r="G7" s="467"/>
      <c r="H7" s="467"/>
      <c r="I7" s="467"/>
      <c r="J7" s="467"/>
      <c r="K7" s="1693">
        <f t="shared" ref="K7:K32" si="0">SUM(C7:J7)</f>
        <v>436</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f>14709+14393</f>
        <v>29102</v>
      </c>
      <c r="D10" s="466">
        <f>2802+3145+181+349+274+8652</f>
        <v>15403</v>
      </c>
      <c r="E10" s="466"/>
      <c r="F10" s="466">
        <f>9473+460</f>
        <v>9933</v>
      </c>
      <c r="G10" s="466"/>
      <c r="H10" s="466"/>
      <c r="I10" s="467"/>
      <c r="J10" s="467"/>
      <c r="K10" s="1693">
        <f t="shared" si="0"/>
        <v>54438</v>
      </c>
      <c r="L10" s="466">
        <v>44963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f>15225+2500+1110</f>
        <v>18835</v>
      </c>
      <c r="F14" s="466">
        <f>14606</f>
        <v>14606</v>
      </c>
      <c r="G14" s="466"/>
      <c r="H14" s="466">
        <f>2681</f>
        <v>2681</v>
      </c>
      <c r="I14" s="467"/>
      <c r="J14" s="467"/>
      <c r="K14" s="1693">
        <f t="shared" si="0"/>
        <v>36122</v>
      </c>
      <c r="L14" s="466">
        <v>36122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f>59</f>
        <v>59</v>
      </c>
      <c r="D17" s="467">
        <f>6+1</f>
        <v>7</v>
      </c>
      <c r="E17" s="467">
        <v>168</v>
      </c>
      <c r="F17" s="467">
        <v>538</v>
      </c>
      <c r="G17" s="467"/>
      <c r="H17" s="467"/>
      <c r="I17" s="467"/>
      <c r="J17" s="467"/>
      <c r="K17" s="1693">
        <f t="shared" si="0"/>
        <v>772</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1227037</v>
      </c>
      <c r="D33" s="1692">
        <f t="shared" ref="D33:L33" si="1">SUM(D5:D32)</f>
        <v>313668</v>
      </c>
      <c r="E33" s="1692">
        <f t="shared" si="1"/>
        <v>36156</v>
      </c>
      <c r="F33" s="1692">
        <f t="shared" si="1"/>
        <v>100042</v>
      </c>
      <c r="G33" s="1692">
        <f t="shared" si="1"/>
        <v>0</v>
      </c>
      <c r="H33" s="1692">
        <f t="shared" si="1"/>
        <v>6007</v>
      </c>
      <c r="I33" s="1692">
        <f t="shared" si="1"/>
        <v>0</v>
      </c>
      <c r="J33" s="1692">
        <f t="shared" si="1"/>
        <v>0</v>
      </c>
      <c r="K33" s="1692">
        <f t="shared" si="1"/>
        <v>1682910</v>
      </c>
      <c r="L33" s="1692">
        <f t="shared" si="1"/>
        <v>1664805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f>28952+68210</f>
        <v>97162</v>
      </c>
      <c r="D37" s="466">
        <f>6788+437+890+664+23+6224</f>
        <v>15026</v>
      </c>
      <c r="E37" s="466"/>
      <c r="F37" s="466"/>
      <c r="G37" s="466"/>
      <c r="H37" s="466"/>
      <c r="I37" s="467"/>
      <c r="J37" s="467"/>
      <c r="K37" s="1693">
        <f t="shared" si="2"/>
        <v>112188</v>
      </c>
      <c r="L37" s="466">
        <v>112188</v>
      </c>
    </row>
    <row r="38" spans="1:14" x14ac:dyDescent="0.2">
      <c r="A38" s="1526" t="s">
        <v>207</v>
      </c>
      <c r="B38" s="615">
        <v>2130</v>
      </c>
      <c r="C38" s="466">
        <v>29464</v>
      </c>
      <c r="D38" s="466">
        <f>23</f>
        <v>23</v>
      </c>
      <c r="E38" s="466">
        <v>60</v>
      </c>
      <c r="F38" s="466">
        <v>303</v>
      </c>
      <c r="G38" s="466"/>
      <c r="H38" s="466"/>
      <c r="I38" s="467"/>
      <c r="J38" s="467"/>
      <c r="K38" s="1693">
        <f t="shared" si="2"/>
        <v>29850</v>
      </c>
      <c r="L38" s="466">
        <v>29850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5514</v>
      </c>
      <c r="D41" s="466">
        <v>33</v>
      </c>
      <c r="E41" s="466"/>
      <c r="F41" s="466"/>
      <c r="G41" s="466"/>
      <c r="H41" s="466"/>
      <c r="I41" s="467"/>
      <c r="J41" s="467"/>
      <c r="K41" s="1693">
        <f t="shared" si="2"/>
        <v>5547</v>
      </c>
      <c r="L41" s="466">
        <v>5545</v>
      </c>
    </row>
    <row r="42" spans="1:14" ht="12.75" customHeight="1" thickBot="1" x14ac:dyDescent="0.25">
      <c r="A42" s="1690" t="s">
        <v>581</v>
      </c>
      <c r="B42" s="1691" t="s">
        <v>740</v>
      </c>
      <c r="C42" s="1692">
        <f>SUM(C36:C41)</f>
        <v>132140</v>
      </c>
      <c r="D42" s="1692">
        <f t="shared" ref="D42:L42" si="3">SUM(D36:D41)</f>
        <v>15082</v>
      </c>
      <c r="E42" s="1692">
        <f t="shared" si="3"/>
        <v>60</v>
      </c>
      <c r="F42" s="1692">
        <f t="shared" si="3"/>
        <v>303</v>
      </c>
      <c r="G42" s="1692">
        <f t="shared" si="3"/>
        <v>0</v>
      </c>
      <c r="H42" s="1692">
        <f t="shared" si="3"/>
        <v>0</v>
      </c>
      <c r="I42" s="1692">
        <f t="shared" si="3"/>
        <v>0</v>
      </c>
      <c r="J42" s="1692">
        <f t="shared" si="3"/>
        <v>0</v>
      </c>
      <c r="K42" s="1692">
        <f t="shared" si="3"/>
        <v>147585</v>
      </c>
      <c r="L42" s="1692">
        <f t="shared" si="3"/>
        <v>147583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f>3701+2500+6420</f>
        <v>12621</v>
      </c>
      <c r="F44" s="481">
        <f>5345</f>
        <v>5345</v>
      </c>
      <c r="G44" s="481">
        <v>5896</v>
      </c>
      <c r="H44" s="481"/>
      <c r="I44" s="467"/>
      <c r="J44" s="467"/>
      <c r="K44" s="1694">
        <f>SUM(C44:J44)</f>
        <v>23862</v>
      </c>
      <c r="L44" s="481">
        <v>23862</v>
      </c>
    </row>
    <row r="45" spans="1:14" x14ac:dyDescent="0.2">
      <c r="A45" s="1526" t="s">
        <v>869</v>
      </c>
      <c r="B45" s="615">
        <v>2220</v>
      </c>
      <c r="C45" s="466">
        <v>48836</v>
      </c>
      <c r="D45" s="466">
        <f>4850+312+636+474+23+6634</f>
        <v>12929</v>
      </c>
      <c r="E45" s="466"/>
      <c r="F45" s="466">
        <f>181+640+454</f>
        <v>1275</v>
      </c>
      <c r="G45" s="466">
        <v>10000</v>
      </c>
      <c r="H45" s="466"/>
      <c r="I45" s="467"/>
      <c r="J45" s="467"/>
      <c r="K45" s="1694">
        <f>SUM(C45:J45)</f>
        <v>73040</v>
      </c>
      <c r="L45" s="466">
        <v>73041</v>
      </c>
    </row>
    <row r="46" spans="1:14" x14ac:dyDescent="0.2">
      <c r="A46" s="1526" t="s">
        <v>870</v>
      </c>
      <c r="B46" s="615">
        <v>2230</v>
      </c>
      <c r="C46" s="466"/>
      <c r="D46" s="466"/>
      <c r="E46" s="466">
        <v>3405</v>
      </c>
      <c r="F46" s="466"/>
      <c r="G46" s="466"/>
      <c r="H46" s="466"/>
      <c r="I46" s="467"/>
      <c r="J46" s="467"/>
      <c r="K46" s="1694">
        <f>SUM(C46:J46)</f>
        <v>3405</v>
      </c>
      <c r="L46" s="466">
        <v>3405</v>
      </c>
    </row>
    <row r="47" spans="1:14" ht="12.75" customHeight="1" thickBot="1" x14ac:dyDescent="0.25">
      <c r="A47" s="1690" t="s">
        <v>582</v>
      </c>
      <c r="B47" s="1691" t="s">
        <v>32</v>
      </c>
      <c r="C47" s="1692">
        <f>SUM(C44:C46)</f>
        <v>48836</v>
      </c>
      <c r="D47" s="1692">
        <f t="shared" ref="D47:K47" si="4">SUM(D44:D46)</f>
        <v>12929</v>
      </c>
      <c r="E47" s="1692">
        <f t="shared" si="4"/>
        <v>16026</v>
      </c>
      <c r="F47" s="1692">
        <f t="shared" si="4"/>
        <v>6620</v>
      </c>
      <c r="G47" s="1692">
        <f t="shared" si="4"/>
        <v>15896</v>
      </c>
      <c r="H47" s="1692">
        <f t="shared" si="4"/>
        <v>0</v>
      </c>
      <c r="I47" s="1692">
        <f t="shared" si="4"/>
        <v>0</v>
      </c>
      <c r="J47" s="1692">
        <f t="shared" si="4"/>
        <v>0</v>
      </c>
      <c r="K47" s="1692">
        <f t="shared" si="4"/>
        <v>100307</v>
      </c>
      <c r="L47" s="1692">
        <f>SUM(L44:L46)</f>
        <v>100308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13700</f>
        <v>13700</v>
      </c>
      <c r="F49" s="481">
        <f>2401</f>
        <v>2401</v>
      </c>
      <c r="G49" s="481"/>
      <c r="H49" s="481">
        <f>14850</f>
        <v>14850</v>
      </c>
      <c r="I49" s="467"/>
      <c r="J49" s="467"/>
      <c r="K49" s="1694">
        <f>SUM(C49:J49)</f>
        <v>30951</v>
      </c>
      <c r="L49" s="481">
        <v>30951</v>
      </c>
    </row>
    <row r="50" spans="1:14" x14ac:dyDescent="0.2">
      <c r="A50" s="1526" t="s">
        <v>872</v>
      </c>
      <c r="B50" s="615">
        <v>2320</v>
      </c>
      <c r="C50" s="466">
        <v>158015</v>
      </c>
      <c r="D50" s="466">
        <f>12608+812+1653+1233+45+40111+1034</f>
        <v>57496</v>
      </c>
      <c r="E50" s="466">
        <f>7152+961</f>
        <v>8113</v>
      </c>
      <c r="F50" s="466">
        <f>1794</f>
        <v>1794</v>
      </c>
      <c r="G50" s="466"/>
      <c r="H50" s="466">
        <v>8452</v>
      </c>
      <c r="I50" s="467"/>
      <c r="J50" s="467"/>
      <c r="K50" s="1694">
        <f>SUM(C50:J50)</f>
        <v>233870</v>
      </c>
      <c r="L50" s="466">
        <v>218707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158015</v>
      </c>
      <c r="D53" s="1692">
        <f t="shared" ref="D53:L53" si="5">SUM(D49:D52)</f>
        <v>57496</v>
      </c>
      <c r="E53" s="1692">
        <f t="shared" si="5"/>
        <v>21813</v>
      </c>
      <c r="F53" s="1692">
        <f t="shared" si="5"/>
        <v>4195</v>
      </c>
      <c r="G53" s="1692">
        <f t="shared" si="5"/>
        <v>0</v>
      </c>
      <c r="H53" s="1692">
        <f t="shared" si="5"/>
        <v>23302</v>
      </c>
      <c r="I53" s="1692">
        <f t="shared" si="5"/>
        <v>0</v>
      </c>
      <c r="J53" s="1692">
        <f t="shared" si="5"/>
        <v>0</v>
      </c>
      <c r="K53" s="1692">
        <f t="shared" si="5"/>
        <v>264821</v>
      </c>
      <c r="L53" s="1692">
        <f t="shared" si="5"/>
        <v>249658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112950</v>
      </c>
      <c r="D55" s="481">
        <f>8389+541+1100+820+45+19292</f>
        <v>30187</v>
      </c>
      <c r="E55" s="481">
        <f>459</f>
        <v>459</v>
      </c>
      <c r="F55" s="481">
        <f>1232</f>
        <v>1232</v>
      </c>
      <c r="G55" s="481"/>
      <c r="H55" s="481">
        <v>1057</v>
      </c>
      <c r="I55" s="467"/>
      <c r="J55" s="467"/>
      <c r="K55" s="1694">
        <f>SUM(C55:J55)</f>
        <v>145885</v>
      </c>
      <c r="L55" s="481">
        <v>148654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112950</v>
      </c>
      <c r="D57" s="1696">
        <f t="shared" ref="D57:K57" si="6">SUM(D55:D56)</f>
        <v>30187</v>
      </c>
      <c r="E57" s="1696">
        <f t="shared" si="6"/>
        <v>459</v>
      </c>
      <c r="F57" s="1696">
        <f t="shared" si="6"/>
        <v>1232</v>
      </c>
      <c r="G57" s="1696">
        <f t="shared" si="6"/>
        <v>0</v>
      </c>
      <c r="H57" s="1696">
        <f t="shared" si="6"/>
        <v>1057</v>
      </c>
      <c r="I57" s="1696">
        <f t="shared" si="6"/>
        <v>0</v>
      </c>
      <c r="J57" s="1696">
        <f t="shared" si="6"/>
        <v>0</v>
      </c>
      <c r="K57" s="1696">
        <f t="shared" si="6"/>
        <v>145885</v>
      </c>
      <c r="L57" s="1692">
        <f>SUM(L55:L56)</f>
        <v>148654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39580</v>
      </c>
      <c r="D60" s="466">
        <f>23+12152</f>
        <v>12175</v>
      </c>
      <c r="E60" s="466">
        <v>1193</v>
      </c>
      <c r="F60" s="466">
        <v>245</v>
      </c>
      <c r="G60" s="466"/>
      <c r="H60" s="466"/>
      <c r="I60" s="467"/>
      <c r="J60" s="467"/>
      <c r="K60" s="1694">
        <f t="shared" si="7"/>
        <v>53193</v>
      </c>
      <c r="L60" s="466">
        <v>53193</v>
      </c>
      <c r="M60" s="610"/>
      <c r="N60" s="610"/>
    </row>
    <row r="61" spans="1:14" s="343" customFormat="1" x14ac:dyDescent="0.2">
      <c r="A61" s="1526" t="s">
        <v>206</v>
      </c>
      <c r="B61" s="615">
        <v>2540</v>
      </c>
      <c r="C61" s="466">
        <v>190136</v>
      </c>
      <c r="D61" s="466">
        <f>133+42490</f>
        <v>42623</v>
      </c>
      <c r="E61" s="466">
        <f>10714+23294+9277+17998</f>
        <v>61283</v>
      </c>
      <c r="F61" s="466">
        <f>1129</f>
        <v>1129</v>
      </c>
      <c r="G61" s="466">
        <v>8434</v>
      </c>
      <c r="H61" s="466"/>
      <c r="I61" s="467"/>
      <c r="J61" s="467"/>
      <c r="K61" s="1694">
        <f t="shared" si="7"/>
        <v>303605</v>
      </c>
      <c r="L61" s="466">
        <v>305094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56909</v>
      </c>
      <c r="D63" s="466">
        <f>88+21</f>
        <v>109</v>
      </c>
      <c r="E63" s="466">
        <f>782+588</f>
        <v>1370</v>
      </c>
      <c r="F63" s="466">
        <v>140497</v>
      </c>
      <c r="G63" s="466"/>
      <c r="H63" s="466">
        <v>950</v>
      </c>
      <c r="I63" s="467"/>
      <c r="J63" s="467"/>
      <c r="K63" s="1694">
        <f t="shared" si="7"/>
        <v>199835</v>
      </c>
      <c r="L63" s="466">
        <v>199835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286625</v>
      </c>
      <c r="D65" s="1692">
        <f t="shared" ref="D65:L65" si="8">SUM(D59:D64)</f>
        <v>54907</v>
      </c>
      <c r="E65" s="1692">
        <f t="shared" si="8"/>
        <v>63846</v>
      </c>
      <c r="F65" s="1692">
        <f t="shared" si="8"/>
        <v>141871</v>
      </c>
      <c r="G65" s="1692">
        <f t="shared" si="8"/>
        <v>8434</v>
      </c>
      <c r="H65" s="1692">
        <f t="shared" si="8"/>
        <v>950</v>
      </c>
      <c r="I65" s="1692">
        <f t="shared" si="8"/>
        <v>0</v>
      </c>
      <c r="J65" s="1692">
        <f t="shared" si="8"/>
        <v>0</v>
      </c>
      <c r="K65" s="1692">
        <f t="shared" si="8"/>
        <v>556633</v>
      </c>
      <c r="L65" s="1692">
        <f t="shared" si="8"/>
        <v>558122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738566</v>
      </c>
      <c r="D74" s="1699">
        <f t="shared" ref="D74:K74" si="10">SUM(D42,D47,D53,D57,D65,D72,D73)</f>
        <v>170601</v>
      </c>
      <c r="E74" s="1699">
        <f t="shared" si="10"/>
        <v>102204</v>
      </c>
      <c r="F74" s="1699">
        <f t="shared" si="10"/>
        <v>154221</v>
      </c>
      <c r="G74" s="1699">
        <f t="shared" si="10"/>
        <v>24330</v>
      </c>
      <c r="H74" s="1699">
        <f t="shared" si="10"/>
        <v>25309</v>
      </c>
      <c r="I74" s="1699">
        <f t="shared" si="10"/>
        <v>0</v>
      </c>
      <c r="J74" s="1699">
        <f t="shared" si="10"/>
        <v>0</v>
      </c>
      <c r="K74" s="1699">
        <f t="shared" si="10"/>
        <v>1215231</v>
      </c>
      <c r="L74" s="1699">
        <f>SUM(L42,L47,L53,L57,L65,L72,L73)</f>
        <v>1204325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77744</v>
      </c>
      <c r="F79" s="617"/>
      <c r="G79" s="617"/>
      <c r="H79" s="466">
        <v>425419</v>
      </c>
      <c r="I79" s="477"/>
      <c r="J79" s="477"/>
      <c r="K79" s="1693">
        <f t="shared" si="11"/>
        <v>503163</v>
      </c>
      <c r="L79" s="466">
        <v>503163</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77744</v>
      </c>
      <c r="F84" s="617"/>
      <c r="G84" s="617"/>
      <c r="H84" s="1692">
        <f>SUM(H78:H83)</f>
        <v>425419</v>
      </c>
      <c r="I84" s="477"/>
      <c r="J84" s="477"/>
      <c r="K84" s="1692">
        <f>SUM(K78:K83)</f>
        <v>503163</v>
      </c>
      <c r="L84" s="1692">
        <f>SUM(L78:L83)</f>
        <v>503163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77744</v>
      </c>
      <c r="F102" s="617"/>
      <c r="G102" s="617"/>
      <c r="H102" s="1699">
        <f>SUM(H84,H92,H100,H101)</f>
        <v>425419</v>
      </c>
      <c r="I102" s="477"/>
      <c r="J102" s="477"/>
      <c r="K102" s="1699">
        <f>SUM(K84,K92,K100,K101)</f>
        <v>503163</v>
      </c>
      <c r="L102" s="1699">
        <f>SUM(L84,L92,L100,L101)</f>
        <v>503163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v>422</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422</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16755</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17177</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1965603</v>
      </c>
      <c r="D114" s="1692">
        <f t="shared" ref="D114:K114" si="13">SUM(D33,D74,D75,D102,D112,D113)</f>
        <v>484269</v>
      </c>
      <c r="E114" s="1692">
        <f t="shared" si="13"/>
        <v>216104</v>
      </c>
      <c r="F114" s="1692">
        <f t="shared" si="13"/>
        <v>254263</v>
      </c>
      <c r="G114" s="1692">
        <f t="shared" si="13"/>
        <v>24330</v>
      </c>
      <c r="H114" s="1692">
        <f>SUM(H33,H74,H75,H102,H112,H113)</f>
        <v>456735</v>
      </c>
      <c r="I114" s="1692">
        <f t="shared" si="13"/>
        <v>0</v>
      </c>
      <c r="J114" s="1692">
        <f t="shared" si="13"/>
        <v>0</v>
      </c>
      <c r="K114" s="1692">
        <f t="shared" si="13"/>
        <v>3401304</v>
      </c>
      <c r="L114" s="1692">
        <f>SUM(L33,L74,L75,L102,L112,L113)</f>
        <v>3389470</v>
      </c>
    </row>
    <row r="115" spans="1:14" ht="13.5" thickTop="1" x14ac:dyDescent="0.2">
      <c r="A115" s="2199" t="s">
        <v>1053</v>
      </c>
      <c r="B115" s="2200"/>
      <c r="C115" s="619"/>
      <c r="D115" s="619"/>
      <c r="E115" s="619"/>
      <c r="F115" s="619"/>
      <c r="G115" s="619"/>
      <c r="H115" s="619"/>
      <c r="I115" s="619"/>
      <c r="J115" s="619"/>
      <c r="K115" s="1706">
        <f>'Revenues 9-14'!C275-'Expenditures 15-22'!K114</f>
        <v>243960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4500+42107</f>
        <v>46607</v>
      </c>
      <c r="F124" s="466">
        <f>69821+102340+2</f>
        <v>172163</v>
      </c>
      <c r="G124" s="466">
        <v>14815</v>
      </c>
      <c r="H124" s="466"/>
      <c r="I124" s="467"/>
      <c r="J124" s="467"/>
      <c r="K124" s="1692">
        <f>SUM(C124:J124)</f>
        <v>233585</v>
      </c>
      <c r="L124" s="466">
        <v>235059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46607</v>
      </c>
      <c r="F127" s="1692">
        <f t="shared" si="14"/>
        <v>172163</v>
      </c>
      <c r="G127" s="1692">
        <f t="shared" si="14"/>
        <v>14815</v>
      </c>
      <c r="H127" s="1692">
        <f t="shared" si="14"/>
        <v>0</v>
      </c>
      <c r="I127" s="1692">
        <f t="shared" si="14"/>
        <v>0</v>
      </c>
      <c r="J127" s="1692">
        <f t="shared" si="14"/>
        <v>0</v>
      </c>
      <c r="K127" s="1692">
        <f t="shared" si="14"/>
        <v>233585</v>
      </c>
      <c r="L127" s="1692">
        <f t="shared" si="14"/>
        <v>235059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46607</v>
      </c>
      <c r="F129" s="1699">
        <f t="shared" si="15"/>
        <v>172163</v>
      </c>
      <c r="G129" s="1699">
        <f t="shared" si="15"/>
        <v>14815</v>
      </c>
      <c r="H129" s="1699">
        <f t="shared" si="15"/>
        <v>0</v>
      </c>
      <c r="I129" s="1699">
        <f t="shared" si="15"/>
        <v>0</v>
      </c>
      <c r="J129" s="1699">
        <f t="shared" si="15"/>
        <v>0</v>
      </c>
      <c r="K129" s="1699">
        <f t="shared" si="15"/>
        <v>233585</v>
      </c>
      <c r="L129" s="1699">
        <f t="shared" si="15"/>
        <v>235059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v>220</v>
      </c>
      <c r="F134" s="617"/>
      <c r="G134" s="617"/>
      <c r="H134" s="481"/>
      <c r="I134" s="477"/>
      <c r="J134" s="617"/>
      <c r="K134" s="1694">
        <f>SUM(E134,H134)</f>
        <v>220</v>
      </c>
      <c r="L134" s="481">
        <v>220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220</v>
      </c>
      <c r="F137" s="617"/>
      <c r="G137" s="617"/>
      <c r="H137" s="1692">
        <f>SUM(H133:H136)</f>
        <v>0</v>
      </c>
      <c r="I137" s="477"/>
      <c r="J137" s="617"/>
      <c r="K137" s="1692">
        <f>SUM(K133:K136)</f>
        <v>220</v>
      </c>
      <c r="L137" s="1692">
        <f>SUM(L133:L136)</f>
        <v>220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220</v>
      </c>
      <c r="F139" s="617"/>
      <c r="G139" s="617"/>
      <c r="H139" s="1701">
        <f>SUM(H137:H138)</f>
        <v>0</v>
      </c>
      <c r="I139" s="477"/>
      <c r="J139" s="617"/>
      <c r="K139" s="1694">
        <f>SUM(K137,K138)</f>
        <v>220</v>
      </c>
      <c r="L139" s="1701">
        <f>SUM(L137,L138)</f>
        <v>220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46827</v>
      </c>
      <c r="F151" s="1692">
        <f t="shared" si="16"/>
        <v>172163</v>
      </c>
      <c r="G151" s="1692">
        <f t="shared" si="16"/>
        <v>14815</v>
      </c>
      <c r="H151" s="1692">
        <f t="shared" si="16"/>
        <v>0</v>
      </c>
      <c r="I151" s="1692">
        <f t="shared" si="16"/>
        <v>0</v>
      </c>
      <c r="J151" s="1692">
        <f t="shared" si="16"/>
        <v>0</v>
      </c>
      <c r="K151" s="1692">
        <f t="shared" si="16"/>
        <v>233805</v>
      </c>
      <c r="L151" s="1692">
        <f>SUM(L129,L130,L139,L149,L150)</f>
        <v>235279</v>
      </c>
    </row>
    <row r="152" spans="1:14" ht="12.75" customHeight="1" thickTop="1" x14ac:dyDescent="0.2">
      <c r="A152" s="2192" t="s">
        <v>1240</v>
      </c>
      <c r="B152" s="2193"/>
      <c r="C152" s="619"/>
      <c r="D152" s="619"/>
      <c r="E152" s="619"/>
      <c r="F152" s="619"/>
      <c r="G152" s="619"/>
      <c r="H152" s="619"/>
      <c r="I152" s="619"/>
      <c r="J152" s="617"/>
      <c r="K152" s="1706">
        <f>'Revenues 9-14'!D275-'Expenditures 15-22'!K151</f>
        <v>-38962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56234+422</f>
        <v>56656</v>
      </c>
      <c r="I169" s="617"/>
      <c r="J169" s="617"/>
      <c r="K169" s="1693">
        <f>SUM(C169:H169)</f>
        <v>56656</v>
      </c>
      <c r="L169" s="657">
        <v>47611</v>
      </c>
    </row>
    <row r="170" spans="1:14" ht="33.75" customHeight="1" x14ac:dyDescent="0.2">
      <c r="A170" s="670" t="s">
        <v>1769</v>
      </c>
      <c r="B170" s="672" t="s">
        <v>31</v>
      </c>
      <c r="C170" s="617"/>
      <c r="D170" s="617"/>
      <c r="E170" s="617"/>
      <c r="F170" s="617"/>
      <c r="G170" s="617"/>
      <c r="H170" s="569">
        <f>265000+16755</f>
        <v>281755</v>
      </c>
      <c r="I170" s="617"/>
      <c r="J170" s="617"/>
      <c r="K170" s="1693">
        <f>SUM(C170:J170)</f>
        <v>281755</v>
      </c>
      <c r="L170" s="569">
        <v>265000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338411</v>
      </c>
      <c r="I172" s="639"/>
      <c r="J172" s="617"/>
      <c r="K172" s="1699">
        <f>SUM(K168,K169,K170,K171)</f>
        <v>338411</v>
      </c>
      <c r="L172" s="1699">
        <f>SUM(L168,L169,L170,L171)</f>
        <v>312611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338411</v>
      </c>
      <c r="I174" s="639"/>
      <c r="J174" s="617"/>
      <c r="K174" s="1699">
        <f>SUM(K160,K172,K173)</f>
        <v>338411</v>
      </c>
      <c r="L174" s="1699">
        <f>SUM(L160,L172,L173)</f>
        <v>312611</v>
      </c>
    </row>
    <row r="175" spans="1:14" ht="13.5" thickTop="1" x14ac:dyDescent="0.2">
      <c r="A175" s="2199" t="s">
        <v>1053</v>
      </c>
      <c r="B175" s="2200"/>
      <c r="C175" s="617"/>
      <c r="D175" s="617"/>
      <c r="E175" s="617"/>
      <c r="F175" s="617"/>
      <c r="G175" s="617"/>
      <c r="H175" s="619"/>
      <c r="I175" s="617"/>
      <c r="J175" s="617"/>
      <c r="K175" s="1706">
        <f>'Revenues 9-14'!E275-'Expenditures 15-22'!K174</f>
        <v>63040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109535</v>
      </c>
      <c r="D182" s="466">
        <f>90+43678</f>
        <v>43768</v>
      </c>
      <c r="E182" s="466">
        <f>16906+5365+1904</f>
        <v>24175</v>
      </c>
      <c r="F182" s="466">
        <f>29916+1</f>
        <v>29917</v>
      </c>
      <c r="G182" s="466">
        <v>2500</v>
      </c>
      <c r="H182" s="466"/>
      <c r="I182" s="467"/>
      <c r="J182" s="467"/>
      <c r="K182" s="1693">
        <f>SUM(C182:J182)</f>
        <v>209895</v>
      </c>
      <c r="L182" s="466">
        <v>209884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109535</v>
      </c>
      <c r="D184" s="1699">
        <f t="shared" ref="D184:J184" si="17">SUM(D180,D182,D183)</f>
        <v>43768</v>
      </c>
      <c r="E184" s="1699">
        <f t="shared" si="17"/>
        <v>24175</v>
      </c>
      <c r="F184" s="1699">
        <f t="shared" si="17"/>
        <v>29917</v>
      </c>
      <c r="G184" s="1699">
        <f t="shared" si="17"/>
        <v>2500</v>
      </c>
      <c r="H184" s="1699">
        <f t="shared" si="17"/>
        <v>0</v>
      </c>
      <c r="I184" s="1699">
        <f t="shared" si="17"/>
        <v>0</v>
      </c>
      <c r="J184" s="1699">
        <f t="shared" si="17"/>
        <v>0</v>
      </c>
      <c r="K184" s="1699">
        <f>SUM(K180,K182,K183)</f>
        <v>209895</v>
      </c>
      <c r="L184" s="1699">
        <f>SUM(L180, L182:L183)</f>
        <v>209884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20362</v>
      </c>
      <c r="F189" s="617"/>
      <c r="G189" s="617"/>
      <c r="H189" s="466"/>
      <c r="I189" s="477"/>
      <c r="J189" s="617"/>
      <c r="K189" s="1693">
        <f t="shared" si="18"/>
        <v>20362</v>
      </c>
      <c r="L189" s="466">
        <v>20362</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20362</v>
      </c>
      <c r="F194" s="617"/>
      <c r="G194" s="617"/>
      <c r="H194" s="1692">
        <f>SUM(H188:H193)</f>
        <v>0</v>
      </c>
      <c r="I194" s="477"/>
      <c r="J194" s="617"/>
      <c r="K194" s="1692">
        <f>SUM(K188:K193)</f>
        <v>20362</v>
      </c>
      <c r="L194" s="1692">
        <f>SUM(L188:L193)</f>
        <v>20362</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20362</v>
      </c>
      <c r="F196" s="617"/>
      <c r="G196" s="617"/>
      <c r="H196" s="1699">
        <f>SUM(H194,H195)</f>
        <v>0</v>
      </c>
      <c r="I196" s="477"/>
      <c r="J196" s="617"/>
      <c r="K196" s="1699">
        <f>SUM(K194,K195)</f>
        <v>20362</v>
      </c>
      <c r="L196" s="1699">
        <f>SUM(L194,L195)</f>
        <v>20362</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109535</v>
      </c>
      <c r="D210" s="1692">
        <f>SUM(D184,D185)</f>
        <v>43768</v>
      </c>
      <c r="E210" s="1692">
        <f>SUM(E184,E185,E196)</f>
        <v>44537</v>
      </c>
      <c r="F210" s="1692">
        <f>SUM(F184,F185)</f>
        <v>29917</v>
      </c>
      <c r="G210" s="1692">
        <f>SUM(G184,G185)</f>
        <v>2500</v>
      </c>
      <c r="H210" s="1692">
        <f>SUM(H184,H185,H196,H208,H209)</f>
        <v>0</v>
      </c>
      <c r="I210" s="1692">
        <f>SUM(I184,I185)</f>
        <v>0</v>
      </c>
      <c r="J210" s="1692">
        <f>SUM(J184,J185)</f>
        <v>0</v>
      </c>
      <c r="K210" s="1693">
        <f>SUM(K184,K185,K196,K208,K209)</f>
        <v>230257</v>
      </c>
      <c r="L210" s="1692">
        <f>SUM(L184,L185,L196,L208,L209)</f>
        <v>230246</v>
      </c>
    </row>
    <row r="211" spans="1:14" ht="13.5" thickTop="1" x14ac:dyDescent="0.2">
      <c r="A211" s="2199" t="s">
        <v>1053</v>
      </c>
      <c r="B211" s="2200"/>
      <c r="C211" s="619"/>
      <c r="D211" s="619"/>
      <c r="E211" s="619"/>
      <c r="F211" s="619"/>
      <c r="G211" s="619"/>
      <c r="H211" s="619"/>
      <c r="I211" s="617"/>
      <c r="J211" s="617"/>
      <c r="K211" s="1706">
        <f>'Revenues 9-14'!F275-'Expenditures 15-22'!K210</f>
        <v>58018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1694+786+184+134+3207+2093+508+1586+1027+119+371+240-65+8385+170+5523</f>
        <v>25962</v>
      </c>
      <c r="E215" s="617"/>
      <c r="F215" s="617"/>
      <c r="G215" s="617"/>
      <c r="H215" s="617"/>
      <c r="I215" s="617"/>
      <c r="J215" s="617"/>
      <c r="K215" s="1693">
        <f>D215</f>
        <v>25962</v>
      </c>
      <c r="L215" s="466">
        <v>27000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355</v>
      </c>
      <c r="E219" s="617"/>
      <c r="F219" s="617"/>
      <c r="G219" s="617"/>
      <c r="H219" s="617"/>
      <c r="I219" s="617"/>
      <c r="J219" s="617"/>
      <c r="K219" s="1693">
        <f t="shared" si="19"/>
        <v>355</v>
      </c>
      <c r="L219" s="466">
        <v>350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26317</v>
      </c>
      <c r="E229" s="617"/>
      <c r="F229" s="617"/>
      <c r="G229" s="617"/>
      <c r="H229" s="617"/>
      <c r="I229" s="617"/>
      <c r="J229" s="617"/>
      <c r="K229" s="1692">
        <f>SUM(K215:K228)</f>
        <v>26317</v>
      </c>
      <c r="L229" s="1692">
        <f>SUM(L215:L228)</f>
        <v>27350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f>420+898</f>
        <v>1318</v>
      </c>
      <c r="E233" s="617"/>
      <c r="F233" s="617"/>
      <c r="G233" s="617"/>
      <c r="H233" s="617"/>
      <c r="I233" s="617"/>
      <c r="J233" s="617"/>
      <c r="K233" s="1693">
        <f t="shared" si="20"/>
        <v>1318</v>
      </c>
      <c r="L233" s="466">
        <v>1200</v>
      </c>
    </row>
    <row r="234" spans="1:12" x14ac:dyDescent="0.2">
      <c r="A234" s="1526" t="s">
        <v>207</v>
      </c>
      <c r="B234" s="615">
        <v>2130</v>
      </c>
      <c r="C234" s="617"/>
      <c r="D234" s="466">
        <f>3937+1786+418</f>
        <v>6141</v>
      </c>
      <c r="E234" s="617"/>
      <c r="F234" s="617"/>
      <c r="G234" s="617"/>
      <c r="H234" s="617"/>
      <c r="I234" s="617"/>
      <c r="J234" s="617"/>
      <c r="K234" s="1693">
        <f t="shared" si="20"/>
        <v>6141</v>
      </c>
      <c r="L234" s="466">
        <v>6300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f>342+80</f>
        <v>422</v>
      </c>
      <c r="E237" s="617"/>
      <c r="F237" s="617"/>
      <c r="G237" s="617"/>
      <c r="H237" s="617"/>
      <c r="I237" s="617"/>
      <c r="J237" s="617"/>
      <c r="K237" s="1693">
        <f t="shared" si="20"/>
        <v>422</v>
      </c>
      <c r="L237" s="466">
        <v>400</v>
      </c>
    </row>
    <row r="238" spans="1:12" ht="12.75" customHeight="1" thickBot="1" x14ac:dyDescent="0.25">
      <c r="A238" s="1690" t="s">
        <v>581</v>
      </c>
      <c r="B238" s="1697" t="s">
        <v>740</v>
      </c>
      <c r="C238" s="617"/>
      <c r="D238" s="1692">
        <f>SUM(D232:D237)</f>
        <v>7881</v>
      </c>
      <c r="E238" s="617"/>
      <c r="F238" s="617"/>
      <c r="G238" s="617"/>
      <c r="H238" s="617"/>
      <c r="I238" s="617"/>
      <c r="J238" s="617"/>
      <c r="K238" s="1692">
        <f>SUM(K232:K237)</f>
        <v>7881</v>
      </c>
      <c r="L238" s="1692">
        <f>SUM(L232:L237)</f>
        <v>7900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f>654</f>
        <v>654</v>
      </c>
      <c r="E241" s="617"/>
      <c r="F241" s="617"/>
      <c r="G241" s="617"/>
      <c r="H241" s="617"/>
      <c r="I241" s="617"/>
      <c r="J241" s="617"/>
      <c r="K241" s="1694">
        <f>D241</f>
        <v>654</v>
      </c>
      <c r="L241" s="466">
        <v>650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654</v>
      </c>
      <c r="E243" s="617"/>
      <c r="F243" s="617"/>
      <c r="G243" s="617"/>
      <c r="H243" s="617"/>
      <c r="I243" s="617"/>
      <c r="J243" s="617"/>
      <c r="K243" s="1692">
        <f>SUM(K240:K242)</f>
        <v>654</v>
      </c>
      <c r="L243" s="1692">
        <f>SUM(L240:L242)</f>
        <v>650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4079+1381+323+1841</f>
        <v>7624</v>
      </c>
      <c r="E246" s="617"/>
      <c r="F246" s="617"/>
      <c r="G246" s="617"/>
      <c r="H246" s="617"/>
      <c r="I246" s="617"/>
      <c r="J246" s="617"/>
      <c r="K246" s="1694">
        <f t="shared" ref="K246:K256" si="21">D246</f>
        <v>7624</v>
      </c>
      <c r="L246" s="466">
        <v>7650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7624</v>
      </c>
      <c r="E257" s="617"/>
      <c r="F257" s="617"/>
      <c r="G257" s="617"/>
      <c r="H257" s="617"/>
      <c r="I257" s="617"/>
      <c r="J257" s="617"/>
      <c r="K257" s="1692">
        <f>SUM(K245:K256)</f>
        <v>7624</v>
      </c>
      <c r="L257" s="1692">
        <f>SUM(L245:L256)</f>
        <v>7650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3789+1696+397+1070</f>
        <v>6952</v>
      </c>
      <c r="E259" s="617"/>
      <c r="F259" s="617"/>
      <c r="G259" s="617"/>
      <c r="H259" s="617"/>
      <c r="I259" s="617"/>
      <c r="J259" s="617"/>
      <c r="K259" s="1694">
        <f>D259</f>
        <v>6952</v>
      </c>
      <c r="L259" s="481">
        <v>6902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6952</v>
      </c>
      <c r="E261" s="617"/>
      <c r="F261" s="617"/>
      <c r="G261" s="617"/>
      <c r="H261" s="617"/>
      <c r="I261" s="617"/>
      <c r="J261" s="617"/>
      <c r="K261" s="1692">
        <f>SUM(K259:K260)</f>
        <v>6952</v>
      </c>
      <c r="L261" s="1692">
        <f>SUM(L259:L260)</f>
        <v>6902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5288+2010+470</f>
        <v>7768</v>
      </c>
      <c r="E264" s="617"/>
      <c r="F264" s="617"/>
      <c r="G264" s="617"/>
      <c r="H264" s="617"/>
      <c r="I264" s="617"/>
      <c r="J264" s="617"/>
      <c r="K264" s="1694">
        <f t="shared" ref="K264:K269" si="22">D264</f>
        <v>7768</v>
      </c>
      <c r="L264" s="466">
        <v>7768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24653+10149+2374</f>
        <v>37176</v>
      </c>
      <c r="E266" s="617"/>
      <c r="F266" s="617"/>
      <c r="G266" s="617"/>
      <c r="H266" s="617"/>
      <c r="I266" s="617"/>
      <c r="J266" s="617"/>
      <c r="K266" s="1694">
        <f t="shared" si="22"/>
        <v>37176</v>
      </c>
      <c r="L266" s="466">
        <v>36742</v>
      </c>
    </row>
    <row r="267" spans="1:14" x14ac:dyDescent="0.2">
      <c r="A267" s="1526" t="s">
        <v>1010</v>
      </c>
      <c r="B267" s="615">
        <v>2550</v>
      </c>
      <c r="C267" s="617"/>
      <c r="D267" s="466">
        <f>6425+5262+1230</f>
        <v>12917</v>
      </c>
      <c r="E267" s="617"/>
      <c r="F267" s="617"/>
      <c r="G267" s="617"/>
      <c r="H267" s="617"/>
      <c r="I267" s="617"/>
      <c r="J267" s="617"/>
      <c r="K267" s="1694">
        <f t="shared" si="22"/>
        <v>12917</v>
      </c>
      <c r="L267" s="466">
        <v>13000</v>
      </c>
    </row>
    <row r="268" spans="1:14" x14ac:dyDescent="0.2">
      <c r="A268" s="1526" t="s">
        <v>102</v>
      </c>
      <c r="B268" s="615">
        <v>2560</v>
      </c>
      <c r="C268" s="617"/>
      <c r="D268" s="466">
        <f>6548+3515+822</f>
        <v>10885</v>
      </c>
      <c r="E268" s="617"/>
      <c r="F268" s="617"/>
      <c r="G268" s="617"/>
      <c r="H268" s="617"/>
      <c r="I268" s="617"/>
      <c r="J268" s="617"/>
      <c r="K268" s="1694">
        <f t="shared" si="22"/>
        <v>10885</v>
      </c>
      <c r="L268" s="466">
        <v>10063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68746</v>
      </c>
      <c r="E270" s="617"/>
      <c r="F270" s="617"/>
      <c r="G270" s="617"/>
      <c r="H270" s="617"/>
      <c r="I270" s="617"/>
      <c r="J270" s="617"/>
      <c r="K270" s="1692">
        <f>SUM(K263:K269)</f>
        <v>68746</v>
      </c>
      <c r="L270" s="1692">
        <f>SUM(L263:L269)</f>
        <v>67573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91857</v>
      </c>
      <c r="E279" s="617"/>
      <c r="F279" s="617"/>
      <c r="G279" s="617"/>
      <c r="H279" s="617"/>
      <c r="I279" s="617"/>
      <c r="J279" s="617"/>
      <c r="K279" s="1699">
        <f>SUM(K238,K243,K257,K261,K270,K277,K278)</f>
        <v>91857</v>
      </c>
      <c r="L279" s="1699">
        <f>SUM(L238,L243,L257,L261,L270,L277,L278)</f>
        <v>90675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118174</v>
      </c>
      <c r="E295" s="617"/>
      <c r="F295" s="617"/>
      <c r="G295" s="617"/>
      <c r="H295" s="1692">
        <f>H293</f>
        <v>0</v>
      </c>
      <c r="I295" s="617"/>
      <c r="J295" s="617"/>
      <c r="K295" s="1692">
        <f>SUM(K229,K279,K280,K285,K293,K294)</f>
        <v>118174</v>
      </c>
      <c r="L295" s="1692">
        <f>SUM(L229,L279,L280,L285,L293,L294)</f>
        <v>118025</v>
      </c>
    </row>
    <row r="296" spans="1:14" ht="13.5" thickTop="1" x14ac:dyDescent="0.2">
      <c r="A296" s="2199" t="s">
        <v>1053</v>
      </c>
      <c r="B296" s="2200"/>
      <c r="C296" s="617"/>
      <c r="D296" s="619"/>
      <c r="E296" s="617"/>
      <c r="F296" s="617"/>
      <c r="G296" s="617"/>
      <c r="H296" s="688"/>
      <c r="I296" s="617"/>
      <c r="J296" s="617"/>
      <c r="K296" s="1706">
        <f>'Revenues 9-14'!G275-'Expenditures 15-22'!K295</f>
        <v>11048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27137</v>
      </c>
      <c r="H301" s="466"/>
      <c r="I301" s="467"/>
      <c r="J301" s="467"/>
      <c r="K301" s="1693">
        <f>SUM(C301:J301)</f>
        <v>27137</v>
      </c>
      <c r="L301" s="467">
        <v>27137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27137</v>
      </c>
      <c r="H303" s="1699">
        <f t="shared" si="23"/>
        <v>0</v>
      </c>
      <c r="I303" s="1699">
        <f t="shared" si="23"/>
        <v>0</v>
      </c>
      <c r="J303" s="1699">
        <f t="shared" si="23"/>
        <v>0</v>
      </c>
      <c r="K303" s="1699">
        <f t="shared" si="23"/>
        <v>27137</v>
      </c>
      <c r="L303" s="1699">
        <f t="shared" si="23"/>
        <v>27137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27137</v>
      </c>
      <c r="H312" s="1692">
        <f>SUM(H303,H310)</f>
        <v>0</v>
      </c>
      <c r="I312" s="1692">
        <f>SUM(I303)</f>
        <v>0</v>
      </c>
      <c r="J312" s="1692">
        <f>SUM(J303)</f>
        <v>0</v>
      </c>
      <c r="K312" s="1692">
        <f>SUM(K303,K310,K311)</f>
        <v>27137</v>
      </c>
      <c r="L312" s="1692">
        <f>SUM(L303,L310,L311)</f>
        <v>27137</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-26892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20292</v>
      </c>
      <c r="F320" s="467"/>
      <c r="G320" s="467"/>
      <c r="H320" s="467"/>
      <c r="I320" s="467"/>
      <c r="J320" s="467"/>
      <c r="K320" s="1693">
        <f t="shared" ref="K320:K327" si="24">SUM(C320:J320)</f>
        <v>20292</v>
      </c>
      <c r="L320" s="467">
        <v>20292</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56160</v>
      </c>
      <c r="F322" s="467"/>
      <c r="G322" s="467"/>
      <c r="H322" s="467"/>
      <c r="I322" s="467"/>
      <c r="J322" s="467"/>
      <c r="K322" s="1693">
        <f t="shared" si="24"/>
        <v>56160</v>
      </c>
      <c r="L322" s="467">
        <v>56160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76452</v>
      </c>
      <c r="F330" s="1692">
        <f t="shared" si="25"/>
        <v>0</v>
      </c>
      <c r="G330" s="1692">
        <f t="shared" si="25"/>
        <v>0</v>
      </c>
      <c r="H330" s="1692">
        <f t="shared" si="25"/>
        <v>0</v>
      </c>
      <c r="I330" s="1692">
        <f t="shared" si="25"/>
        <v>0</v>
      </c>
      <c r="J330" s="1692">
        <f t="shared" si="25"/>
        <v>0</v>
      </c>
      <c r="K330" s="1692">
        <f>SUM(K319:K329)</f>
        <v>76452</v>
      </c>
      <c r="L330" s="1692">
        <f>SUM(L319:L329)</f>
        <v>76452</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76452</v>
      </c>
      <c r="F342" s="1692">
        <f>SUM(F330)</f>
        <v>0</v>
      </c>
      <c r="G342" s="1692">
        <f>SUM(G330)</f>
        <v>0</v>
      </c>
      <c r="H342" s="1692">
        <f>SUM(H330,H334,H340)</f>
        <v>0</v>
      </c>
      <c r="I342" s="1692">
        <f>SUM(I330)</f>
        <v>0</v>
      </c>
      <c r="J342" s="1692">
        <f>SUM(J330)</f>
        <v>0</v>
      </c>
      <c r="K342" s="1692">
        <f>SUM(K330,K334,K340)</f>
        <v>76452</v>
      </c>
      <c r="L342" s="1699">
        <f>SUM(L330,L334,L340,L341)</f>
        <v>76452</v>
      </c>
    </row>
    <row r="343" spans="1:14" ht="12.75" customHeight="1" thickTop="1" x14ac:dyDescent="0.2">
      <c r="A343" s="2185" t="s">
        <v>1053</v>
      </c>
      <c r="B343" s="2186"/>
      <c r="C343" s="617"/>
      <c r="D343" s="617"/>
      <c r="E343" s="617"/>
      <c r="F343" s="617"/>
      <c r="G343" s="617"/>
      <c r="H343" s="617"/>
      <c r="I343" s="617"/>
      <c r="J343" s="617"/>
      <c r="K343" s="1706">
        <f>'Revenues 9-14'!J275-'Expenditures 15-22'!K342</f>
        <v>12316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27900</v>
      </c>
      <c r="H348" s="466"/>
      <c r="I348" s="467"/>
      <c r="J348" s="467"/>
      <c r="K348" s="1693">
        <f>SUM(C348:J348)</f>
        <v>27900</v>
      </c>
      <c r="L348" s="466">
        <v>27900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27900</v>
      </c>
      <c r="H350" s="1692">
        <f t="shared" si="26"/>
        <v>0</v>
      </c>
      <c r="I350" s="1692">
        <f t="shared" si="26"/>
        <v>0</v>
      </c>
      <c r="J350" s="1692">
        <f t="shared" si="26"/>
        <v>0</v>
      </c>
      <c r="K350" s="1692">
        <f t="shared" si="26"/>
        <v>27900</v>
      </c>
      <c r="L350" s="1692">
        <f t="shared" si="26"/>
        <v>27900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27900</v>
      </c>
      <c r="H352" s="1692">
        <f t="shared" si="27"/>
        <v>0</v>
      </c>
      <c r="I352" s="1692">
        <f t="shared" si="27"/>
        <v>0</v>
      </c>
      <c r="J352" s="1692">
        <f t="shared" si="27"/>
        <v>0</v>
      </c>
      <c r="K352" s="1692">
        <f t="shared" si="27"/>
        <v>27900</v>
      </c>
      <c r="L352" s="1692">
        <f t="shared" si="27"/>
        <v>27900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27900</v>
      </c>
      <c r="H367" s="1692">
        <f t="shared" si="28"/>
        <v>0</v>
      </c>
      <c r="I367" s="1692">
        <f t="shared" si="28"/>
        <v>0</v>
      </c>
      <c r="J367" s="1692">
        <f t="shared" si="28"/>
        <v>0</v>
      </c>
      <c r="K367" s="1692">
        <f t="shared" si="28"/>
        <v>27900</v>
      </c>
      <c r="L367" s="1692">
        <f t="shared" si="28"/>
        <v>27900</v>
      </c>
    </row>
    <row r="368" spans="1:14" ht="13.5" thickTop="1" x14ac:dyDescent="0.2">
      <c r="A368" s="2199" t="s">
        <v>1053</v>
      </c>
      <c r="B368" s="2200"/>
      <c r="C368" s="655"/>
      <c r="D368" s="655"/>
      <c r="E368" s="627"/>
      <c r="F368" s="627"/>
      <c r="G368" s="627"/>
      <c r="H368" s="627"/>
      <c r="I368" s="627"/>
      <c r="J368" s="624"/>
      <c r="K368" s="1693">
        <f>'Revenues 9-14'!K275-'Expenditures 15-22'!K367</f>
        <v>-11865</v>
      </c>
      <c r="L368" s="655"/>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3.xml><?xml version="1.0" encoding="utf-8"?>
<ds:datastoreItem xmlns:ds="http://schemas.openxmlformats.org/officeDocument/2006/customXml" ds:itemID="{74FC8732-B5A4-4FA0-A043-A5337E94E6A4}">
  <ds:schemaRefs>
    <ds:schemaRef ds:uri="http://purl.org/dc/terms/"/>
    <ds:schemaRef ds:uri="http://purl.org/dc/dcmitype/"/>
    <ds:schemaRef ds:uri="http://purl.org/dc/elements/1.1/"/>
    <ds:schemaRef ds:uri="http://schemas.openxmlformats.org/package/2006/metadata/core-properties"/>
    <ds:schemaRef ds:uri="4d435f69-8686-490b-bd6d-b153bf22ab50"/>
    <ds:schemaRef ds:uri="http://www.w3.org/XML/1998/namespace"/>
    <ds:schemaRef ds:uri="http://schemas.microsoft.com/office/infopath/2007/PartnerControls"/>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2018-11-15T20:50:58Z</cp:lastPrinted>
  <dcterms:created xsi:type="dcterms:W3CDTF">2003-10-29T19:06:34Z</dcterms:created>
  <dcterms:modified xsi:type="dcterms:W3CDTF">2018-12-13T15:34:37Z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