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645" windowWidth="28830" windowHeight="130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26" i="181" l="1"/>
  <c r="D25" i="181"/>
  <c r="D24" i="181"/>
  <c r="D23" i="181"/>
  <c r="D22" i="181"/>
  <c r="D20" i="181"/>
  <c r="C107" i="5" l="1"/>
  <c r="E63" i="29"/>
  <c r="F61" i="29"/>
  <c r="H79" i="29"/>
  <c r="J8" i="12" l="1"/>
  <c r="G4" i="3"/>
  <c r="C4" i="3"/>
  <c r="E322" i="29"/>
  <c r="D280" i="29"/>
  <c r="D268" i="29"/>
  <c r="D267" i="29"/>
  <c r="D266" i="29"/>
  <c r="D264" i="29"/>
  <c r="D259" i="29"/>
  <c r="D246" i="29"/>
  <c r="D245" i="29"/>
  <c r="D241" i="29"/>
  <c r="D240" i="29"/>
  <c r="D237" i="29"/>
  <c r="D234" i="29"/>
  <c r="D223" i="29"/>
  <c r="D222" i="29"/>
  <c r="D219" i="29"/>
  <c r="D215" i="29"/>
  <c r="E183" i="29"/>
  <c r="E182" i="29"/>
  <c r="D182" i="29"/>
  <c r="H170" i="29" l="1"/>
  <c r="H169" i="29"/>
  <c r="F124" i="29"/>
  <c r="E124" i="29"/>
  <c r="F75" i="29"/>
  <c r="F63" i="29"/>
  <c r="D63" i="29"/>
  <c r="E62" i="29"/>
  <c r="D62" i="29"/>
  <c r="E61" i="29"/>
  <c r="G61" i="29"/>
  <c r="D61" i="29"/>
  <c r="C61" i="29"/>
  <c r="E60" i="29"/>
  <c r="D60" i="29"/>
  <c r="E55" i="29"/>
  <c r="D55" i="29"/>
  <c r="E50" i="29"/>
  <c r="D50" i="29"/>
  <c r="E49" i="29"/>
  <c r="D49" i="29"/>
  <c r="C49" i="29"/>
  <c r="F45" i="29"/>
  <c r="E44" i="29"/>
  <c r="D44" i="29"/>
  <c r="C44" i="29"/>
  <c r="D41" i="29"/>
  <c r="E41" i="29"/>
  <c r="C41" i="29"/>
  <c r="E38" i="29"/>
  <c r="D38" i="29"/>
  <c r="E37" i="29"/>
  <c r="D37" i="29"/>
  <c r="E17" i="29"/>
  <c r="D17" i="29"/>
  <c r="H14" i="29"/>
  <c r="F14" i="29"/>
  <c r="E14" i="29"/>
  <c r="D14" i="29"/>
  <c r="C14" i="29"/>
  <c r="E13" i="29"/>
  <c r="D13" i="29"/>
  <c r="C13" i="29"/>
  <c r="D10" i="29"/>
  <c r="E10" i="29"/>
  <c r="H5" i="29"/>
  <c r="G5" i="29"/>
  <c r="F5" i="29"/>
  <c r="E5" i="29"/>
  <c r="D5" i="29"/>
  <c r="C5" i="29"/>
  <c r="G203" i="5"/>
  <c r="G65" i="5"/>
  <c r="G17" i="5"/>
  <c r="G16" i="5"/>
  <c r="G14" i="5"/>
  <c r="G5" i="5"/>
  <c r="C203" i="5"/>
  <c r="C106" i="5"/>
  <c r="C79" i="5"/>
  <c r="C69"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B7718" i="106" s="1"/>
  <c r="D7718" i="106" s="1"/>
  <c r="J21" i="12"/>
  <c r="B7727" i="106" s="1"/>
  <c r="D7727" i="106"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C14" i="4" s="1"/>
  <c r="B2558" i="106" s="1"/>
  <c r="D2558" i="106" s="1"/>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c r="B5115" i="106"/>
  <c r="D5115" i="106" s="1"/>
  <c r="B5116" i="106"/>
  <c r="D5116" i="106"/>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s="1"/>
  <c r="B6303" i="106"/>
  <c r="D6303" i="106" s="1"/>
  <c r="B6304" i="106"/>
  <c r="D6304" i="106"/>
  <c r="B6305" i="106"/>
  <c r="D6305" i="106" s="1"/>
  <c r="B6307" i="106"/>
  <c r="D6307" i="106"/>
  <c r="B6308" i="106"/>
  <c r="D6308" i="106" s="1"/>
  <c r="B6309" i="106"/>
  <c r="D6309" i="106"/>
  <c r="B6310" i="106"/>
  <c r="D6310" i="106" s="1"/>
  <c r="B6311" i="106"/>
  <c r="D6311" i="106"/>
  <c r="B6312" i="106"/>
  <c r="D6312" i="106" s="1"/>
  <c r="B6313" i="106"/>
  <c r="D6313" i="106"/>
  <c r="B6314" i="106"/>
  <c r="D6314" i="106" s="1"/>
  <c r="B6315" i="106"/>
  <c r="D6315" i="106"/>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s="1"/>
  <c r="B6331" i="106"/>
  <c r="D6331" i="106"/>
  <c r="B6332" i="106"/>
  <c r="D6332" i="106" s="1"/>
  <c r="B6333" i="106"/>
  <c r="D6333" i="106"/>
  <c r="B6334" i="106"/>
  <c r="D6334" i="106" s="1"/>
  <c r="B6335" i="106"/>
  <c r="D6335" i="106"/>
  <c r="B6336" i="106"/>
  <c r="D6336" i="106" s="1"/>
  <c r="B6337" i="106"/>
  <c r="D6337" i="106"/>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s="1"/>
  <c r="B6361" i="106"/>
  <c r="D6361" i="106"/>
  <c r="B6362" i="106"/>
  <c r="D6362" i="106" s="1"/>
  <c r="B6363" i="106"/>
  <c r="D6363" i="106"/>
  <c r="B6364" i="106"/>
  <c r="D6364" i="106" s="1"/>
  <c r="B6365" i="106"/>
  <c r="D6365" i="106"/>
  <c r="B6366" i="106"/>
  <c r="D6366" i="106" s="1"/>
  <c r="B6367" i="106"/>
  <c r="D6367" i="106"/>
  <c r="B6368" i="106"/>
  <c r="D6368" i="106" s="1"/>
  <c r="B6369" i="106"/>
  <c r="D6369" i="106"/>
  <c r="B6370" i="106"/>
  <c r="D6370" i="106" s="1"/>
  <c r="B6371" i="106"/>
  <c r="D6371" i="106"/>
  <c r="B6372" i="106"/>
  <c r="D6372" i="106" s="1"/>
  <c r="B6373" i="106"/>
  <c r="D6373" i="106"/>
  <c r="B6374" i="106"/>
  <c r="D6374" i="106" s="1"/>
  <c r="B6375" i="106"/>
  <c r="D6375" i="106"/>
  <c r="B6376" i="106"/>
  <c r="D6376" i="106" s="1"/>
  <c r="B6377" i="106"/>
  <c r="D6377" i="106"/>
  <c r="B6378" i="106"/>
  <c r="D6378" i="106" s="1"/>
  <c r="B6379" i="106"/>
  <c r="D6379" i="106"/>
  <c r="B6380" i="106"/>
  <c r="D6380" i="106" s="1"/>
  <c r="B6381" i="106"/>
  <c r="D6381" i="106"/>
  <c r="B6382" i="106"/>
  <c r="D6382" i="106" s="1"/>
  <c r="B6383" i="106"/>
  <c r="D6383" i="106"/>
  <c r="B6384" i="106"/>
  <c r="D6384" i="106" s="1"/>
  <c r="B6385" i="106"/>
  <c r="D6385" i="106"/>
  <c r="B6386" i="106"/>
  <c r="D6386" i="106" s="1"/>
  <c r="B6387" i="106"/>
  <c r="D6387" i="106"/>
  <c r="B6388" i="106"/>
  <c r="D6388" i="106" s="1"/>
  <c r="B6389" i="106"/>
  <c r="D6389" i="106"/>
  <c r="B6390" i="106"/>
  <c r="D6390" i="106" s="1"/>
  <c r="B6391" i="106"/>
  <c r="D6391" i="106"/>
  <c r="B6392" i="106"/>
  <c r="D6392" i="106" s="1"/>
  <c r="B6393" i="106"/>
  <c r="D6393" i="106"/>
  <c r="B6394" i="106"/>
  <c r="D6394" i="106" s="1"/>
  <c r="B6395" i="106"/>
  <c r="D6395" i="106"/>
  <c r="B6398" i="106"/>
  <c r="D6398" i="106" s="1"/>
  <c r="B6399" i="106"/>
  <c r="D6399" i="106"/>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F31" i="108"/>
  <c r="F36" i="108"/>
  <c r="F37" i="108"/>
  <c r="G28" i="108"/>
  <c r="D31" i="108"/>
  <c r="D36" i="108"/>
  <c r="E31" i="108"/>
  <c r="G31" i="108"/>
  <c r="E33" i="108"/>
  <c r="G33" i="108"/>
  <c r="E34" i="108"/>
  <c r="G34" i="108"/>
  <c r="E35"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K274" i="5" s="1"/>
  <c r="C184" i="5"/>
  <c r="B5232" i="106" s="1"/>
  <c r="D5232" i="106" s="1"/>
  <c r="D184" i="5"/>
  <c r="F127" i="34"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F131" i="34"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G5" i="4"/>
  <c r="B3409" i="106" s="1"/>
  <c r="D3409" i="106" s="1"/>
  <c r="G14" i="4"/>
  <c r="B2609" i="106" s="1"/>
  <c r="D2609" i="106" s="1"/>
  <c r="G15" i="4"/>
  <c r="B6032" i="106" s="1"/>
  <c r="D6032" i="106" s="1"/>
  <c r="D14" i="4"/>
  <c r="B2570" i="106" s="1"/>
  <c r="D2570" i="106" s="1"/>
  <c r="F14" i="4"/>
  <c r="B2597" i="106" s="1"/>
  <c r="D2597" i="106" s="1"/>
  <c r="B2633" i="106"/>
  <c r="D2633" i="106" s="1"/>
  <c r="D7" i="118"/>
  <c r="D8" i="118"/>
  <c r="D9" i="118"/>
  <c r="H14" i="118"/>
  <c r="H19" i="118"/>
  <c r="H24" i="118"/>
  <c r="H28" i="118"/>
  <c r="D22" i="37"/>
  <c r="H22" i="37"/>
  <c r="J22" i="37"/>
  <c r="L22" i="37"/>
  <c r="D24" i="37"/>
  <c r="B4270" i="106" s="1"/>
  <c r="D4270" i="106" s="1"/>
  <c r="D4" i="7"/>
  <c r="B1760" i="106" s="1"/>
  <c r="D1760" i="106" s="1"/>
  <c r="D5" i="7"/>
  <c r="B1761" i="106" s="1"/>
  <c r="D1761" i="106" s="1"/>
  <c r="D13" i="7"/>
  <c r="B3726" i="106" s="1"/>
  <c r="D3726" i="106" s="1"/>
  <c r="F130" i="34"/>
  <c r="B5847" i="106"/>
  <c r="D5847" i="106" s="1"/>
  <c r="B5599" i="106"/>
  <c r="D5599" i="106" s="1"/>
  <c r="H173" i="5"/>
  <c r="B5906" i="106" s="1"/>
  <c r="D5906" i="106" s="1"/>
  <c r="H6" i="4"/>
  <c r="B2656" i="106" s="1"/>
  <c r="D2656" i="106" s="1"/>
  <c r="D17" i="7"/>
  <c r="B4104" i="106" s="1"/>
  <c r="D4104" i="106" s="1"/>
  <c r="D11" i="7"/>
  <c r="B1768" i="106" s="1"/>
  <c r="D1768" i="106" s="1"/>
  <c r="D15" i="7"/>
  <c r="B1772" i="106" s="1"/>
  <c r="D1772" i="106" s="1"/>
  <c r="G173" i="5" l="1"/>
  <c r="B5778" i="106" s="1"/>
  <c r="D5778" i="106" s="1"/>
  <c r="B5770" i="106"/>
  <c r="D5770" i="106" s="1"/>
  <c r="D109" i="5"/>
  <c r="I274" i="5"/>
  <c r="C172" i="5"/>
  <c r="B5214" i="106" s="1"/>
  <c r="D5214" i="106" s="1"/>
  <c r="B5752" i="106"/>
  <c r="D5752" i="106" s="1"/>
  <c r="F128" i="34"/>
  <c r="B4412" i="106"/>
  <c r="D4412" i="106" s="1"/>
  <c r="B5425" i="106"/>
  <c r="D5425" i="106" s="1"/>
  <c r="B4951" i="106"/>
  <c r="D4951" i="106" s="1"/>
  <c r="K173" i="5"/>
  <c r="K6" i="4" s="1"/>
  <c r="B3570" i="106" s="1"/>
  <c r="D3570" i="106" s="1"/>
  <c r="F172" i="5"/>
  <c r="B5644" i="106" s="1"/>
  <c r="D5644" i="106" s="1"/>
  <c r="L367" i="29"/>
  <c r="B3621" i="106"/>
  <c r="D3621" i="106" s="1"/>
  <c r="C367" i="29"/>
  <c r="F106" i="34"/>
  <c r="F111" i="34"/>
  <c r="J274" i="5"/>
  <c r="B7054" i="106" s="1"/>
  <c r="D7054" i="106" s="1"/>
  <c r="D7245" i="106"/>
  <c r="I342" i="29"/>
  <c r="B7222" i="106" s="1"/>
  <c r="D7222" i="106" s="1"/>
  <c r="B6191" i="106"/>
  <c r="D6191" i="106" s="1"/>
  <c r="J41" i="3"/>
  <c r="H109" i="5"/>
  <c r="B6025" i="106" s="1"/>
  <c r="D6025" i="106" s="1"/>
  <c r="C342" i="29"/>
  <c r="B7216" i="106" s="1"/>
  <c r="D7216" i="106" s="1"/>
  <c r="K24" i="12"/>
  <c r="G352" i="29"/>
  <c r="B3619" i="106"/>
  <c r="D3619" i="106" s="1"/>
  <c r="B1223" i="106"/>
  <c r="D1223" i="106" s="1"/>
  <c r="K350" i="29"/>
  <c r="B3670" i="106" s="1"/>
  <c r="D3670" i="106" s="1"/>
  <c r="G210" i="29"/>
  <c r="K41" i="3"/>
  <c r="L15" i="11"/>
  <c r="B3459" i="106" s="1"/>
  <c r="D3459" i="106" s="1"/>
  <c r="G39" i="108"/>
  <c r="D54" i="36"/>
  <c r="H33" i="118"/>
  <c r="E30" i="108"/>
  <c r="L13" i="11"/>
  <c r="B2060" i="106" s="1"/>
  <c r="D2060" i="106" s="1"/>
  <c r="L5" i="11"/>
  <c r="B2056" i="106" s="1"/>
  <c r="D2056" i="106" s="1"/>
  <c r="J23" i="12"/>
  <c r="N22" i="3"/>
  <c r="B283" i="106" s="1"/>
  <c r="D283" i="106" s="1"/>
  <c r="K352" i="29"/>
  <c r="K13" i="4" s="1"/>
  <c r="B3572" i="106" s="1"/>
  <c r="D3572" i="106" s="1"/>
  <c r="B1410" i="106"/>
  <c r="D1410" i="106" s="1"/>
  <c r="K184" i="29"/>
  <c r="F13" i="4" s="1"/>
  <c r="B2596" i="106" s="1"/>
  <c r="D2596" i="106" s="1"/>
  <c r="B1329" i="106"/>
  <c r="D1329" i="106" s="1"/>
  <c r="F61" i="34"/>
  <c r="B2805" i="106"/>
  <c r="D2805" i="106" s="1"/>
  <c r="F52" i="34"/>
  <c r="E38" i="108"/>
  <c r="D37" i="108"/>
  <c r="G30" i="108"/>
  <c r="E29" i="108"/>
  <c r="G29" i="108"/>
  <c r="F28" i="108"/>
  <c r="F41" i="108" s="1"/>
  <c r="G43" i="108" s="1"/>
  <c r="E28" i="108"/>
  <c r="B2724" i="106"/>
  <c r="D2724" i="106" s="1"/>
  <c r="D12" i="7"/>
  <c r="B1769" i="106" s="1"/>
  <c r="D1769" i="106" s="1"/>
  <c r="D9" i="7"/>
  <c r="B1767" i="106" s="1"/>
  <c r="D1767" i="106" s="1"/>
  <c r="H4" i="4"/>
  <c r="B2655" i="106" s="1"/>
  <c r="D2655" i="106" s="1"/>
  <c r="G109" i="5"/>
  <c r="D7" i="7"/>
  <c r="B1763" i="106" s="1"/>
  <c r="D1763" i="106" s="1"/>
  <c r="E109" i="5"/>
  <c r="E4" i="4" s="1"/>
  <c r="B2630" i="106" s="1"/>
  <c r="D2630" i="106" s="1"/>
  <c r="B1746" i="106"/>
  <c r="D1746" i="106" s="1"/>
  <c r="B5334" i="106"/>
  <c r="D5334" i="106" s="1"/>
  <c r="B5356" i="106"/>
  <c r="D5356" i="106" s="1"/>
  <c r="D4" i="4"/>
  <c r="B2564" i="106" s="1"/>
  <c r="D2564" i="106" s="1"/>
  <c r="C173" i="5"/>
  <c r="B5223" i="106" s="1"/>
  <c r="D5223" i="106" s="1"/>
  <c r="C109" i="5"/>
  <c r="B5121" i="106" s="1"/>
  <c r="D5121" i="106" s="1"/>
  <c r="B5066" i="106"/>
  <c r="D5066" i="106" s="1"/>
  <c r="D11" i="37"/>
  <c r="D31" i="36"/>
  <c r="H29" i="118"/>
  <c r="K28" i="118" s="1"/>
  <c r="O27" i="118" s="1"/>
  <c r="O29" i="118"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D274" i="5"/>
  <c r="B7270" i="106"/>
  <c r="H8" i="4" l="1"/>
  <c r="B3628" i="106"/>
  <c r="D3628" i="106" s="1"/>
  <c r="D19" i="7"/>
  <c r="B1775" i="106" s="1"/>
  <c r="D1775" i="106" s="1"/>
  <c r="B3568" i="106"/>
  <c r="D3568" i="106" s="1"/>
  <c r="D52" i="36"/>
  <c r="B1365" i="106"/>
  <c r="D1365" i="106" s="1"/>
  <c r="F65" i="34"/>
  <c r="B3649" i="106"/>
  <c r="D3649" i="106" s="1"/>
  <c r="G367" i="29"/>
  <c r="B3650" i="106" s="1"/>
  <c r="D3650" i="106" s="1"/>
  <c r="B7733" i="106"/>
  <c r="D7733" i="106" s="1"/>
  <c r="K26" i="12"/>
  <c r="B7743" i="106" s="1"/>
  <c r="D7743" i="106" s="1"/>
  <c r="H275" i="5"/>
  <c r="H367" i="29"/>
  <c r="B3660" i="106" s="1"/>
  <c r="D3660" i="106" s="1"/>
  <c r="L114" i="29"/>
  <c r="L16" i="11"/>
  <c r="B2061" i="106" s="1"/>
  <c r="D2061" i="106" s="1"/>
  <c r="N23" i="3"/>
  <c r="B284" i="106" s="1"/>
  <c r="D284" i="106" s="1"/>
  <c r="D44" i="36"/>
  <c r="K342" i="29"/>
  <c r="F13" i="34" s="1"/>
  <c r="C114" i="29"/>
  <c r="B757" i="106" s="1"/>
  <c r="D757" i="106" s="1"/>
  <c r="B6024" i="106"/>
  <c r="D6024" i="106" s="1"/>
  <c r="G4" i="4"/>
  <c r="B2603" i="106" s="1"/>
  <c r="D2603" i="106" s="1"/>
  <c r="F274" i="5"/>
  <c r="F275" i="5"/>
  <c r="F6" i="4"/>
  <c r="B2593" i="106" s="1"/>
  <c r="D259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D275" i="5"/>
  <c r="B5507" i="106"/>
  <c r="D5507" i="106" s="1"/>
  <c r="B7298" i="106"/>
  <c r="B7299" i="106"/>
  <c r="B1145" i="106" l="1"/>
  <c r="D1145" i="106" s="1"/>
  <c r="G41" i="108"/>
  <c r="G44" i="108" s="1"/>
  <c r="G45" i="108" s="1"/>
  <c r="E41" i="108"/>
  <c r="E44" i="108" s="1"/>
  <c r="E45" i="108" s="1"/>
  <c r="J8" i="4"/>
  <c r="B6223" i="106" s="1"/>
  <c r="D6223" i="106"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D8" i="4"/>
  <c r="B2567" i="106"/>
  <c r="D2567" i="106" s="1"/>
  <c r="D8" i="146" l="1"/>
  <c r="F76" i="34"/>
  <c r="J20" i="4"/>
  <c r="B6230" i="106" s="1"/>
  <c r="D6230"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B1630" i="106"/>
  <c r="D1630" i="106" s="1"/>
  <c r="E82" i="4"/>
  <c r="B1658" i="106"/>
  <c r="D1658" i="106" s="1"/>
  <c r="D59" i="36"/>
  <c r="I83" i="4"/>
  <c r="B6282" i="106" s="1"/>
  <c r="D6282" i="106" s="1"/>
  <c r="B6273" i="106"/>
  <c r="D6273" i="106" s="1"/>
  <c r="G82" i="4"/>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<sst xmlns="http://schemas.openxmlformats.org/spreadsheetml/2006/main" count="5083" uniqueCount="2133">
  <si>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</si>
  <si>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</si>
  <si>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</si>
  <si>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</si>
  <si>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</si>
  <si>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</si>
  <si>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</si>
  <si>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</si>
  <si>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</si>
  <si>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</si>
  <si>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</si>
  <si>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</si>
  <si>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</si>
  <si>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</si>
  <si>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</si>
  <si>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</si>
  <si>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</si>
  <si>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</si>
  <si>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</si>
  <si>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</si>
  <si>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</si>
  <si>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</si>
  <si>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</si>
  <si>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</si>
  <si>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</si>
  <si>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</si>
  <si>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</si>
  <si>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</si>
  <si>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</si>
  <si>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</si>
  <si>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</si>
  <si>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</si>
  <si>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</si>
  <si>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</si>
  <si>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</si>
  <si>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</si>
  <si>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</si>
  <si>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</si>
  <si>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</si>
  <si>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</si>
  <si>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</si>
  <si>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</si>
  <si>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</si>
  <si>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</si>
  <si>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</si>
  <si>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</si>
  <si>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</si>
  <si>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</si>
  <si>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</si>
  <si>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</si>
  <si>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</si>
  <si>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</si>
  <si>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</si>
  <si>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</si>
  <si>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</si>
  <si>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</si>
  <si>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</si>
  <si>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</si>
  <si>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</si>
  <si>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</si>
  <si>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</si>
  <si>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</si>
  <si>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</si>
  <si>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</si>
  <si>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</si>
  <si>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</si>
  <si>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</si>
  <si>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</si>
  <si>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</si>
  <si>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</si>
  <si>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</si>
  <si>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</si>
  <si>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</si>
  <si>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</si>
  <si>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</si>
  <si>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</si>
  <si>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</si>
  <si>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</si>
  <si>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</si>
  <si>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</si>
  <si>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</si>
  <si>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</si>
  <si>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</si>
  <si>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</si>
  <si>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</si>
  <si>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</si>
  <si>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</si>
  <si>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</si>
  <si>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</si>
  <si>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</si>
  <si>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</si>
  <si>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</si>
  <si>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</si>
  <si>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</si>
  <si>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</si>
  <si>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</si>
  <si>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</si>
  <si>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</si>
  <si>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</si>
  <si>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</si>
  <si>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</si>
  <si>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</si>
  <si>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</si>
  <si>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</si>
  <si>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</si>
  <si>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</si>
  <si>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</si>
  <si>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</si>
  <si>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</si>
  <si>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</si>
  <si>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</si>
  <si>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</si>
  <si>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</si>
  <si>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</si>
  <si>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</si>
  <si>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</si>
  <si>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</si>
  <si>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</si>
  <si>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</si>
  <si>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</si>
  <si>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</si>
  <si>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</si>
  <si>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</si>
  <si>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</si>
  <si>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</si>
  <si>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</si>
  <si>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</si>
  <si>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</si>
  <si>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</si>
  <si>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</si>
  <si>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</si>
  <si>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</si>
  <si>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</si>
  <si>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</si>
  <si>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</si>
  <si>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</si>
  <si>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</si>
  <si>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</si>
  <si>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</si>
  <si>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</si>
  <si>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</si>
  <si>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</si>
  <si>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</si>
  <si>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</si>
  <si>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</si>
  <si>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</si>
  <si>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</si>
  <si>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</si>
  <si>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</si>
  <si>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</si>
  <si>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</si>
  <si>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</si>
  <si>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</si>
  <si>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</si>
  <si>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</si>
  <si>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</si>
  <si>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</si>
  <si>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</si>
  <si>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</si>
  <si>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</si>
  <si>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</si>
  <si>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</si>
  <si>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</si>
  <si>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</si>
  <si>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</si>
  <si>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</si>
  <si>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</si>
  <si>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</si>
  <si>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</si>
  <si>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</si>
  <si>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</si>
  <si>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</si>
  <si>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</si>
  <si>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</si>
  <si>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</si>
  <si>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</si>
  <si>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</si>
  <si>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</si>
  <si>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</si>
  <si>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</si>
  <si>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</si>
  <si>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</si>
  <si>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</si>
  <si>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</si>
  <si>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</si>
  <si>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</si>
  <si>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</si>
  <si>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</si>
  <si>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</si>
  <si>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</si>
  <si>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</si>
  <si>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</si>
  <si>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</si>
  <si>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</si>
  <si>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</si>
  <si>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</si>
  <si>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</si>
  <si>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</si>
  <si>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</si>
  <si>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</si>
  <si>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</si>
  <si>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</si>
  <si>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</si>
  <si>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</si>
  <si>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</si>
  <si>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</si>
  <si>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</si>
  <si>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</si>
  <si>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</si>
  <si>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</si>
  <si>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</si>
  <si>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</si>
  <si>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</si>
  <si>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</si>
  <si>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</si>
  <si>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</si>
  <si>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</si>
  <si>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</si>
  <si>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</si>
  <si>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</si>
  <si>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</si>
  <si>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</si>
  <si>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</si>
  <si>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</si>
  <si>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</si>
  <si>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</si>
  <si>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</si>
  <si>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</si>
  <si>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</si>
  <si>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</si>
  <si>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</si>
  <si>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</si>
  <si>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</si>
  <si>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</si>
  <si>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</si>
  <si>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</si>
  <si>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</si>
  <si>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</si>
  <si>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</si>
  <si>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</si>
  <si>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</si>
  <si>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</si>
  <si>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</si>
  <si>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</si>
  <si>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</si>
  <si>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</si>
  <si>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</si>
  <si>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</si>
  <si>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</si>
  <si>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</si>
  <si>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</si>
  <si>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</si>
  <si>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</si>
  <si>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</si>
  <si>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</si>
  <si>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</si>
  <si>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</si>
  <si>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</si>
  <si>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</si>
  <si>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</si>
  <si>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</si>
  <si>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</si>
  <si>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</si>
  <si>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</si>
  <si>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</si>
  <si>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</si>
  <si>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</si>
  <si>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</si>
  <si>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</si>
  <si>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</si>
  <si>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</si>
  <si>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</si>
  <si>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</si>
  <si>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</si>
  <si>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</si>
  <si>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</si>
  <si>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</si>
  <si>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</si>
  <si>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</si>
  <si>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</si>
  <si>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</si>
  <si>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</si>
  <si>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</si>
  <si>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</si>
  <si>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</si>
  <si>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</si>
  <si>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</si>
  <si>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</si>
  <si>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</si>
  <si>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</si>
  <si>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</si>
  <si>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</si>
  <si>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</si>
  <si>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</si>
  <si>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</si>
  <si>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</si>
  <si>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</si>
  <si>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</si>
  <si>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</si>
  <si>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</si>
  <si>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</si>
  <si>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</si>
  <si>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</si>
  <si>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</si>
  <si>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</si>
  <si>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</si>
  <si>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</si>
  <si>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</si>
  <si>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</si>
  <si>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</si>
  <si>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</si>
  <si>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</si>
  <si>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</si>
  <si>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</si>
  <si>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</si>
  <si>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</si>
  <si>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</si>
  <si>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</si>
  <si>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</si>
  <si>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</si>
  <si>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</si>
  <si>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</si>
  <si>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</si>
  <si>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</si>
  <si>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</si>
  <si>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</si>
  <si>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</si>
  <si>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</si>
  <si>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</si>
  <si>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</si>
  <si>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</si>
  <si>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</si>
  <si>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</si>
  <si>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</si>
  <si>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</si>
  <si>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</si>
  <si>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</si>
  <si>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</si>
  <si>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</si>
  <si>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</si>
  <si>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</si>
  <si>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</si>
  <si>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</si>
  <si>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</si>
  <si>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</si>
  <si>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</si>
  <si>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</si>
  <si>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</si>
  <si>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</si>
  <si>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</si>
  <si>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</si>
  <si>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</si>
  <si>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</si>
  <si>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</si>
  <si>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</si>
  <si>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</si>
  <si>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</si>
  <si>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</si>
  <si>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</si>
  <si>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</si>
  <si>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</si>
  <si>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</si>
  <si>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</si>
  <si>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</si>
  <si>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</si>
  <si>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</si>
  <si>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</si>
  <si>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</si>
  <si>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</si>
  <si>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</si>
  <si>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</si>
  <si>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</si>
  <si>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</si>
  <si>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</si>
  <si>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</si>
  <si>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</si>
  <si>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</si>
  <si>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</si>
  <si>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</si>
  <si>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</si>
  <si>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</si>
  <si>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</si>
  <si>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</si>
  <si>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</si>
  <si>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</si>
  <si>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</si>
  <si>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</si>
  <si>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</si>
  <si>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</si>
  <si>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</si>
  <si>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</si>
  <si>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</si>
  <si>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</si>
  <si>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</si>
  <si>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</si>
  <si>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</si>
  <si>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</si>
  <si>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</si>
  <si>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</si>
  <si>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</si>
  <si>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</si>
  <si>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</si>
  <si>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</si>
  <si>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</si>
  <si>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</si>
  <si>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</si>
  <si>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</si>
  <si>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</si>
  <si>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</si>
  <si>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</si>
  <si>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</si>
  <si>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</si>
  <si>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</si>
  <si>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</si>
  <si>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</si>
  <si>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</si>
  <si>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</si>
  <si>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</si>
  <si>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</si>
  <si>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</si>
  <si>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</si>
  <si>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</si>
  <si>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</si>
  <si>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</si>
  <si>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</si>
  <si>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</si>
  <si>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</si>
  <si>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</si>
  <si>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</si>
  <si>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</si>
  <si>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</si>
  <si>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</si>
  <si>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</si>
  <si>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</si>
  <si>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</si>
  <si>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</si>
  <si>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</si>
  <si>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</si>
  <si>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</si>
  <si>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</si>
  <si>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</si>
  <si>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</si>
  <si>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</si>
  <si>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</si>
  <si>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</si>
  <si>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</si>
  <si>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</si>
  <si>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</si>
  <si>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</si>
  <si>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</si>
  <si>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</si>
  <si>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</si>
  <si>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</si>
  <si>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</si>
  <si>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</si>
  <si>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</si>
  <si>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</si>
  <si>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</si>
  <si>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</si>
  <si>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</si>
  <si>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</si>
  <si>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</si>
  <si>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</si>
  <si>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</si>
  <si>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</si>
  <si>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</si>
  <si>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</si>
  <si>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</si>
  <si>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</si>
  <si>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</si>
  <si>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</si>
  <si>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</si>
  <si>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</si>
  <si>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</si>
  <si>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</si>
  <si>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</si>
  <si>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</si>
  <si>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</si>
  <si>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</si>
  <si>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</si>
  <si>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</si>
  <si>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</si>
  <si>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</si>
  <si>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</si>
  <si>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</si>
  <si>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</si>
  <si>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</si>
  <si>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</si>
  <si>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</si>
  <si>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</si>
  <si>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</si>
  <si>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</si>
  <si>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</si>
  <si>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</si>
  <si>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</si>
  <si>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</si>
  <si>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</si>
  <si>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</si>
  <si>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</si>
  <si>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</si>
  <si>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</si>
  <si>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</si>
  <si>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</si>
  <si>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</si>
  <si>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</si>
  <si>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</si>
  <si>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</si>
  <si>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</si>
  <si>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</si>
  <si>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</si>
  <si>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</si>
  <si>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</si>
  <si>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</si>
  <si>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</si>
  <si>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</si>
  <si>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</si>
  <si>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</si>
  <si>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</si>
  <si>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</si>
  <si>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</si>
  <si>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</si>
  <si>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</si>
  <si>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</si>
  <si>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</si>
  <si>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</si>
  <si>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</si>
  <si>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</si>
  <si>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</si>
  <si>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</si>
  <si>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</si>
  <si>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</si>
  <si>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</si>
  <si>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</si>
  <si>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</si>
  <si>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</si>
  <si>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</si>
  <si>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</si>
  <si>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</si>
  <si>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</si>
  <si>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</si>
  <si>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</si>
  <si>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</si>
  <si>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</si>
  <si>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</si>
  <si>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</si>
  <si>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</si>
  <si>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</si>
  <si>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</si>
  <si>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</si>
  <si>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</si>
  <si>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</si>
  <si>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</si>
  <si>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</si>
  <si>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</si>
  <si>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</si>
  <si>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</si>
  <si>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</si>
  <si>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</si>
  <si>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</si>
  <si>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</si>
  <si>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</si>
  <si>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</si>
  <si>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</si>
  <si>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</si>
  <si>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</si>
  <si>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</si>
  <si>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</si>
  <si>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</si>
  <si>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</si>
  <si>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</si>
  <si>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</si>
  <si>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</si>
  <si>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</si>
  <si>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</si>
  <si>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</si>
  <si>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</si>
  <si>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</si>
  <si>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</si>
  <si>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</si>
  <si>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</si>
  <si>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</si>
  <si>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</si>
  <si>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</si>
  <si>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</si>
  <si>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</si>
  <si>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</si>
  <si>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</si>
  <si>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</si>
  <si>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</si>
  <si>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</si>
  <si>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</si>
  <si>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</si>
  <si>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</si>
  <si>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</si>
  <si>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</si>
  <si>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</si>
  <si>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</si>
  <si>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</si>
  <si>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</si>
  <si>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</si>
  <si>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</si>
  <si>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</si>
  <si>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</si>
  <si>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</si>
  <si>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</si>
  <si>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</si>
  <si>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</si>
  <si>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</si>
  <si>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</si>
  <si>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</si>
  <si>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</si>
  <si>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</si>
  <si>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</si>
  <si>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</si>
  <si>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</si>
  <si>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</si>
  <si>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</si>
  <si>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</si>
  <si>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</si>
  <si>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</si>
  <si>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</si>
  <si>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</si>
  <si>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</si>
  <si>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</si>
  <si>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</si>
  <si>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</si>
  <si>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</si>
  <si>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</si>
  <si>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</si>
  <si>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</si>
  <si>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</si>
  <si>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</si>
  <si>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</si>
  <si>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</si>
  <si>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</si>
  <si>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</si>
  <si>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</si>
  <si>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</si>
  <si>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</si>
  <si>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</si>
  <si>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</si>
  <si>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</si>
  <si>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</si>
  <si>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</si>
  <si>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</si>
  <si>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</si>
  <si>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</si>
  <si>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</si>
  <si>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</si>
  <si>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</si>
  <si>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</si>
  <si>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</si>
  <si>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</si>
  <si>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</si>
  <si>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</si>
  <si>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</si>
  <si>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</si>
  <si>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</si>
  <si>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</si>
  <si>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</si>
  <si>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</si>
  <si>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</si>
  <si>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</si>
  <si>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</si>
  <si>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</si>
  <si>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</si>
  <si>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</si>
  <si>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</si>
  <si>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</si>
  <si>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</si>
  <si>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</si>
  <si>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</si>
  <si>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</si>
  <si>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</si>
  <si>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</si>
  <si>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</si>
  <si>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</si>
  <si>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</si>
  <si>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</si>
  <si>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</si>
  <si>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</si>
  <si>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</si>
  <si>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</si>
  <si>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</si>
  <si>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</si>
  <si>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</si>
  <si>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</si>
  <si>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</si>
  <si>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</si>
  <si>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</si>
  <si>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</si>
  <si>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</si>
  <si>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</si>
  <si>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</si>
  <si>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</si>
  <si>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</si>
  <si>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</si>
  <si>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</si>
  <si>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</si>
  <si>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</si>
  <si>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</si>
  <si>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</si>
  <si>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</si>
  <si>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</si>
  <si>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</si>
  <si>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</si>
  <si>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</si>
  <si>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</si>
  <si>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</si>
  <si>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</si>
  <si>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</si>
  <si>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</si>
  <si>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</si>
  <si>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</si>
  <si>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</si>
  <si>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</si>
  <si>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</si>
  <si>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</si>
  <si>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</si>
  <si>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</si>
  <si>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</si>
  <si>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</si>
  <si>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</si>
  <si>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</si>
  <si>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</si>
  <si>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</si>
  <si>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</si>
  <si>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</si>
  <si>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</si>
  <si>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</si>
  <si>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</si>
  <si>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</si>
  <si>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</si>
  <si>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</si>
  <si>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</si>
  <si>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</si>
  <si>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</si>
  <si>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</si>
  <si>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</si>
  <si>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</si>
  <si>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</si>
  <si>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</si>
  <si>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</si>
  <si>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</si>
  <si>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</si>
  <si>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</si>
  <si>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</si>
  <si>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</si>
  <si>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</si>
  <si>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</si>
  <si>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</si>
  <si>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</si>
  <si>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</si>
  <si>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</si>
  <si>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</si>
  <si>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</si>
  <si>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</si>
  <si>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</si>
  <si>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</si>
  <si>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</si>
  <si>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</si>
  <si>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</si>
  <si>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</si>
  <si>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</si>
  <si>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</si>
  <si>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</si>
  <si>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</si>
  <si>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</si>
  <si>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</si>
  <si>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</si>
  <si>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</si>
  <si>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</si>
  <si>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</si>
  <si>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</si>
  <si>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</si>
  <si>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</si>
  <si>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</si>
  <si>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</si>
  <si>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</si>
  <si>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</si>
  <si>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</si>
  <si>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</si>
  <si>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</si>
  <si>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</si>
  <si>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</si>
  <si>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</si>
  <si>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</si>
  <si>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</si>
  <si>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</si>
  <si>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</si>
  <si>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</si>
  <si>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</si>
  <si>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</si>
  <si>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</si>
  <si>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</si>
  <si>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</si>
  <si>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</si>
  <si>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</si>
  <si>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</si>
  <si>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</si>
  <si>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</si>
  <si>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</si>
  <si>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</si>
  <si>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</si>
  <si>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</si>
  <si>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</si>
  <si>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</si>
  <si>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</si>
  <si>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</si>
  <si>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</si>
  <si>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</si>
  <si>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</si>
  <si>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</si>
  <si>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</si>
  <si>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</si>
  <si>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</si>
  <si>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</si>
  <si>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</si>
  <si>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</si>
  <si>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</si>
  <si>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</si>
  <si>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</si>
  <si>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</si>
  <si>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</si>
  <si>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</si>
  <si>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</si>
  <si>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</si>
  <si>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</si>
  <si>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</si>
  <si>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</si>
  <si>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</si>
  <si>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</si>
  <si>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</si>
  <si>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</si>
  <si>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</si>
  <si>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</si>
  <si>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</si>
  <si>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</si>
  <si>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</si>
  <si>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</si>
  <si>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</si>
  <si>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</si>
  <si>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</si>
  <si>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</si>
  <si>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</si>
  <si>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</si>
  <si>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</si>
  <si>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</si>
  <si>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</si>
  <si>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</si>
  <si>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</si>
  <si>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</si>
  <si>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</si>
  <si>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</si>
  <si>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</si>
  <si>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</si>
  <si>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</si>
  <si>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</si>
  <si>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</si>
  <si>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</si>
  <si>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</si>
  <si>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</si>
  <si>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</si>
  <si>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</si>
  <si>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</si>
  <si>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</si>
  <si>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</si>
  <si>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</si>
  <si>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</si>
  <si>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</si>
  <si>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</si>
  <si>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</si>
  <si>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</si>
  <si>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</si>
  <si>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</si>
  <si>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</si>
  <si>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</si>
  <si>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</si>
  <si>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</si>
  <si>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</si>
  <si>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</si>
  <si>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</si>
  <si>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</si>
  <si>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</si>
  <si>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</si>
  <si>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</si>
  <si>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</si>
  <si>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</si>
  <si>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</si>
  <si>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</si>
  <si>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</si>
  <si>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</si>
  <si>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</si>
  <si>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</si>
  <si>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</si>
  <si>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</si>
  <si>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</si>
  <si>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</si>
  <si>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</si>
  <si>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</si>
  <si>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</si>
  <si>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</si>
  <si>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</si>
  <si>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</si>
  <si>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</si>
  <si>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</si>
  <si>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</si>
  <si>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</si>
  <si>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</si>
  <si>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</si>
  <si>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</si>
  <si>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</si>
  <si>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</si>
  <si>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</si>
  <si>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</si>
  <si>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</si>
  <si>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</si>
  <si>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</si>
  <si>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</si>
  <si>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</si>
  <si>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</si>
  <si>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</si>
  <si>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</si>
  <si>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</si>
  <si>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</si>
  <si>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</si>
  <si>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</si>
  <si>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</si>
  <si>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</si>
  <si>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</si>
  <si>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</si>
  <si>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</si>
  <si>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</si>
  <si>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</si>
  <si>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</si>
  <si>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</si>
  <si>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</si>
  <si>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</si>
  <si>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</si>
  <si>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</si>
  <si>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</si>
  <si>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</si>
  <si>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</si>
  <si>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</si>
  <si>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</si>
  <si>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</si>
  <si>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</si>
  <si>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</si>
  <si>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</si>
  <si>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</si>
  <si>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</si>
  <si>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</si>
  <si>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</si>
  <si>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</si>
  <si>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</si>
  <si>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</si>
  <si>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</si>
  <si>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</si>
  <si>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</si>
  <si>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</si>
  <si>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</si>
  <si>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</si>
  <si>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</si>
  <si>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</si>
  <si>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</si>
  <si>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</si>
  <si>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</si>
  <si>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</si>
  <si>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</si>
  <si>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</si>
  <si>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</si>
  <si>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</si>
  <si>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</si>
  <si>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</si>
  <si>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</si>
  <si>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</si>
  <si>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</si>
  <si>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</si>
  <si>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</si>
  <si>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</si>
  <si>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</si>
  <si>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</si>
  <si>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</si>
  <si>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</si>
  <si>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</si>
  <si>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</si>
  <si>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</si>
  <si>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</si>
  <si>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</si>
  <si>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</si>
  <si>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</si>
  <si>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</si>
  <si>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</si>
  <si>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</si>
  <si>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</si>
  <si>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</si>
  <si>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</si>
  <si>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</si>
  <si>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</si>
  <si>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</si>
  <si>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</si>
  <si>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</si>
  <si>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</si>
  <si>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</si>
  <si>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</si>
  <si>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</si>
  <si>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</si>
  <si>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</si>
  <si>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</si>
  <si>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</si>
  <si>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</si>
  <si>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</si>
  <si>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</si>
  <si>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</si>
  <si>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</si>
  <si>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</si>
  <si>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</si>
  <si>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</si>
  <si>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</si>
  <si>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</si>
  <si>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</si>
  <si>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</si>
  <si>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</si>
  <si>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</si>
  <si>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</si>
  <si>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</si>
  <si>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</si>
  <si>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</si>
  <si>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</si>
  <si>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</si>
  <si>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</si>
  <si>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</si>
  <si>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</si>
  <si>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</si>
  <si>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</si>
  <si>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</si>
  <si>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</si>
  <si>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</si>
  <si>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</si>
  <si>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</si>
  <si>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</si>
  <si>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</si>
  <si>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</si>
  <si>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</si>
  <si>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</si>
  <si>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</si>
  <si>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</si>
  <si>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</si>
  <si>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</si>
  <si>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</si>
  <si>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</si>
  <si>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</si>
  <si>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</si>
  <si>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</si>
  <si>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</si>
  <si>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</si>
  <si>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</si>
  <si>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</si>
  <si>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</si>
  <si>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</si>
  <si>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</si>
  <si>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</si>
  <si>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</si>
  <si>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</si>
  <si>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</si>
  <si>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</si>
  <si>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</si>
  <si>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</si>
  <si>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</si>
  <si>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</si>
  <si>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</si>
  <si>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</si>
  <si>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</si>
  <si>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</si>
  <si>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</si>
  <si>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</si>
  <si>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</si>
  <si>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</si>
  <si>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</si>
  <si>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</si>
  <si>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</si>
  <si>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</si>
  <si>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</si>
  <si>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</si>
  <si>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</si>
  <si>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</si>
  <si>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</si>
  <si>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</si>
  <si>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</si>
  <si>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</si>
  <si>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</si>
  <si>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</si>
  <si>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</si>
  <si>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</si>
  <si>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</si>
  <si>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</si>
  <si>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</si>
  <si>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</si>
  <si>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</si>
  <si>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</si>
  <si>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</si>
  <si>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</si>
  <si>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</si>
  <si>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</si>
  <si>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</si>
  <si>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</si>
  <si>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</si>
  <si>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</si>
  <si>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</si>
  <si>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</si>
  <si>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</si>
  <si>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</si>
  <si>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</si>
  <si>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</si>
  <si>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</si>
  <si>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</si>
  <si>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</si>
  <si>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</si>
  <si>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</si>
  <si>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</si>
  <si>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</si>
  <si>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</si>
  <si>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</si>
  <si>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</si>
  <si>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</si>
  <si>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</si>
  <si>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</si>
  <si>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</si>
  <si>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</si>
  <si>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</si>
  <si>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</si>
  <si>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</si>
  <si>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</si>
  <si>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</si>
  <si>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</si>
  <si>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</si>
  <si>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</si>
  <si>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</si>
  <si>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</si>
  <si>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</si>
  <si>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</si>
  <si>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</si>
  <si>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</si>
  <si>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</si>
  <si>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</si>
  <si>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</si>
  <si>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</si>
  <si>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</si>
  <si>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</si>
  <si>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</si>
  <si>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</si>
  <si>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</si>
  <si>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</si>
  <si>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</si>
  <si>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</si>
  <si>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</si>
  <si>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</si>
  <si>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</si>
  <si>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</si>
  <si>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</si>
  <si>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</si>
  <si>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</si>
  <si>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</si>
  <si>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</si>
  <si>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</si>
  <si>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</si>
  <si>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</si>
  <si>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</si>
  <si>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</si>
  <si>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</si>
  <si>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</si>
  <si>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</si>
  <si>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</si>
  <si>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</si>
  <si>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</si>
  <si>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</si>
  <si>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</si>
  <si>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</si>
  <si>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</si>
  <si>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</si>
  <si>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</si>
  <si>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</si>
  <si>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</si>
  <si>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</si>
  <si>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</si>
  <si>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</si>
  <si>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</si>
  <si>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</si>
  <si>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</si>
  <si>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</si>
  <si>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</si>
  <si>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</si>
  <si>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</si>
  <si>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</si>
  <si>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</si>
  <si>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</si>
  <si>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</si>
  <si>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</si>
  <si>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</si>
  <si>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</si>
  <si>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</si>
  <si>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</si>
  <si>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</si>
  <si>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</si>
  <si>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</si>
  <si>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</si>
  <si>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</si>
  <si>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</si>
  <si>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</si>
  <si>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</si>
  <si>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</si>
  <si>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</si>
  <si>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</si>
  <si>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</si>
  <si>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</si>
  <si>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</si>
  <si>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</si>
  <si>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</si>
  <si>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</si>
  <si>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</si>
  <si>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</si>
  <si>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</si>
  <si>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</si>
  <si>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</si>
  <si>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</si>
  <si>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</si>
  <si>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</si>
  <si>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</si>
  <si>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</si>
  <si>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</si>
  <si>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</si>
  <si>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</si>
  <si>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</si>
  <si>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</si>
  <si>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</si>
  <si>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</si>
  <si>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</si>
  <si>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</si>
  <si>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</si>
  <si>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</si>
  <si>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</si>
  <si>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</si>
  <si>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</si>
  <si>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</si>
  <si>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</si>
  <si>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</si>
  <si>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</si>
  <si>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</si>
  <si>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</si>
  <si>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</si>
  <si>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</si>
  <si>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</si>
  <si>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</si>
  <si>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</si>
  <si>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</si>
  <si>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</si>
  <si>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</si>
  <si>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</si>
  <si>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</si>
  <si>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</si>
  <si>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</si>
  <si>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</si>
  <si>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</si>
  <si>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</si>
  <si>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</si>
  <si>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</si>
  <si>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</si>
  <si>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</si>
  <si>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</si>
  <si>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</si>
  <si>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</si>
  <si>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</si>
  <si>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</si>
  <si>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</si>
  <si>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</si>
  <si>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</si>
  <si>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</si>
  <si>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</si>
  <si>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</si>
  <si>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</si>
  <si>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</si>
  <si>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</si>
  <si>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</si>
  <si>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</si>
  <si>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</si>
  <si>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</si>
  <si>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</si>
  <si>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</si>
  <si>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</si>
  <si>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</si>
  <si>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</si>
  <si>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</si>
  <si>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</si>
  <si>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</si>
  <si>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</si>
  <si>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</si>
  <si>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</si>
  <si>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</si>
  <si>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</si>
  <si>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</si>
  <si>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</si>
  <si>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</si>
  <si>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</si>
  <si>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</si>
  <si>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</si>
  <si>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</si>
  <si>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</si>
  <si>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</si>
  <si>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</si>
  <si>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</si>
  <si>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</si>
  <si>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</si>
  <si>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</si>
  <si>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</si>
  <si>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</si>
  <si>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</si>
  <si>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</si>
  <si>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</si>
  <si>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</si>
  <si>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</si>
  <si>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</si>
  <si>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</si>
  <si>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</si>
  <si>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</si>
  <si>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</si>
  <si>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</si>
  <si>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</si>
  <si>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</si>
  <si>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</si>
  <si>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</si>
  <si>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</si>
  <si>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</si>
  <si>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</si>
  <si>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</si>
  <si>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</si>
  <si>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</si>
  <si>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</si>
  <si>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</si>
  <si>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</si>
  <si>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</si>
  <si>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</si>
  <si>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</si>
  <si>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</si>
  <si>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</si>
  <si>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</si>
  <si>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</si>
  <si>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</si>
  <si>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</si>
  <si>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</si>
  <si>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</si>
  <si>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</si>
  <si>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</si>
  <si>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</si>
  <si>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</si>
  <si>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</si>
  <si>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</si>
  <si>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</si>
  <si>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</si>
  <si>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</si>
  <si>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</si>
  <si>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</si>
  <si>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</si>
  <si>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</si>
  <si>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</si>
  <si>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</si>
  <si>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</si>
  <si>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</si>
  <si>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</si>
  <si>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</si>
  <si>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</si>
  <si>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</si>
  <si>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</si>
  <si>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</si>
  <si>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</si>
  <si>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</si>
  <si>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</si>
  <si>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</si>
  <si>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</si>
  <si>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</si>
  <si>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</si>
  <si>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</si>
  <si>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</si>
  <si>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</si>
  <si>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</si>
  <si>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</si>
  <si>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</si>
  <si>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</si>
  <si>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</si>
  <si>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</si>
  <si>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</si>
  <si>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</si>
  <si>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</si>
  <si>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</si>
  <si>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</si>
  <si>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</si>
  <si>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</si>
  <si>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</si>
  <si>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</si>
  <si>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</si>
  <si>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</si>
  <si>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</si>
  <si>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</si>
  <si>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</si>
  <si>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</si>
  <si>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</si>
  <si>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</si>
  <si>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</si>
  <si>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</si>
  <si>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</si>
  <si>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</si>
  <si>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</si>
  <si>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</si>
  <si>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</si>
  <si>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</si>
  <si>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</si>
  <si>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</si>
  <si>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</si>
  <si>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</si>
  <si>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</si>
  <si>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</si>
  <si>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</si>
  <si>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</si>
  <si>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</si>
  <si>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</si>
  <si>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</si>
  <si>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</si>
  <si>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</si>
  <si>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</si>
  <si>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</si>
  <si>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</si>
  <si>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</si>
  <si>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</si>
  <si>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</si>
  <si>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</si>
  <si>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</si>
  <si>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</si>
  <si>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</si>
  <si>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</si>
  <si>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</si>
  <si>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</si>
  <si>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</si>
  <si>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</si>
  <si>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</si>
  <si>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</si>
  <si>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</si>
  <si>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</si>
  <si>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</si>
  <si>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</si>
  <si>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</si>
  <si>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</si>
  <si>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</si>
  <si>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</si>
  <si>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</si>
  <si>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</si>
  <si>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</si>
  <si>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</si>
  <si>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</si>
  <si>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</si>
  <si>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</si>
  <si>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</si>
  <si>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</si>
  <si>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</si>
  <si>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</si>
  <si>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</si>
  <si>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</si>
  <si>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</si>
  <si>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</si>
  <si>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</si>
  <si>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</si>
  <si>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</si>
  <si>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</si>
  <si>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</si>
  <si>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</si>
  <si>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</si>
  <si>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</si>
  <si>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</si>
  <si>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</si>
  <si>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</si>
  <si>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</si>
  <si>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</si>
  <si>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</si>
  <si>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</si>
  <si>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</si>
  <si>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</si>
  <si>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</si>
  <si>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</si>
  <si>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</si>
  <si>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</si>
  <si>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</si>
  <si>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</si>
  <si>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</si>
  <si>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</si>
  <si>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</si>
  <si>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</si>
  <si>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</si>
  <si>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</si>
  <si>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</si>
  <si>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</si>
  <si>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</si>
  <si>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</si>
  <si>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</si>
  <si>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</si>
  <si>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</si>
  <si>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</si>
  <si>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</si>
  <si>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</si>
  <si>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</si>
  <si>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</si>
  <si>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</si>
  <si>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</si>
  <si>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</si>
  <si>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</si>
  <si>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</si>
  <si>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</si>
  <si>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</si>
  <si>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</si>
  <si>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</si>
  <si>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</si>
  <si>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</si>
  <si>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</si>
  <si>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</si>
  <si>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</si>
  <si>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</si>
  <si>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</si>
  <si>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</si>
  <si>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</si>
  <si>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</si>
  <si>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</si>
  <si>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</si>
  <si>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</si>
  <si>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</si>
  <si>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</si>
  <si>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</si>
  <si>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</si>
  <si>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</si>
  <si>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</si>
  <si>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</si>
  <si>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</si>
  <si>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</si>
  <si>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</si>
  <si>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</si>
  <si>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</si>
  <si>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</si>
  <si>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</si>
  <si>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</si>
  <si>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</si>
  <si>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</si>
  <si>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</si>
  <si>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</si>
  <si>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</si>
  <si>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</si>
  <si>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</si>
  <si>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</si>
  <si>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</si>
  <si>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</si>
  <si>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</si>
  <si>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</si>
  <si>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</si>
  <si>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</si>
  <si>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</si>
  <si>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</si>
  <si>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</si>
  <si>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</si>
  <si>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</si>
  <si>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</si>
  <si>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</si>
  <si>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</si>
  <si>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</si>
  <si>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</si>
  <si>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</si>
  <si>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</si>
  <si>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</si>
  <si>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</si>
  <si>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</si>
  <si>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</si>
  <si>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</si>
  <si>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</si>
  <si>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</si>
  <si>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</si>
  <si>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</si>
  <si>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</si>
  <si>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</si>
  <si>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</si>
  <si>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</si>
  <si>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</si>
  <si>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</si>
  <si>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</si>
  <si>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</si>
  <si>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</si>
  <si>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</si>
  <si>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</si>
  <si>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</si>
  <si>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</si>
  <si>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</si>
  <si>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</si>
  <si>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</si>
  <si>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</si>
  <si>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</si>
  <si>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</si>
  <si>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</si>
  <si>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</si>
  <si>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</si>
  <si>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</si>
  <si>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</si>
  <si>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</si>
  <si>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</si>
  <si>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</si>
  <si>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</si>
  <si>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</si>
  <si>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</si>
  <si>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</si>
  <si>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</si>
  <si>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</si>
  <si>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</si>
  <si>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</si>
  <si>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</si>
  <si>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</si>
  <si>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</si>
  <si>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</si>
  <si>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</si>
  <si>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</si>
  <si>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</si>
  <si>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</si>
  <si>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</si>
  <si>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</si>
  <si>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</si>
  <si>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</si>
  <si>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</si>
  <si>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</si>
  <si>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</si>
  <si>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</si>
  <si>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</si>
  <si>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</si>
  <si>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</si>
  <si>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</si>
  <si>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</si>
  <si>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</si>
  <si>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</si>
  <si>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</si>
  <si>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</si>
  <si>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</si>
  <si>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</si>
  <si>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</si>
  <si>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</si>
  <si>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</si>
  <si>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</si>
  <si>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</si>
  <si>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</si>
  <si>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</si>
  <si>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</si>
  <si>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</si>
  <si>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</si>
  <si>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</si>
  <si>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</si>
  <si>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</si>
  <si>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</si>
  <si>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</si>
  <si>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</si>
  <si>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</si>
  <si>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</si>
  <si>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</si>
  <si>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</si>
  <si>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</si>
  <si>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</si>
  <si>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</si>
  <si>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</si>
  <si>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</si>
  <si>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</si>
  <si>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</si>
  <si>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</si>
  <si>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</si>
  <si>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</si>
  <si>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</si>
  <si>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</si>
  <si>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</si>
  <si>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</si>
  <si>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</si>
  <si>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</si>
  <si>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</si>
  <si>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</si>
  <si>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</si>
  <si>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</si>
  <si>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</si>
  <si>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</si>
  <si>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</si>
  <si>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</si>
  <si>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</si>
  <si>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</si>
  <si>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</si>
  <si>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</si>
  <si>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</si>
  <si>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</si>
  <si>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</si>
  <si>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</si>
  <si>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</si>
  <si>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</si>
  <si>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</si>
  <si>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</si>
  <si>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</si>
  <si>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</si>
  <si>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</si>
  <si>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</si>
  <si>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</si>
  <si>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</si>
  <si>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</si>
  <si>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</si>
  <si>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</si>
  <si>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</si>
  <si>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</si>
  <si>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</si>
  <si>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</si>
  <si>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</si>
  <si>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</si>
  <si>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</si>
  <si>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</si>
  <si>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</si>
  <si>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</si>
  <si>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</si>
  <si>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</si>
  <si>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</si>
  <si>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</si>
  <si>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</si>
  <si>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</si>
  <si>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</si>
  <si>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</si>
  <si>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</si>
  <si>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</si>
  <si>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</si>
  <si>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</si>
  <si>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</si>
  <si>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</si>
  <si>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</si>
  <si>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</si>
  <si>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</si>
  <si>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</si>
  <si>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</si>
  <si>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</si>
  <si>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</si>
  <si>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</si>
  <si>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</si>
  <si>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</si>
  <si>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</si>
  <si>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</si>
  <si>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</si>
  <si>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</si>
  <si>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</si>
  <si>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</si>
  <si>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</si>
  <si>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</si>
  <si>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</si>
  <si>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</si>
  <si>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</si>
  <si>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</si>
  <si>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</si>
  <si>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</si>
  <si>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</si>
  <si>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</si>
  <si>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</si>
  <si>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</si>
  <si>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</si>
  <si>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</si>
  <si>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</si>
  <si>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</si>
  <si>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</si>
  <si>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</si>
  <si>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</si>
  <si>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</si>
  <si>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</si>
  <si>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</si>
  <si>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</si>
  <si>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</si>
  <si>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</si>
  <si>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</si>
  <si>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</si>
  <si>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</si>
  <si>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</si>
  <si>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</si>
  <si>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</si>
  <si>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</si>
  <si>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</si>
  <si>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</si>
  <si>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</si>
  <si>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</si>
  <si>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</si>
  <si>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</si>
  <si>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</si>
  <si>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</si>
  <si>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</si>
  <si>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</si>
  <si>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</si>
  <si>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</si>
  <si>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</si>
  <si>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</si>
  <si>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</si>
  <si>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</si>
  <si>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</si>
  <si>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</si>
  <si>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</si>
  <si>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</si>
  <si>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</si>
  <si>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</si>
  <si>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</si>
  <si>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</si>
  <si>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</si>
  <si>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</si>
  <si>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</si>
  <si>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</si>
  <si>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</si>
  <si>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</si>
  <si>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</si>
  <si>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</si>
  <si>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</si>
  <si>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</si>
  <si>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</si>
  <si>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</si>
  <si>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</si>
  <si>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</si>
  <si>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</si>
  <si>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</si>
  <si>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</si>
  <si>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</si>
  <si>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</si>
  <si>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</si>
  <si>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</si>
  <si>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</si>
  <si>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</si>
  <si>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</si>
  <si>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</si>
  <si>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</si>
  <si>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</si>
  <si>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</si>
  <si>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</si>
  <si>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</si>
  <si>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</si>
  <si>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</si>
  <si>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</si>
  <si>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</si>
  <si>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</si>
  <si>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</si>
  <si>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</si>
  <si>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</si>
  <si>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</si>
  <si>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</si>
  <si>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</si>
  <si>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</si>
  <si>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</si>
  <si>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</si>
  <si>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</si>
  <si>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</si>
  <si>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</si>
  <si>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</si>
  <si>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</si>
  <si>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</si>
  <si>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</si>
  <si>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</si>
  <si>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</si>
  <si>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</si>
  <si>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</si>
  <si>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</si>
  <si>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</si>
  <si>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</si>
  <si>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</si>
  <si>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</si>
  <si>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</si>
  <si>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</si>
  <si>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</si>
  <si>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</si>
  <si>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</si>
  <si>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</si>
  <si>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</si>
  <si>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</si>
  <si>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</si>
  <si>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</si>
  <si>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</si>
  <si>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</si>
  <si>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</si>
  <si>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</si>
  <si>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</si>
  <si>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</si>
  <si>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</si>
  <si>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</si>
  <si>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</si>
  <si>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</si>
  <si>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</si>
  <si>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</si>
  <si>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</si>
  <si>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</si>
  <si>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</si>
  <si>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</si>
  <si>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</si>
  <si>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</si>
  <si>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</si>
  <si>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</si>
  <si>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</si>
  <si>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</si>
  <si>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</si>
  <si>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</si>
  <si>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</si>
  <si>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</si>
  <si>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</si>
  <si>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</si>
  <si>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</si>
  <si>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</si>
  <si>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</si>
  <si>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</si>
  <si>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</si>
  <si>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</si>
  <si>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</si>
  <si>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</si>
  <si>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</si>
  <si>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</si>
  <si>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</si>
  <si>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</si>
  <si>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</si>
  <si>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</si>
  <si>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</si>
  <si>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</si>
  <si>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</si>
  <si>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</si>
  <si>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</si>
  <si>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</si>
  <si>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</si>
  <si>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</si>
  <si>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</si>
  <si>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</si>
  <si>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</si>
  <si>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</si>
  <si>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</si>
  <si>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</si>
  <si>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</si>
  <si>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</si>
  <si>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</si>
  <si>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</si>
  <si>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</si>
  <si>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</si>
  <si>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</si>
  <si>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</si>
  <si>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</si>
  <si>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</si>
  <si>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</si>
  <si>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</si>
  <si>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</si>
  <si>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</si>
  <si>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</si>
  <si>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</si>
  <si>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</si>
  <si>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</si>
  <si>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</si>
  <si>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</si>
  <si>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</si>
  <si>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</si>
  <si>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</si>
  <si>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</si>
  <si>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</si>
  <si>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</si>
  <si>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</si>
  <si>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</si>
  <si>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</si>
  <si>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</si>
  <si>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</si>
  <si>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</si>
  <si>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</si>
  <si>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</si>
  <si>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</si>
  <si>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</si>
  <si>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</si>
  <si>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</si>
  <si>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</si>
  <si>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</si>
  <si>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</si>
  <si>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</si>
  <si>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</si>
  <si>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</si>
  <si>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</si>
  <si>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</si>
  <si>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</si>
  <si>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</si>
  <si>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</si>
  <si>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</si>
  <si>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</si>
  <si>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</si>
  <si>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</si>
  <si>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</si>
  <si>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</si>
  <si>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</si>
  <si>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</si>
  <si>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</si>
  <si>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</si>
  <si>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</si>
  <si>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</si>
  <si>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</si>
  <si>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</si>
  <si>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</si>
  <si>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</si>
  <si>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</si>
  <si>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</si>
  <si>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</si>
  <si>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</si>
  <si>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</si>
  <si>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</si>
  <si>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</si>
  <si>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</si>
  <si>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</si>
  <si>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</si>
  <si>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</si>
  <si>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</si>
  <si>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</si>
  <si>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</si>
  <si>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</si>
  <si>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</si>
  <si>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</si>
  <si>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</si>
  <si>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</si>
  <si>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</si>
  <si>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</si>
  <si>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</si>
  <si>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</si>
  <si>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</si>
  <si>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</si>
  <si>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</si>
  <si>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</si>
  <si>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</si>
  <si>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</si>
  <si>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</si>
  <si>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</si>
  <si>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</si>
  <si>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</si>
  <si>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</si>
  <si>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</si>
  <si>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</si>
  <si>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</si>
  <si>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</si>
  <si>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</si>
  <si>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</si>
  <si>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</si>
  <si>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</si>
  <si>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</si>
  <si>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</si>
  <si>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</si>
  <si>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</si>
  <si>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</si>
  <si>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</si>
  <si>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</si>
  <si>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</si>
  <si>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</si>
  <si>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</si>
  <si>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</si>
  <si>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</si>
  <si>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</si>
  <si>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</si>
  <si>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</si>
  <si>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</si>
  <si>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</si>
  <si>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</si>
  <si>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</si>
  <si>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</si>
  <si>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</si>
  <si>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</si>
  <si>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</si>
  <si>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</si>
  <si>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</si>
  <si>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</si>
  <si>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</si>
  <si>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</si>
  <si>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</si>
  <si>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</si>
  <si>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</si>
  <si>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</si>
  <si>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</si>
  <si>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</si>
  <si>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</si>
  <si>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</si>
  <si>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</si>
  <si>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</si>
  <si>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</si>
  <si>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</si>
  <si>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</si>
  <si>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</si>
  <si>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Johnston City Community Unit School District #1</t>
  </si>
  <si>
    <t>Williamson</t>
  </si>
  <si>
    <t>21-100-0010-26</t>
  </si>
  <si>
    <t>200 East 12th Street</t>
  </si>
  <si>
    <t>Cindy A. Bobell, CPA</t>
  </si>
  <si>
    <t>10653 Khoury League Road</t>
  </si>
  <si>
    <t>Marion</t>
  </si>
  <si>
    <t>IL</t>
  </si>
  <si>
    <t>618-997-9711</t>
  </si>
  <si>
    <t>618-997-8014</t>
  </si>
  <si>
    <t>065-022629</t>
  </si>
  <si>
    <t>Mrs. Kathy Clark</t>
  </si>
  <si>
    <t>618-983-8021</t>
  </si>
  <si>
    <t>618-983-6034</t>
  </si>
  <si>
    <t>The report is qualified due to a lack of supporting documentation for the capital assets.</t>
  </si>
  <si>
    <t>General Obligation Capital Appreciation Bonds, Series 2010</t>
  </si>
  <si>
    <t>General Obligation Limited School Bonds, Series 2012</t>
  </si>
  <si>
    <t>LimitedSchool Bonds</t>
  </si>
  <si>
    <t xml:space="preserve">General Obligation Capital Appreciation </t>
  </si>
  <si>
    <t>Food Service</t>
  </si>
  <si>
    <t>Compass</t>
  </si>
  <si>
    <t>Williamson County Educational Services</t>
  </si>
  <si>
    <t>A current list of assets was not available for testing.</t>
  </si>
  <si>
    <t>Fixed assets are not being properly safeguarded or accounted for in accordance with generally accepted accounting principles and good internal controls.</t>
  </si>
  <si>
    <t>A current list of fixed assets should be prepared and updated.</t>
  </si>
  <si>
    <t>A current list of assets should be prepared and maintained to better safeguard and account for fixed assets.</t>
  </si>
  <si>
    <t>The cost benefit of establishing and maintaining these controls cannot be justified.  When the value of this information exceeds the cost of obtaining it, the District will comply.</t>
  </si>
  <si>
    <t>2017-001</t>
  </si>
  <si>
    <t xml:space="preserve">                               See Finding 2017-001</t>
  </si>
  <si>
    <t xml:space="preserve">Fixed assets are not properly accounted for </t>
  </si>
  <si>
    <t>and safeguarded.</t>
  </si>
  <si>
    <t>Page 9 Line 17 - PILOT Funds</t>
  </si>
  <si>
    <t>Page 10 Line 72 - Sales to ECHO Pupils</t>
  </si>
  <si>
    <t>Page 11 Line 106 - Latchkey Fees</t>
  </si>
  <si>
    <t>Page 11 Line 107 - Fund 10 E - rate funds and miscellaneous; Fund 20 E-rate Funds</t>
  </si>
  <si>
    <t>Page 12 Line 171 - Ag Fair</t>
  </si>
  <si>
    <t>Page 15 Line 41 - Crossing guard and lunch duty salaries and benefits</t>
  </si>
  <si>
    <t>Page 18 Line 183 - Athletic and music travel</t>
  </si>
  <si>
    <t>Page 16 Line 73 -Title I Homeless Supplies</t>
  </si>
  <si>
    <t>Page 19 Line 237 - Crossing guard and lunch duty benefits</t>
  </si>
  <si>
    <t>Page 25 Line 10 - State Drivers Education Funds</t>
  </si>
  <si>
    <t>In order to properly safeguard and account for fixed assets, a detailed list of all fixed assets held should be maintained, including a description of the item, the date it was acquired and the cost.  The list should be updated regularly and verified periodically.</t>
  </si>
  <si>
    <t>West Bus Service</t>
  </si>
  <si>
    <t>40-2550-690</t>
  </si>
  <si>
    <t>40-2909-332</t>
  </si>
  <si>
    <t>40-2910-332</t>
  </si>
  <si>
    <t>40-2911-332</t>
  </si>
  <si>
    <t>40-2914-332</t>
  </si>
  <si>
    <t>40-2915-332</t>
  </si>
  <si>
    <t>40-2917-332</t>
  </si>
  <si>
    <t>40-2918-332</t>
  </si>
  <si>
    <t xml:space="preserve">Johnston City </t>
  </si>
  <si>
    <t>OK</t>
  </si>
  <si>
    <t>10-2560-300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</si>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</sst>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0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3"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5" t="s">
        <v>554</v>
      </c>
      <c r="U9" s="2026"/>
      <c r="V9" s="2026"/>
      <c r="W9" s="2026"/>
      <c r="X9" s="2026"/>
      <c r="Y9" s="2026"/>
      <c r="Z9" s="2026"/>
      <c r="AA9" s="2027"/>
    </row>
    <row r="10" spans="1:28" ht="13.5" customHeight="1" x14ac:dyDescent="0.2">
      <c r="A10" s="2032" t="s">
        <v>696</v>
      </c>
      <c r="B10" s="2033"/>
      <c r="C10" s="2033"/>
      <c r="D10" s="2033"/>
      <c r="E10" s="2033"/>
      <c r="F10" s="2033"/>
      <c r="G10" s="2033"/>
      <c r="H10" s="2034"/>
      <c r="I10" s="29"/>
      <c r="J10" s="30"/>
      <c r="K10" s="28"/>
      <c r="R10" s="30"/>
      <c r="S10" s="30"/>
      <c r="T10" s="2028"/>
      <c r="U10" s="2011"/>
      <c r="V10" s="2011"/>
      <c r="W10" s="2011"/>
      <c r="X10" s="2011"/>
      <c r="Y10" s="2011"/>
      <c r="Z10" s="2011"/>
      <c r="AA10" s="2017"/>
    </row>
    <row r="11" spans="1:28" ht="14.25" customHeight="1" x14ac:dyDescent="0.2">
      <c r="A11" s="2035" t="s">
        <v>1012</v>
      </c>
      <c r="B11" s="2036"/>
      <c r="C11" s="2036"/>
      <c r="D11" s="2036"/>
      <c r="E11" s="2036"/>
      <c r="F11" s="2036"/>
      <c r="G11" s="2036"/>
      <c r="H11" s="2037"/>
      <c r="I11" s="27"/>
      <c r="J11" s="74"/>
      <c r="K11" s="27"/>
      <c r="O11" s="148" t="s">
        <v>2077</v>
      </c>
      <c r="P11" s="100" t="s">
        <v>210</v>
      </c>
      <c r="Q11" s="30"/>
      <c r="R11" s="28"/>
      <c r="S11" s="27"/>
      <c r="T11" s="2029"/>
      <c r="U11" s="2030"/>
      <c r="V11" s="2030"/>
      <c r="W11" s="2030"/>
      <c r="X11" s="2030"/>
      <c r="Y11" s="2030"/>
      <c r="Z11" s="2030"/>
      <c r="AA11" s="203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2" t="s">
        <v>2080</v>
      </c>
      <c r="B13" s="2023"/>
      <c r="C13" s="2023"/>
      <c r="D13" s="2023"/>
      <c r="E13" s="2023"/>
      <c r="F13" s="2023"/>
      <c r="G13" s="2023"/>
      <c r="H13" s="2024"/>
      <c r="I13" s="31"/>
      <c r="J13" s="30"/>
      <c r="K13" s="28"/>
      <c r="L13" s="30"/>
      <c r="M13" s="30"/>
      <c r="N13" s="30"/>
      <c r="O13" s="30"/>
      <c r="P13" s="30"/>
      <c r="Q13" s="30"/>
      <c r="R13" s="30"/>
      <c r="S13" s="30"/>
      <c r="T13" s="2041" t="s">
        <v>2082</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8" t="s">
        <v>2079</v>
      </c>
      <c r="B15" s="2039"/>
      <c r="C15" s="2039"/>
      <c r="D15" s="2039"/>
      <c r="E15" s="2039"/>
      <c r="F15" s="2039"/>
      <c r="G15" s="2039"/>
      <c r="H15" s="2040"/>
      <c r="T15" s="2045" t="s">
        <v>2082</v>
      </c>
      <c r="U15" s="1990"/>
      <c r="V15" s="1990"/>
      <c r="W15" s="1990"/>
      <c r="X15" s="1990"/>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2" t="s">
        <v>2078</v>
      </c>
      <c r="B17" s="2023"/>
      <c r="C17" s="2023"/>
      <c r="D17" s="2023"/>
      <c r="E17" s="2023"/>
      <c r="F17" s="2023"/>
      <c r="G17" s="2023"/>
      <c r="H17" s="2024"/>
      <c r="T17" s="2052" t="s">
        <v>2083</v>
      </c>
      <c r="U17" s="2053"/>
      <c r="V17" s="2053"/>
      <c r="W17" s="2053"/>
      <c r="X17" s="2053"/>
      <c r="Y17" s="2053"/>
      <c r="Z17" s="2053"/>
      <c r="AA17" s="2054"/>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8" t="s">
        <v>2081</v>
      </c>
      <c r="B19" s="1982"/>
      <c r="C19" s="1982"/>
      <c r="D19" s="1982"/>
      <c r="E19" s="1982"/>
      <c r="F19" s="1982"/>
      <c r="G19" s="1982"/>
      <c r="H19" s="1962"/>
      <c r="I19" s="30"/>
      <c r="J19" s="99"/>
      <c r="K19" s="40"/>
      <c r="L19" s="38"/>
      <c r="M19" s="112" t="s">
        <v>333</v>
      </c>
      <c r="P19" s="27"/>
      <c r="Q19" s="27"/>
      <c r="R19" s="27"/>
      <c r="S19" s="31"/>
      <c r="T19" s="2038" t="s">
        <v>2084</v>
      </c>
      <c r="U19" s="1961"/>
      <c r="V19" s="1961"/>
      <c r="W19" s="1962"/>
      <c r="X19" s="2050" t="s">
        <v>2085</v>
      </c>
      <c r="Y19" s="2051"/>
      <c r="Z19" s="2048">
        <v>62959</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2129</v>
      </c>
      <c r="B21" s="1961"/>
      <c r="C21" s="1961"/>
      <c r="D21" s="1961"/>
      <c r="E21" s="1961"/>
      <c r="F21" s="1961"/>
      <c r="G21" s="1961"/>
      <c r="H21" s="1962"/>
      <c r="I21" s="2016" t="s">
        <v>699</v>
      </c>
      <c r="J21" s="2011"/>
      <c r="K21" s="2011"/>
      <c r="L21" s="2011"/>
      <c r="M21" s="2011"/>
      <c r="N21" s="2011"/>
      <c r="O21" s="2011"/>
      <c r="P21" s="2011"/>
      <c r="Q21" s="2011"/>
      <c r="R21" s="2011"/>
      <c r="S21" s="2017"/>
      <c r="T21" s="2059" t="s">
        <v>2086</v>
      </c>
      <c r="U21" s="2060"/>
      <c r="V21" s="2060"/>
      <c r="W21" s="2060"/>
      <c r="X21" s="2065" t="s">
        <v>2087</v>
      </c>
      <c r="Y21" s="2066"/>
      <c r="Z21" s="2066"/>
      <c r="AA21" s="2067"/>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c r="B23" s="2014"/>
      <c r="C23" s="2014"/>
      <c r="D23" s="2014"/>
      <c r="E23" s="2014"/>
      <c r="F23" s="2014"/>
      <c r="G23" s="2014"/>
      <c r="H23" s="2015"/>
      <c r="T23" s="1996" t="s">
        <v>2088</v>
      </c>
      <c r="U23" s="2058"/>
      <c r="V23" s="2058"/>
      <c r="W23" s="2058"/>
      <c r="X23" s="2062">
        <v>44469</v>
      </c>
      <c r="Y23" s="2063"/>
      <c r="Z23" s="2063"/>
      <c r="AA23" s="2064"/>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62951</v>
      </c>
      <c r="B25" s="1961"/>
      <c r="C25" s="1961"/>
      <c r="D25" s="1961"/>
      <c r="E25" s="1961"/>
      <c r="F25" s="1961"/>
      <c r="G25" s="1961"/>
      <c r="H25" s="1962"/>
      <c r="I25" s="113"/>
      <c r="J25" s="1985"/>
      <c r="K25" s="1985"/>
      <c r="L25" s="1985"/>
      <c r="M25" s="1985"/>
      <c r="N25" s="1985"/>
      <c r="O25" s="1985"/>
      <c r="P25" s="1985"/>
      <c r="Q25" s="1985"/>
      <c r="R25" s="1985"/>
      <c r="S25" s="1986"/>
      <c r="T25" s="2055"/>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2077</v>
      </c>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2089</v>
      </c>
      <c r="B38" s="1997"/>
      <c r="C38" s="1997"/>
      <c r="D38" s="1997"/>
      <c r="E38" s="1997"/>
      <c r="F38" s="1961"/>
      <c r="G38" s="1961"/>
      <c r="H38" s="1962"/>
      <c r="I38" s="1989"/>
      <c r="J38" s="1990"/>
      <c r="K38" s="1990"/>
      <c r="L38" s="1990"/>
      <c r="M38" s="1990"/>
      <c r="N38" s="1990"/>
      <c r="O38" s="1990"/>
      <c r="P38" s="1991"/>
      <c r="Q38" s="1991"/>
      <c r="R38" s="1991"/>
      <c r="S38" s="1992"/>
      <c r="T38" s="2045"/>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c r="B40" s="1975"/>
      <c r="C40" s="1976"/>
      <c r="D40" s="1976"/>
      <c r="E40" s="1976"/>
      <c r="F40" s="1977"/>
      <c r="G40" s="1977"/>
      <c r="H40" s="1978"/>
      <c r="I40" s="1999"/>
      <c r="J40" s="2000"/>
      <c r="K40" s="2000"/>
      <c r="L40" s="2000"/>
      <c r="M40" s="2000"/>
      <c r="N40" s="2000"/>
      <c r="O40" s="2000"/>
      <c r="P40" s="2000"/>
      <c r="Q40" s="2000"/>
      <c r="R40" s="2000"/>
      <c r="S40" s="2001"/>
      <c r="T40" s="1999"/>
      <c r="U40" s="2061"/>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2090</v>
      </c>
      <c r="B42" s="1980"/>
      <c r="C42" s="1981"/>
      <c r="D42" s="1979" t="s">
        <v>2091</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&amp;F&amp;RB - 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Layout" topLeftCell="A85" zoomScaleNormal="110" workbookViewId="0">
      <selection activeCell="AT43" sqref="AT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horizontalDpi="300" verticalDpi="300" r:id="rId4"/>
  <headerFooter>
    <oddFooter>&amp;RB - 1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5" colorId="8" zoomScale="110" zoomScaleNormal="110" workbookViewId="0">
      <selection activeCell="AT43" sqref="AT4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35431</v>
      </c>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2092</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2082</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T43" sqref="AT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76747547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2.4671700000000001E-2</v>
      </c>
      <c r="E10" s="356" t="s">
        <v>1062</v>
      </c>
      <c r="F10" s="355">
        <v>4.3534999999999997E-3</v>
      </c>
      <c r="G10" s="356" t="s">
        <v>1062</v>
      </c>
      <c r="H10" s="355">
        <v>2.2458999999999999E-3</v>
      </c>
      <c r="I10" s="356" t="s">
        <v>1063</v>
      </c>
      <c r="J10" s="1754">
        <f>ROUND(D10+F10+H10,5)</f>
        <v>3.1269999999999999E-2</v>
      </c>
      <c r="K10" s="222"/>
      <c r="L10" s="355">
        <v>4.037E-4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9929252.4000000004</v>
      </c>
      <c r="E16" s="356"/>
      <c r="F16" s="1755">
        <f>SUM('Acct Summary 7-8'!C17,'Acct Summary 7-8'!D17,'Acct Summary 7-8'!F17)</f>
        <v>9176648</v>
      </c>
      <c r="G16" s="356"/>
      <c r="H16" s="1755">
        <f>SUM(D16-F16)</f>
        <v>752604.40000000037</v>
      </c>
      <c r="I16" s="222"/>
      <c r="J16" s="1755">
        <f>SUM('Acct Summary 7-8'!C81,'Acct Summary 7-8'!D81,'Acct Summary 7-8'!F81,'Acct Summary 7-8'!I81)</f>
        <v>3274743.4000000004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10591161.486000001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6904301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T43" sqref="AT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Johnston City Community Unit School District #1</v>
      </c>
      <c r="E7" s="391"/>
      <c r="G7" s="252"/>
      <c r="H7" s="387"/>
      <c r="I7" s="387"/>
      <c r="J7" s="387"/>
      <c r="K7" s="387"/>
      <c r="L7" s="329"/>
      <c r="M7" s="329"/>
      <c r="N7" s="329"/>
      <c r="O7" s="329"/>
      <c r="P7" s="329"/>
    </row>
    <row r="8" spans="1:18" ht="12.75" x14ac:dyDescent="0.2">
      <c r="A8" s="329"/>
      <c r="B8" s="329"/>
      <c r="C8" s="389" t="s">
        <v>1187</v>
      </c>
      <c r="D8" s="392" t="str">
        <f>COVER!A13</f>
        <v>21-100-0010-26</v>
      </c>
      <c r="E8" s="393"/>
      <c r="G8" s="329"/>
      <c r="H8" s="329"/>
      <c r="I8" s="329"/>
      <c r="J8" s="329"/>
      <c r="K8" s="329"/>
      <c r="L8" s="329"/>
      <c r="M8" s="329"/>
      <c r="N8" s="329"/>
      <c r="O8" s="329"/>
      <c r="P8" s="329"/>
    </row>
    <row r="9" spans="1:18" ht="12.75" x14ac:dyDescent="0.2">
      <c r="A9" s="329"/>
      <c r="B9" s="329"/>
      <c r="C9" s="389" t="s">
        <v>737</v>
      </c>
      <c r="D9" s="394" t="str">
        <f>COVER!A15</f>
        <v>Williamson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3274743.4000000004</v>
      </c>
      <c r="I12" s="404"/>
      <c r="J12" s="404"/>
      <c r="K12" s="405">
        <f>TRUNC((H12/H13*100000),5)/100000</f>
        <v>0.32980764990000005</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9929252.4000000004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9176648</v>
      </c>
      <c r="I17" s="404"/>
      <c r="J17" s="416"/>
      <c r="K17" s="405">
        <f>TRUNC((H17/H18*100000),5)/100000</f>
        <v>0.92420331659999999</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9929252.4000000004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3276539</v>
      </c>
      <c r="I24" s="422"/>
      <c r="J24" s="422"/>
      <c r="K24" s="423">
        <f>TRUNC(((H24/H25*100000)/100000),2)</f>
        <v>128.53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25490.688890000001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2039911.4254900001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6904301</v>
      </c>
      <c r="I32" s="420"/>
      <c r="J32" s="420"/>
      <c r="K32" s="423">
        <f>TRUNC(100-((((H32/H33*100))*100)/100),2)</f>
        <v>34.81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10591161.486000001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AT43" sqref="AT43"/>
      <selection pane="bottomLeft" activeCell="C41" sqref="C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f>3500+1546289</f>
        <v>1549789</v>
      </c>
      <c r="D4" s="466">
        <v>626909</v>
      </c>
      <c r="E4" s="466">
        <v>837025</v>
      </c>
      <c r="F4" s="466">
        <v>50897</v>
      </c>
      <c r="G4" s="466">
        <f>271455+172148+2</f>
        <v>443605</v>
      </c>
      <c r="H4" s="466">
        <v>98995</v>
      </c>
      <c r="I4" s="466">
        <v>1048944</v>
      </c>
      <c r="J4" s="467">
        <v>409874</v>
      </c>
      <c r="K4" s="466">
        <v>60367</v>
      </c>
      <c r="L4" s="466">
        <v>226029</v>
      </c>
      <c r="M4" s="468"/>
      <c r="N4" s="469"/>
    </row>
    <row r="5" spans="1:14" x14ac:dyDescent="0.2">
      <c r="A5" s="463" t="s">
        <v>1049</v>
      </c>
      <c r="B5" s="470">
        <v>120</v>
      </c>
      <c r="C5" s="465"/>
      <c r="D5" s="466"/>
      <c r="E5" s="466"/>
      <c r="F5" s="466"/>
      <c r="G5" s="466"/>
      <c r="H5" s="466">
        <v>1693283</v>
      </c>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1549789</v>
      </c>
      <c r="D13" s="1759">
        <f t="shared" ref="D13:L13" si="0">SUM(D4:D12)</f>
        <v>626909</v>
      </c>
      <c r="E13" s="1759">
        <f t="shared" si="0"/>
        <v>837025</v>
      </c>
      <c r="F13" s="1759">
        <f t="shared" si="0"/>
        <v>50897</v>
      </c>
      <c r="G13" s="1759">
        <f t="shared" si="0"/>
        <v>443605</v>
      </c>
      <c r="H13" s="1759">
        <f t="shared" si="0"/>
        <v>1792278</v>
      </c>
      <c r="I13" s="1759">
        <f t="shared" si="0"/>
        <v>1048944</v>
      </c>
      <c r="J13" s="1759">
        <f t="shared" si="0"/>
        <v>409874</v>
      </c>
      <c r="K13" s="1759">
        <f t="shared" si="0"/>
        <v>60367</v>
      </c>
      <c r="L13" s="1759">
        <f t="shared" si="0"/>
        <v>226029</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81746</v>
      </c>
      <c r="N16" s="484"/>
    </row>
    <row r="17" spans="1:14" s="485" customFormat="1" ht="12.75" customHeight="1" x14ac:dyDescent="0.2">
      <c r="A17" s="482" t="s">
        <v>1470</v>
      </c>
      <c r="B17" s="483">
        <v>230</v>
      </c>
      <c r="C17" s="477"/>
      <c r="D17" s="477"/>
      <c r="E17" s="477"/>
      <c r="F17" s="477"/>
      <c r="G17" s="477"/>
      <c r="H17" s="477"/>
      <c r="I17" s="477"/>
      <c r="J17" s="477"/>
      <c r="K17" s="477"/>
      <c r="L17" s="477"/>
      <c r="M17" s="467">
        <v>12684081</v>
      </c>
      <c r="N17" s="484"/>
    </row>
    <row r="18" spans="1:14" s="485" customFormat="1" ht="12.75" customHeight="1" x14ac:dyDescent="0.2">
      <c r="A18" s="482" t="s">
        <v>1471</v>
      </c>
      <c r="B18" s="483">
        <v>240</v>
      </c>
      <c r="C18" s="477"/>
      <c r="D18" s="477"/>
      <c r="E18" s="477"/>
      <c r="F18" s="477"/>
      <c r="G18" s="477"/>
      <c r="H18" s="477"/>
      <c r="I18" s="477"/>
      <c r="J18" s="477"/>
      <c r="K18" s="477"/>
      <c r="L18" s="477"/>
      <c r="M18" s="467">
        <v>11417574</v>
      </c>
      <c r="N18" s="484"/>
    </row>
    <row r="19" spans="1:14" s="485" customFormat="1" ht="12.75" customHeight="1" x14ac:dyDescent="0.2">
      <c r="A19" s="482" t="s">
        <v>1472</v>
      </c>
      <c r="B19" s="483">
        <v>250</v>
      </c>
      <c r="C19" s="477"/>
      <c r="D19" s="477"/>
      <c r="E19" s="477"/>
      <c r="F19" s="477"/>
      <c r="G19" s="477"/>
      <c r="H19" s="477"/>
      <c r="I19" s="477"/>
      <c r="J19" s="477"/>
      <c r="K19" s="477"/>
      <c r="L19" s="477"/>
      <c r="M19" s="467">
        <v>2637721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837025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6067276</v>
      </c>
    </row>
    <row r="23" spans="1:14" ht="13.5" customHeight="1" thickBot="1" x14ac:dyDescent="0.25">
      <c r="A23" s="1758" t="s">
        <v>664</v>
      </c>
      <c r="B23" s="1763"/>
      <c r="C23" s="468"/>
      <c r="D23" s="468"/>
      <c r="E23" s="468"/>
      <c r="F23" s="468"/>
      <c r="G23" s="468"/>
      <c r="H23" s="468"/>
      <c r="I23" s="468"/>
      <c r="J23" s="468"/>
      <c r="K23" s="468"/>
      <c r="L23" s="468"/>
      <c r="M23" s="1710">
        <f>SUM(M15:M22)</f>
        <v>26821122</v>
      </c>
      <c r="N23" s="1710">
        <f>SUM(N21:N22)</f>
        <v>6904301</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1409</v>
      </c>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387</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226029</v>
      </c>
      <c r="M33" s="468"/>
      <c r="N33" s="469"/>
    </row>
    <row r="34" spans="1:14" ht="13.5" customHeight="1" thickBot="1" x14ac:dyDescent="0.25">
      <c r="A34" s="1760" t="s">
        <v>675</v>
      </c>
      <c r="B34" s="1761"/>
      <c r="C34" s="1762">
        <f>SUM(C25:C33)</f>
        <v>1796</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226029</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6904301</v>
      </c>
    </row>
    <row r="37" spans="1:14" ht="13.5" thickBot="1" x14ac:dyDescent="0.25">
      <c r="A37" s="1758" t="s">
        <v>674</v>
      </c>
      <c r="B37" s="1763"/>
      <c r="C37" s="477"/>
      <c r="D37" s="477"/>
      <c r="E37" s="477"/>
      <c r="F37" s="477"/>
      <c r="G37" s="477"/>
      <c r="H37" s="477"/>
      <c r="I37" s="477"/>
      <c r="J37" s="477"/>
      <c r="K37" s="477"/>
      <c r="L37" s="480"/>
      <c r="M37" s="468"/>
      <c r="N37" s="1710">
        <f>SUM(N36:N36)</f>
        <v>6904301</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1547993</v>
      </c>
      <c r="D39" s="466">
        <v>626909</v>
      </c>
      <c r="E39" s="466">
        <v>837025</v>
      </c>
      <c r="F39" s="466">
        <v>50897</v>
      </c>
      <c r="G39" s="466">
        <v>443605</v>
      </c>
      <c r="H39" s="466">
        <v>1792278</v>
      </c>
      <c r="I39" s="466">
        <v>1048944</v>
      </c>
      <c r="J39" s="467">
        <v>409874</v>
      </c>
      <c r="K39" s="466">
        <v>60367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26821122</v>
      </c>
      <c r="N40" s="497"/>
    </row>
    <row r="41" spans="1:14" ht="13.5" customHeight="1" thickBot="1" x14ac:dyDescent="0.25">
      <c r="A41" s="1758" t="s">
        <v>676</v>
      </c>
      <c r="B41" s="1728"/>
      <c r="C41" s="1710">
        <f>(SUM(C34,C37,C38,C39))</f>
        <v>1549789</v>
      </c>
      <c r="D41" s="1710">
        <f t="shared" ref="D41:L41" si="2">SUM(D34,D37,D38:D39)</f>
        <v>626909</v>
      </c>
      <c r="E41" s="1710">
        <f t="shared" si="2"/>
        <v>837025</v>
      </c>
      <c r="F41" s="1710">
        <f t="shared" si="2"/>
        <v>50897</v>
      </c>
      <c r="G41" s="1710">
        <f t="shared" si="2"/>
        <v>443605</v>
      </c>
      <c r="H41" s="1710">
        <f t="shared" si="2"/>
        <v>1792278</v>
      </c>
      <c r="I41" s="1710">
        <f t="shared" si="2"/>
        <v>1048944</v>
      </c>
      <c r="J41" s="1710">
        <f t="shared" si="2"/>
        <v>409874</v>
      </c>
      <c r="K41" s="1710">
        <f t="shared" si="2"/>
        <v>60367</v>
      </c>
      <c r="L41" s="1710">
        <f t="shared" si="2"/>
        <v>226029</v>
      </c>
      <c r="M41" s="1710">
        <f>SUM(M40)</f>
        <v>26821122</v>
      </c>
      <c r="N41" s="1710">
        <f>SUM(N37)</f>
        <v>6904301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AT43" sqref="AT43"/>
      <selection pane="bottomLeft" activeCell="C81" sqref="C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3" t="s">
        <v>1579</v>
      </c>
      <c r="B4" s="1954">
        <v>1000</v>
      </c>
      <c r="C4" s="1764">
        <f>'Revenues 9-14'!C109</f>
        <v>2428427</v>
      </c>
      <c r="D4" s="1764">
        <f>'Revenues 9-14'!D109</f>
        <v>413929</v>
      </c>
      <c r="E4" s="1764">
        <f>'Revenues 9-14'!E109</f>
        <v>1144511</v>
      </c>
      <c r="F4" s="1764">
        <f>'Revenues 9-14'!F109</f>
        <v>188812</v>
      </c>
      <c r="G4" s="1764">
        <f>'Revenues 9-14'!G109</f>
        <v>215359</v>
      </c>
      <c r="H4" s="1764">
        <f>'Revenues 9-14'!H109</f>
        <v>325716</v>
      </c>
      <c r="I4" s="1764">
        <f>'Revenues 9-14'!I109</f>
        <v>37076</v>
      </c>
      <c r="J4" s="1764">
        <f>'Revenues 9-14'!J109</f>
        <v>160009</v>
      </c>
      <c r="K4" s="1764">
        <f>'Revenues 9-14'!K109</f>
        <v>33268</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5900948.4000000004</v>
      </c>
      <c r="D6" s="1765">
        <f>'Revenues 9-14'!D173</f>
        <v>0</v>
      </c>
      <c r="E6" s="1765">
        <f>'Revenues 9-14'!E173</f>
        <v>0</v>
      </c>
      <c r="F6" s="1765">
        <f>'Revenues 9-14'!F173</f>
        <v>241349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716706</v>
      </c>
      <c r="D7" s="1765">
        <f>'Revenues 9-14'!D274</f>
        <v>0</v>
      </c>
      <c r="E7" s="1765">
        <f>'Revenues 9-14'!E274</f>
        <v>0</v>
      </c>
      <c r="F7" s="1765">
        <f>'Revenues 9-14'!F274</f>
        <v>2005</v>
      </c>
      <c r="G7" s="1765">
        <f>'Revenues 9-14'!G274</f>
        <v>25291</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9046081.4000000004</v>
      </c>
      <c r="D8" s="1710">
        <f t="shared" ref="D8:K8" si="0">SUM(D4:D7)</f>
        <v>413929</v>
      </c>
      <c r="E8" s="1710">
        <f t="shared" si="0"/>
        <v>1144511</v>
      </c>
      <c r="F8" s="1710">
        <f t="shared" si="0"/>
        <v>432166</v>
      </c>
      <c r="G8" s="1710">
        <f t="shared" si="0"/>
        <v>240650</v>
      </c>
      <c r="H8" s="1710">
        <f t="shared" si="0"/>
        <v>325716</v>
      </c>
      <c r="I8" s="1710">
        <f t="shared" si="0"/>
        <v>37076</v>
      </c>
      <c r="J8" s="1710">
        <f t="shared" si="0"/>
        <v>160009</v>
      </c>
      <c r="K8" s="1710">
        <f t="shared" si="0"/>
        <v>33268</v>
      </c>
      <c r="L8" s="347"/>
    </row>
    <row r="9" spans="1:13" ht="15.75" thickTop="1" x14ac:dyDescent="0.2">
      <c r="A9" s="514" t="s">
        <v>1752</v>
      </c>
      <c r="B9" s="515">
        <v>3998</v>
      </c>
      <c r="C9" s="481">
        <v>2916954</v>
      </c>
      <c r="D9" s="516"/>
      <c r="E9" s="481"/>
      <c r="F9" s="481"/>
      <c r="G9" s="517"/>
      <c r="H9" s="481"/>
      <c r="I9" s="509" t="s">
        <v>1231</v>
      </c>
      <c r="J9" s="478"/>
      <c r="K9" s="481"/>
      <c r="L9" s="347"/>
    </row>
    <row r="10" spans="1:13" s="519" customFormat="1" ht="13.5" thickBot="1" x14ac:dyDescent="0.25">
      <c r="A10" s="1758" t="s">
        <v>1235</v>
      </c>
      <c r="B10" s="1731"/>
      <c r="C10" s="1710">
        <f>SUM(C8:C9)</f>
        <v>11963035.4</v>
      </c>
      <c r="D10" s="1710">
        <f t="shared" ref="D10:K10" si="1">SUM(D8:D9)</f>
        <v>413929</v>
      </c>
      <c r="E10" s="1710">
        <f t="shared" si="1"/>
        <v>1144511</v>
      </c>
      <c r="F10" s="1710">
        <f t="shared" si="1"/>
        <v>432166</v>
      </c>
      <c r="G10" s="1710">
        <f t="shared" si="1"/>
        <v>240650</v>
      </c>
      <c r="H10" s="1710">
        <f t="shared" si="1"/>
        <v>325716</v>
      </c>
      <c r="I10" s="1710">
        <f t="shared" si="1"/>
        <v>37076</v>
      </c>
      <c r="J10" s="1710">
        <f t="shared" si="1"/>
        <v>160009</v>
      </c>
      <c r="K10" s="1710">
        <f t="shared" si="1"/>
        <v>33268</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4624690</v>
      </c>
      <c r="D12" s="520" t="s">
        <v>1231</v>
      </c>
      <c r="E12" s="468" t="s">
        <v>1231</v>
      </c>
      <c r="F12" s="468" t="s">
        <v>1231</v>
      </c>
      <c r="G12" s="1764">
        <f>'Expenditures 15-22'!K229</f>
        <v>62531.43</v>
      </c>
      <c r="H12" s="521"/>
      <c r="I12" s="468" t="s">
        <v>1231</v>
      </c>
      <c r="J12" s="468" t="s">
        <v>1231</v>
      </c>
      <c r="K12" s="521" t="s">
        <v>1231</v>
      </c>
      <c r="L12" s="347"/>
    </row>
    <row r="13" spans="1:13" ht="15.75" customHeight="1" x14ac:dyDescent="0.2">
      <c r="A13" s="1598" t="s">
        <v>477</v>
      </c>
      <c r="B13" s="1600">
        <v>2000</v>
      </c>
      <c r="C13" s="1765">
        <f>'Expenditures 15-22'!K74</f>
        <v>2372565</v>
      </c>
      <c r="D13" s="1765">
        <f>'Expenditures 15-22'!K129</f>
        <v>443331</v>
      </c>
      <c r="E13" s="469" t="s">
        <v>1231</v>
      </c>
      <c r="F13" s="1765">
        <f>'Expenditures 15-22'!K184</f>
        <v>326987</v>
      </c>
      <c r="G13" s="1765">
        <f>'Expenditures 15-22'!K279</f>
        <v>159770</v>
      </c>
      <c r="H13" s="1765">
        <f>'Expenditures 15-22'!K303</f>
        <v>1624204</v>
      </c>
      <c r="I13" s="468" t="s">
        <v>1231</v>
      </c>
      <c r="J13" s="1765">
        <f>'Expenditures 15-22'!K330</f>
        <v>158823</v>
      </c>
      <c r="K13" s="1769">
        <f>'Expenditures 15-22'!K352</f>
        <v>96436</v>
      </c>
      <c r="L13" s="347"/>
    </row>
    <row r="14" spans="1:13" ht="15.75" customHeight="1" x14ac:dyDescent="0.2">
      <c r="A14" s="1598" t="s">
        <v>469</v>
      </c>
      <c r="B14" s="1600">
        <v>3000</v>
      </c>
      <c r="C14" s="1765">
        <f>'Expenditures 15-22'!K75</f>
        <v>37158</v>
      </c>
      <c r="D14" s="1765">
        <f>'Expenditures 15-22'!K130</f>
        <v>3809</v>
      </c>
      <c r="E14" s="520" t="s">
        <v>1231</v>
      </c>
      <c r="F14" s="1765">
        <f>'Expenditures 15-22'!K185</f>
        <v>0</v>
      </c>
      <c r="G14" s="1765">
        <f>'Expenditures 15-22'!K280</f>
        <v>5254</v>
      </c>
      <c r="H14" s="512"/>
      <c r="I14" s="468" t="s">
        <v>1231</v>
      </c>
      <c r="J14" s="468" t="s">
        <v>1231</v>
      </c>
      <c r="K14" s="512" t="s">
        <v>1231</v>
      </c>
      <c r="L14" s="347"/>
    </row>
    <row r="15" spans="1:13" ht="15.75" customHeight="1" x14ac:dyDescent="0.2">
      <c r="A15" s="1598" t="s">
        <v>109</v>
      </c>
      <c r="B15" s="1600">
        <v>4000</v>
      </c>
      <c r="C15" s="1765">
        <f>'Expenditures 15-22'!K102</f>
        <v>1308870</v>
      </c>
      <c r="D15" s="1765">
        <f>'Expenditures 15-22'!K139</f>
        <v>634</v>
      </c>
      <c r="E15" s="1765">
        <f>'Expenditures 15-22'!K160</f>
        <v>0</v>
      </c>
      <c r="F15" s="1765">
        <f>'Expenditures 15-22'!K196</f>
        <v>58604</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1277271</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8343283</v>
      </c>
      <c r="D17" s="1710">
        <f t="shared" si="2"/>
        <v>447774</v>
      </c>
      <c r="E17" s="1710">
        <f t="shared" si="2"/>
        <v>1277271</v>
      </c>
      <c r="F17" s="1710">
        <f t="shared" si="2"/>
        <v>385591</v>
      </c>
      <c r="G17" s="1710">
        <f t="shared" si="2"/>
        <v>227555.43</v>
      </c>
      <c r="H17" s="1710">
        <f t="shared" si="2"/>
        <v>1624204</v>
      </c>
      <c r="I17" s="468"/>
      <c r="J17" s="1710">
        <f>SUM(J12:J16)</f>
        <v>158823</v>
      </c>
      <c r="K17" s="1710">
        <f>SUM(K12:K16)</f>
        <v>96436</v>
      </c>
      <c r="L17" s="347"/>
    </row>
    <row r="18" spans="1:12" ht="15" customHeight="1" thickTop="1" x14ac:dyDescent="0.2">
      <c r="A18" s="1766" t="s">
        <v>1753</v>
      </c>
      <c r="B18" s="1767">
        <v>4180</v>
      </c>
      <c r="C18" s="1764">
        <f t="shared" ref="C18:H18" si="3">C9</f>
        <v>2916954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11260237</v>
      </c>
      <c r="D19" s="1710">
        <f t="shared" si="4"/>
        <v>447774</v>
      </c>
      <c r="E19" s="1710">
        <f t="shared" si="4"/>
        <v>1277271</v>
      </c>
      <c r="F19" s="1710">
        <f t="shared" si="4"/>
        <v>385591</v>
      </c>
      <c r="G19" s="1710">
        <f t="shared" si="4"/>
        <v>227555.43</v>
      </c>
      <c r="H19" s="1710">
        <f t="shared" si="4"/>
        <v>1624204</v>
      </c>
      <c r="I19" s="468"/>
      <c r="J19" s="1710">
        <f>SUM(J17:J18)</f>
        <v>158823</v>
      </c>
      <c r="K19" s="1710">
        <f>SUM(K17:K18)</f>
        <v>96436</v>
      </c>
      <c r="L19" s="347"/>
    </row>
    <row r="20" spans="1:12" ht="16.5" thickTop="1" thickBot="1" x14ac:dyDescent="0.25">
      <c r="A20" s="2144" t="s">
        <v>1754</v>
      </c>
      <c r="B20" s="2145"/>
      <c r="C20" s="1768">
        <f>C8-C17</f>
        <v>702798.40000000037</v>
      </c>
      <c r="D20" s="1768">
        <f t="shared" ref="D20:K20" si="5">D8-D17</f>
        <v>-33845</v>
      </c>
      <c r="E20" s="1768">
        <f t="shared" si="5"/>
        <v>-132760</v>
      </c>
      <c r="F20" s="1768">
        <f t="shared" si="5"/>
        <v>46575</v>
      </c>
      <c r="G20" s="1768">
        <f t="shared" si="5"/>
        <v>13094.570000000007</v>
      </c>
      <c r="H20" s="1768">
        <f t="shared" si="5"/>
        <v>-1298488</v>
      </c>
      <c r="I20" s="1768">
        <f t="shared" si="5"/>
        <v>37076</v>
      </c>
      <c r="J20" s="1768">
        <f t="shared" si="5"/>
        <v>1186</v>
      </c>
      <c r="K20" s="1768">
        <f t="shared" si="5"/>
        <v>-63168</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702798.40000000037</v>
      </c>
      <c r="D78" s="1724">
        <f t="shared" si="9"/>
        <v>-33845</v>
      </c>
      <c r="E78" s="1724">
        <f t="shared" si="9"/>
        <v>-132760</v>
      </c>
      <c r="F78" s="1724">
        <f t="shared" si="9"/>
        <v>46575</v>
      </c>
      <c r="G78" s="1724">
        <f t="shared" si="9"/>
        <v>13094.570000000007</v>
      </c>
      <c r="H78" s="1724">
        <f t="shared" si="9"/>
        <v>-1298488</v>
      </c>
      <c r="I78" s="1724">
        <f t="shared" si="9"/>
        <v>37076</v>
      </c>
      <c r="J78" s="1724">
        <f t="shared" si="9"/>
        <v>1186</v>
      </c>
      <c r="K78" s="1724">
        <f t="shared" si="9"/>
        <v>-63168</v>
      </c>
      <c r="L78" s="533"/>
    </row>
    <row r="79" spans="1:12" ht="13.5" thickTop="1" x14ac:dyDescent="0.2">
      <c r="A79" s="1516" t="s">
        <v>2071</v>
      </c>
      <c r="B79" s="534"/>
      <c r="C79" s="478">
        <v>845195</v>
      </c>
      <c r="D79" s="535">
        <v>660754</v>
      </c>
      <c r="E79" s="535">
        <v>969785</v>
      </c>
      <c r="F79" s="535">
        <v>4322</v>
      </c>
      <c r="G79" s="535">
        <v>430510</v>
      </c>
      <c r="H79" s="535">
        <v>3090766</v>
      </c>
      <c r="I79" s="535">
        <v>1011868</v>
      </c>
      <c r="J79" s="535">
        <v>408688</v>
      </c>
      <c r="K79" s="535">
        <v>123535</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1547993.4000000004</v>
      </c>
      <c r="D81" s="1710">
        <f>SUM(D78:D80)</f>
        <v>626909</v>
      </c>
      <c r="E81" s="1710">
        <f t="shared" ref="E81:K81" si="10">SUM(E78:E80)</f>
        <v>837025</v>
      </c>
      <c r="F81" s="1710">
        <f t="shared" si="10"/>
        <v>50897</v>
      </c>
      <c r="G81" s="1710">
        <f t="shared" si="10"/>
        <v>443604.57</v>
      </c>
      <c r="H81" s="1710">
        <f t="shared" si="10"/>
        <v>1792278</v>
      </c>
      <c r="I81" s="1710">
        <f t="shared" si="10"/>
        <v>1048944</v>
      </c>
      <c r="J81" s="1710">
        <f t="shared" si="10"/>
        <v>409874</v>
      </c>
      <c r="K81" s="1710">
        <f t="shared" si="10"/>
        <v>60367</v>
      </c>
      <c r="L81" s="347"/>
    </row>
    <row r="82" spans="1:12" ht="0.75" customHeight="1" thickTop="1" thickBot="1" x14ac:dyDescent="0.25">
      <c r="A82" s="536" t="s">
        <v>361</v>
      </c>
      <c r="B82" s="537"/>
      <c r="C82" s="538">
        <f>(C81-C79)</f>
        <v>702798.40000000037</v>
      </c>
      <c r="D82" s="538">
        <f t="shared" ref="D82:K82" si="11">(D81-D79)</f>
        <v>-33845</v>
      </c>
      <c r="E82" s="538">
        <f t="shared" si="11"/>
        <v>-132760</v>
      </c>
      <c r="F82" s="538">
        <f t="shared" si="11"/>
        <v>46575</v>
      </c>
      <c r="G82" s="538">
        <f t="shared" si="11"/>
        <v>13094.570000000007</v>
      </c>
      <c r="H82" s="538">
        <f t="shared" si="11"/>
        <v>-1298488</v>
      </c>
      <c r="I82" s="538">
        <f t="shared" si="11"/>
        <v>37076</v>
      </c>
      <c r="J82" s="538">
        <f t="shared" si="11"/>
        <v>1186</v>
      </c>
      <c r="K82" s="538">
        <f t="shared" si="11"/>
        <v>-63168</v>
      </c>
    </row>
    <row r="83" spans="1:12" ht="14.25" hidden="1" thickTop="1" thickBot="1" x14ac:dyDescent="0.25">
      <c r="A83" s="539" t="s">
        <v>362</v>
      </c>
      <c r="B83" s="464"/>
      <c r="C83" s="540">
        <f>C82/C81</f>
        <v>0.45400607005172</v>
      </c>
      <c r="D83" s="540">
        <f t="shared" ref="D83:K83" si="12">D82/D81</f>
        <v>-5.398710179627346E-2</v>
      </c>
      <c r="E83" s="540">
        <f t="shared" si="12"/>
        <v>-0.15860936053283953</v>
      </c>
      <c r="F83" s="540">
        <f t="shared" si="12"/>
        <v>0.91508340373695896</v>
      </c>
      <c r="G83" s="540">
        <f t="shared" si="12"/>
        <v>2.9518564247433265E-2</v>
      </c>
      <c r="H83" s="540">
        <f t="shared" si="12"/>
        <v>-0.72449028554721984</v>
      </c>
      <c r="I83" s="540">
        <f t="shared" si="12"/>
        <v>3.5346024191949238E-2</v>
      </c>
      <c r="J83" s="540">
        <f t="shared" si="12"/>
        <v>2.8935721709598562E-3</v>
      </c>
      <c r="K83" s="540">
        <f t="shared" si="12"/>
        <v>-1.0463995229181506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44" activePane="bottomLeft" state="frozen"/>
      <selection activeCell="AT43" sqref="AT43"/>
      <selection pane="bottomLeft" activeCell="C145" sqref="C14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1785562</v>
      </c>
      <c r="D5" s="481">
        <v>336398</v>
      </c>
      <c r="E5" s="466">
        <v>686099</v>
      </c>
      <c r="F5" s="548">
        <v>173549</v>
      </c>
      <c r="G5" s="466">
        <f>98646+98646</f>
        <v>197292</v>
      </c>
      <c r="H5" s="466"/>
      <c r="I5" s="466">
        <v>31195</v>
      </c>
      <c r="J5" s="467">
        <v>155982</v>
      </c>
      <c r="K5" s="466">
        <v>31195</v>
      </c>
    </row>
    <row r="6" spans="1:12" ht="15" x14ac:dyDescent="0.2">
      <c r="A6" s="463" t="s">
        <v>1761</v>
      </c>
      <c r="B6" s="470">
        <v>1130</v>
      </c>
      <c r="C6" s="466"/>
      <c r="D6" s="466">
        <v>7763</v>
      </c>
      <c r="E6" s="475"/>
      <c r="F6" s="475"/>
      <c r="G6" s="468"/>
      <c r="H6" s="468"/>
      <c r="I6" s="468"/>
      <c r="J6" s="468"/>
      <c r="K6" s="468"/>
    </row>
    <row r="7" spans="1:12" x14ac:dyDescent="0.2">
      <c r="A7" s="463" t="s">
        <v>112</v>
      </c>
      <c r="B7" s="549">
        <v>1140</v>
      </c>
      <c r="C7" s="466">
        <v>31195</v>
      </c>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1816757</v>
      </c>
      <c r="D12" s="1729">
        <f t="shared" si="0"/>
        <v>344161</v>
      </c>
      <c r="E12" s="1729">
        <f t="shared" si="0"/>
        <v>686099</v>
      </c>
      <c r="F12" s="1729">
        <f t="shared" si="0"/>
        <v>173549</v>
      </c>
      <c r="G12" s="1729">
        <f t="shared" si="0"/>
        <v>197292</v>
      </c>
      <c r="H12" s="1729">
        <f t="shared" si="0"/>
        <v>0</v>
      </c>
      <c r="I12" s="1729">
        <f t="shared" si="0"/>
        <v>31195</v>
      </c>
      <c r="J12" s="1729">
        <f t="shared" si="0"/>
        <v>155982</v>
      </c>
      <c r="K12" s="1710">
        <f t="shared" si="0"/>
        <v>31195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3500</v>
      </c>
      <c r="D14" s="466">
        <v>2666</v>
      </c>
      <c r="E14" s="466">
        <v>5800</v>
      </c>
      <c r="F14" s="466">
        <v>1500</v>
      </c>
      <c r="G14" s="466">
        <f>1500+1500</f>
        <v>3000</v>
      </c>
      <c r="H14" s="466"/>
      <c r="I14" s="466">
        <v>300</v>
      </c>
      <c r="J14" s="467">
        <v>1500</v>
      </c>
      <c r="K14" s="466">
        <v>1500</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213169</v>
      </c>
      <c r="D16" s="466">
        <v>7000</v>
      </c>
      <c r="E16" s="466"/>
      <c r="F16" s="466">
        <v>7000</v>
      </c>
      <c r="G16" s="466">
        <f>6000+6000</f>
        <v>12000</v>
      </c>
      <c r="H16" s="466"/>
      <c r="I16" s="466"/>
      <c r="J16" s="467"/>
      <c r="K16" s="466"/>
    </row>
    <row r="17" spans="1:11" ht="12.75" customHeight="1" x14ac:dyDescent="0.2">
      <c r="A17" s="463" t="s">
        <v>840</v>
      </c>
      <c r="B17" s="470">
        <v>1290</v>
      </c>
      <c r="C17" s="551">
        <v>3836</v>
      </c>
      <c r="D17" s="466">
        <v>727</v>
      </c>
      <c r="E17" s="466">
        <v>1449</v>
      </c>
      <c r="F17" s="466">
        <v>366</v>
      </c>
      <c r="G17" s="466">
        <f>208+208</f>
        <v>416</v>
      </c>
      <c r="H17" s="466"/>
      <c r="I17" s="466">
        <v>66</v>
      </c>
      <c r="J17" s="467">
        <v>329</v>
      </c>
      <c r="K17" s="466">
        <v>66</v>
      </c>
    </row>
    <row r="18" spans="1:11" ht="12.75" customHeight="1" thickBot="1" x14ac:dyDescent="0.25">
      <c r="A18" s="1730" t="s">
        <v>558</v>
      </c>
      <c r="B18" s="1731"/>
      <c r="C18" s="1732">
        <f>SUM(C14:C17)</f>
        <v>220505</v>
      </c>
      <c r="D18" s="1732">
        <f t="shared" ref="D18:K18" si="1">SUM(D14:D17)</f>
        <v>10393</v>
      </c>
      <c r="E18" s="1732">
        <f t="shared" si="1"/>
        <v>7249</v>
      </c>
      <c r="F18" s="1732">
        <f t="shared" si="1"/>
        <v>8866</v>
      </c>
      <c r="G18" s="1732">
        <f t="shared" si="1"/>
        <v>15416</v>
      </c>
      <c r="H18" s="1732">
        <f t="shared" si="1"/>
        <v>0</v>
      </c>
      <c r="I18" s="1732">
        <f t="shared" si="1"/>
        <v>366</v>
      </c>
      <c r="J18" s="1732">
        <f t="shared" si="1"/>
        <v>1829</v>
      </c>
      <c r="K18" s="1733">
        <f t="shared" si="1"/>
        <v>1566</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v>5910</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5910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7989</v>
      </c>
      <c r="D65" s="466">
        <v>3945</v>
      </c>
      <c r="E65" s="466">
        <v>4536</v>
      </c>
      <c r="F65" s="467">
        <v>487</v>
      </c>
      <c r="G65" s="466">
        <f>1546+1105</f>
        <v>2651</v>
      </c>
      <c r="H65" s="466">
        <v>22013</v>
      </c>
      <c r="I65" s="466">
        <v>5515</v>
      </c>
      <c r="J65" s="467">
        <v>2198</v>
      </c>
      <c r="K65" s="466">
        <v>507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7989</v>
      </c>
      <c r="D67" s="1710">
        <f t="shared" ref="D67:K67" si="2">SUM(D65:D66)</f>
        <v>3945</v>
      </c>
      <c r="E67" s="1710">
        <f t="shared" si="2"/>
        <v>4536</v>
      </c>
      <c r="F67" s="1710">
        <f t="shared" si="2"/>
        <v>487</v>
      </c>
      <c r="G67" s="1710">
        <f t="shared" si="2"/>
        <v>2651</v>
      </c>
      <c r="H67" s="1710">
        <f t="shared" si="2"/>
        <v>22013</v>
      </c>
      <c r="I67" s="1710">
        <f t="shared" si="2"/>
        <v>5515</v>
      </c>
      <c r="J67" s="1710">
        <f t="shared" si="2"/>
        <v>2198</v>
      </c>
      <c r="K67" s="1710">
        <f t="shared" si="2"/>
        <v>507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f>76479+554</f>
        <v>77033</v>
      </c>
      <c r="D69" s="468"/>
      <c r="E69" s="468"/>
      <c r="F69" s="468"/>
      <c r="G69" s="468"/>
      <c r="H69" s="468"/>
      <c r="I69" s="468"/>
      <c r="J69" s="468"/>
      <c r="K69" s="468"/>
    </row>
    <row r="70" spans="1:11" ht="12.75" customHeight="1" x14ac:dyDescent="0.2">
      <c r="A70" s="463" t="s">
        <v>1054</v>
      </c>
      <c r="B70" s="470">
        <v>1612</v>
      </c>
      <c r="C70" s="551">
        <v>18263</v>
      </c>
      <c r="D70" s="468"/>
      <c r="E70" s="468"/>
      <c r="F70" s="468"/>
      <c r="G70" s="468"/>
      <c r="H70" s="468"/>
      <c r="I70" s="468"/>
      <c r="J70" s="468"/>
      <c r="K70" s="468"/>
    </row>
    <row r="71" spans="1:11" ht="12.75" customHeight="1" x14ac:dyDescent="0.2">
      <c r="A71" s="463" t="s">
        <v>291</v>
      </c>
      <c r="B71" s="470">
        <v>1613</v>
      </c>
      <c r="C71" s="551">
        <v>47585</v>
      </c>
      <c r="D71" s="468"/>
      <c r="E71" s="468"/>
      <c r="F71" s="468"/>
      <c r="G71" s="468"/>
      <c r="H71" s="468"/>
      <c r="I71" s="468"/>
      <c r="J71" s="468"/>
      <c r="K71" s="468"/>
    </row>
    <row r="72" spans="1:11" ht="12.75" customHeight="1" x14ac:dyDescent="0.2">
      <c r="A72" s="463" t="s">
        <v>24</v>
      </c>
      <c r="B72" s="470">
        <v>1614</v>
      </c>
      <c r="C72" s="551">
        <v>33333</v>
      </c>
      <c r="D72" s="468"/>
      <c r="E72" s="468"/>
      <c r="F72" s="468"/>
      <c r="G72" s="468"/>
      <c r="H72" s="468"/>
      <c r="I72" s="468"/>
      <c r="J72" s="468"/>
      <c r="K72" s="468"/>
    </row>
    <row r="73" spans="1:11" ht="12.75" customHeight="1" x14ac:dyDescent="0.2">
      <c r="A73" s="463" t="s">
        <v>1055</v>
      </c>
      <c r="B73" s="470">
        <v>1620</v>
      </c>
      <c r="C73" s="551">
        <v>3627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179841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29129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f>1560+2380+6110+5470</f>
        <v>15520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44649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22646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22646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1758</v>
      </c>
      <c r="D99" s="466"/>
      <c r="E99" s="466"/>
      <c r="F99" s="466"/>
      <c r="G99" s="466"/>
      <c r="H99" s="466"/>
      <c r="I99" s="468"/>
      <c r="J99" s="467"/>
      <c r="K99" s="466"/>
    </row>
    <row r="100" spans="1:12" ht="12.75" customHeight="1" x14ac:dyDescent="0.2">
      <c r="A100" s="463" t="s">
        <v>263</v>
      </c>
      <c r="B100" s="470">
        <v>1960</v>
      </c>
      <c r="C100" s="489">
        <v>88343</v>
      </c>
      <c r="D100" s="489"/>
      <c r="E100" s="489"/>
      <c r="F100" s="489"/>
      <c r="G100" s="489"/>
      <c r="H100" s="489"/>
      <c r="I100" s="467"/>
      <c r="J100" s="489"/>
      <c r="K100" s="467"/>
    </row>
    <row r="101" spans="1:12" ht="12.75" customHeight="1" x14ac:dyDescent="0.2">
      <c r="A101" s="463" t="s">
        <v>264</v>
      </c>
      <c r="B101" s="470">
        <v>1970</v>
      </c>
      <c r="C101" s="489">
        <v>11750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446627</v>
      </c>
      <c r="F103" s="468"/>
      <c r="G103" s="468"/>
      <c r="H103" s="489">
        <v>303703</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f>23663+990</f>
        <v>24653</v>
      </c>
      <c r="D106" s="489"/>
      <c r="E106" s="467"/>
      <c r="F106" s="467"/>
      <c r="G106" s="467"/>
      <c r="H106" s="467"/>
      <c r="I106" s="521"/>
      <c r="J106" s="467"/>
      <c r="K106" s="467"/>
    </row>
    <row r="107" spans="1:12" ht="12.75" customHeight="1" x14ac:dyDescent="0.2">
      <c r="A107" s="463" t="s">
        <v>80</v>
      </c>
      <c r="B107" s="470">
        <v>1999</v>
      </c>
      <c r="C107" s="551">
        <f>9527+9</f>
        <v>9536</v>
      </c>
      <c r="D107" s="466">
        <v>55430</v>
      </c>
      <c r="E107" s="466"/>
      <c r="F107" s="466"/>
      <c r="G107" s="466"/>
      <c r="H107" s="466"/>
      <c r="I107" s="466"/>
      <c r="J107" s="467"/>
      <c r="K107" s="466"/>
    </row>
    <row r="108" spans="1:12" ht="12.75" customHeight="1" thickBot="1" x14ac:dyDescent="0.25">
      <c r="A108" s="1730" t="s">
        <v>508</v>
      </c>
      <c r="B108" s="1734"/>
      <c r="C108" s="1729">
        <f>SUM(C95:C107)</f>
        <v>136040</v>
      </c>
      <c r="D108" s="1729">
        <f t="shared" ref="D108:K108" si="3">SUM(D95:D107)</f>
        <v>55430</v>
      </c>
      <c r="E108" s="1729">
        <f t="shared" si="3"/>
        <v>446627</v>
      </c>
      <c r="F108" s="1729">
        <f t="shared" si="3"/>
        <v>0</v>
      </c>
      <c r="G108" s="1729">
        <f t="shared" si="3"/>
        <v>0</v>
      </c>
      <c r="H108" s="1729">
        <f t="shared" si="3"/>
        <v>303703</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2428427</v>
      </c>
      <c r="D109" s="1737">
        <f t="shared" si="4"/>
        <v>413929</v>
      </c>
      <c r="E109" s="1737">
        <f t="shared" si="4"/>
        <v>1144511</v>
      </c>
      <c r="F109" s="1737">
        <f t="shared" si="4"/>
        <v>188812</v>
      </c>
      <c r="G109" s="1737">
        <f t="shared" si="4"/>
        <v>215359</v>
      </c>
      <c r="H109" s="1737">
        <f t="shared" si="4"/>
        <v>325716</v>
      </c>
      <c r="I109" s="1737">
        <f t="shared" si="4"/>
        <v>37076</v>
      </c>
      <c r="J109" s="1737">
        <f t="shared" si="4"/>
        <v>160009</v>
      </c>
      <c r="K109" s="1724">
        <f t="shared" si="4"/>
        <v>33268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5742114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5742114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78533</v>
      </c>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v>31501.4</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110034.4</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24074</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4179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28253</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4887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14116</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241349</v>
      </c>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241349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1544</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158834.4</v>
      </c>
      <c r="D172" s="1744">
        <f t="shared" si="6"/>
        <v>0</v>
      </c>
      <c r="E172" s="1744">
        <f t="shared" si="6"/>
        <v>0</v>
      </c>
      <c r="F172" s="1744">
        <f t="shared" si="6"/>
        <v>241349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5900948.4000000004</v>
      </c>
      <c r="D173" s="1737">
        <f>SUM(D121,D172)</f>
        <v>0</v>
      </c>
      <c r="E173" s="1737">
        <f>SUM(E121,E172)</f>
        <v>0</v>
      </c>
      <c r="F173" s="1737">
        <f t="shared" ref="F173:K173" si="7">SUM(F121,F172)</f>
        <v>241349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261543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84678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346221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f>285545+69727</f>
        <v>355272</v>
      </c>
      <c r="D203" s="466"/>
      <c r="E203" s="468"/>
      <c r="F203" s="466">
        <v>2005</v>
      </c>
      <c r="G203" s="466">
        <f>12766+12525</f>
        <v>25291</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355272</v>
      </c>
      <c r="D211" s="1729">
        <f>SUM(D203:D210)</f>
        <v>0</v>
      </c>
      <c r="E211" s="468"/>
      <c r="F211" s="1729">
        <f>SUM(F203:F210)</f>
        <v>2005</v>
      </c>
      <c r="G211" s="1729">
        <f>SUM(G203:G210)</f>
        <v>25291</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5707</v>
      </c>
      <c r="D270" s="576"/>
      <c r="E270" s="468"/>
      <c r="F270" s="576"/>
      <c r="G270" s="576"/>
      <c r="H270" s="468"/>
      <c r="I270" s="468"/>
      <c r="J270" s="468"/>
      <c r="K270" s="468"/>
    </row>
    <row r="271" spans="1:11" ht="12.75" customHeight="1" thickTop="1" thickBot="1" x14ac:dyDescent="0.25">
      <c r="A271" s="463" t="s">
        <v>395</v>
      </c>
      <c r="B271" s="470">
        <v>4992</v>
      </c>
      <c r="C271" s="575">
        <v>9506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716706</v>
      </c>
      <c r="D273" s="1737">
        <f t="shared" si="10"/>
        <v>0</v>
      </c>
      <c r="E273" s="1737">
        <f t="shared" si="10"/>
        <v>0</v>
      </c>
      <c r="F273" s="1737">
        <f t="shared" si="10"/>
        <v>2005</v>
      </c>
      <c r="G273" s="1737">
        <f t="shared" si="10"/>
        <v>25291</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716706</v>
      </c>
      <c r="D274" s="1737">
        <f>SUM(D178,D184,D273)</f>
        <v>0</v>
      </c>
      <c r="E274" s="1737">
        <f>SUM(E178,E273)</f>
        <v>0</v>
      </c>
      <c r="F274" s="1737">
        <f t="shared" ref="F274:K274" si="11">SUM(F178,F184,F273)</f>
        <v>2005</v>
      </c>
      <c r="G274" s="1737">
        <f t="shared" si="11"/>
        <v>25291</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9046081.4000000004</v>
      </c>
      <c r="D275" s="1737">
        <f t="shared" si="12"/>
        <v>413929</v>
      </c>
      <c r="E275" s="1737">
        <f t="shared" si="12"/>
        <v>1144511</v>
      </c>
      <c r="F275" s="1737">
        <f t="shared" si="12"/>
        <v>432166</v>
      </c>
      <c r="G275" s="1737">
        <f t="shared" si="12"/>
        <v>240650</v>
      </c>
      <c r="H275" s="1737">
        <f t="shared" si="12"/>
        <v>325716</v>
      </c>
      <c r="I275" s="1737">
        <f t="shared" si="12"/>
        <v>37076</v>
      </c>
      <c r="J275" s="1737">
        <f t="shared" si="12"/>
        <v>160009</v>
      </c>
      <c r="K275" s="1724">
        <f t="shared" si="12"/>
        <v>33268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
&amp;F&amp;CThe accompanying notes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topLeftCell="AP31" colorId="8" zoomScaleNormal="110" workbookViewId="0">
      <selection activeCell="AT43" sqref="AT4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1131753+19475+707757+12563+758845+26555</f>
        <v>2656948</v>
      </c>
      <c r="D5" s="466">
        <f>120076+25906+526+185836+74889+16155+331+116008+80331+17458+327+121736</f>
        <v>759579</v>
      </c>
      <c r="E5" s="466">
        <f>13224+63864+6058+4003+4437+4868+3085+2357+246+3037+3780+3086+5919+2684</f>
        <v>120648</v>
      </c>
      <c r="F5" s="466">
        <f>88066+17639+19224+16772+27947+29438</f>
        <v>199086</v>
      </c>
      <c r="G5" s="466">
        <f>14575+612+2752</f>
        <v>17939</v>
      </c>
      <c r="H5" s="466">
        <f>12097+18703+7667</f>
        <v>38467</v>
      </c>
      <c r="I5" s="467"/>
      <c r="J5" s="467"/>
      <c r="K5" s="1693">
        <f>SUM(C5:J5)</f>
        <v>3792667</v>
      </c>
      <c r="L5" s="466">
        <v>3834560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184623</v>
      </c>
      <c r="D10" s="466">
        <f>10304+9773+2102+50+17219</f>
        <v>39448</v>
      </c>
      <c r="E10" s="466">
        <f>26264+1891</f>
        <v>28155</v>
      </c>
      <c r="F10" s="466">
        <v>15538</v>
      </c>
      <c r="G10" s="466">
        <v>6175</v>
      </c>
      <c r="H10" s="466"/>
      <c r="I10" s="467"/>
      <c r="J10" s="467"/>
      <c r="K10" s="1693">
        <f t="shared" si="0"/>
        <v>273939</v>
      </c>
      <c r="L10" s="466">
        <v>283185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f>50385+62031+102633</f>
        <v>215049</v>
      </c>
      <c r="D13" s="466">
        <f>4359+937+21+4198+6547+1408+25+8609+10836+2330+50+20099</f>
        <v>59419</v>
      </c>
      <c r="E13" s="466">
        <f>295+352+159+311</f>
        <v>1117</v>
      </c>
      <c r="F13" s="466">
        <v>256</v>
      </c>
      <c r="G13" s="466"/>
      <c r="H13" s="466">
        <v>55</v>
      </c>
      <c r="I13" s="467"/>
      <c r="J13" s="467"/>
      <c r="K13" s="1693">
        <f t="shared" si="0"/>
        <v>275896</v>
      </c>
      <c r="L13" s="466">
        <v>279960</v>
      </c>
    </row>
    <row r="14" spans="1:14" x14ac:dyDescent="0.2">
      <c r="A14" s="1526" t="s">
        <v>1020</v>
      </c>
      <c r="B14" s="615">
        <v>1500</v>
      </c>
      <c r="C14" s="466">
        <f>4800+600+7775+14767+13782+2100+5150+15792+5950+5950+6425+54741</f>
        <v>137832</v>
      </c>
      <c r="D14" s="466">
        <f>344+74+695+23+149+1326+8+285+1321+29+284+243+54+1263+14+272+29+7+6+644+4+139+676+10+145+5745+1235+25+8609</f>
        <v>23658</v>
      </c>
      <c r="E14" s="466">
        <f>4000+207+709+79+17+60+976+41+730+2412+2751+128+1280+4450+884+132+60+322+1389+3930+47+77+3390+96+3650+145+12+1352+1561+25+191+373</f>
        <v>35476</v>
      </c>
      <c r="F14" s="466">
        <f>1357+500+4554+4453+6295+72+583+3926+493+502</f>
        <v>22735</v>
      </c>
      <c r="G14" s="466">
        <v>748</v>
      </c>
      <c r="H14" s="466">
        <f>1720+1100+675+880+496+300+496+485+175+235+666+400+233</f>
        <v>7861</v>
      </c>
      <c r="I14" s="467"/>
      <c r="J14" s="467"/>
      <c r="K14" s="1693">
        <f t="shared" si="0"/>
        <v>228310</v>
      </c>
      <c r="L14" s="466">
        <v>239292</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37690</v>
      </c>
      <c r="D17" s="467">
        <f>3977+855+14+4907</f>
        <v>9753</v>
      </c>
      <c r="E17" s="467">
        <f>295+4950+113</f>
        <v>5358</v>
      </c>
      <c r="F17" s="467">
        <v>1067</v>
      </c>
      <c r="G17" s="467"/>
      <c r="H17" s="467">
        <v>10</v>
      </c>
      <c r="I17" s="467"/>
      <c r="J17" s="467"/>
      <c r="K17" s="1693">
        <f t="shared" si="0"/>
        <v>53878</v>
      </c>
      <c r="L17" s="466">
        <v>55700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3232142</v>
      </c>
      <c r="D33" s="1692">
        <f t="shared" ref="D33:L33" si="1">SUM(D5:D32)</f>
        <v>891857</v>
      </c>
      <c r="E33" s="1692">
        <f t="shared" si="1"/>
        <v>190754</v>
      </c>
      <c r="F33" s="1692">
        <f t="shared" si="1"/>
        <v>238682</v>
      </c>
      <c r="G33" s="1692">
        <f t="shared" si="1"/>
        <v>24862</v>
      </c>
      <c r="H33" s="1692">
        <f t="shared" si="1"/>
        <v>46393</v>
      </c>
      <c r="I33" s="1692">
        <f t="shared" si="1"/>
        <v>0</v>
      </c>
      <c r="J33" s="1692">
        <f t="shared" si="1"/>
        <v>0</v>
      </c>
      <c r="K33" s="1692">
        <f t="shared" si="1"/>
        <v>4624690</v>
      </c>
      <c r="L33" s="1692">
        <f t="shared" si="1"/>
        <v>4692697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67417</v>
      </c>
      <c r="D37" s="466">
        <f>7116+1530+25+8609</f>
        <v>17280</v>
      </c>
      <c r="E37" s="466">
        <f>155</f>
        <v>155</v>
      </c>
      <c r="F37" s="466"/>
      <c r="G37" s="466"/>
      <c r="H37" s="466"/>
      <c r="I37" s="467"/>
      <c r="J37" s="467"/>
      <c r="K37" s="1693">
        <f t="shared" si="2"/>
        <v>84852</v>
      </c>
      <c r="L37" s="466">
        <v>85585</v>
      </c>
    </row>
    <row r="38" spans="1:14" x14ac:dyDescent="0.2">
      <c r="A38" s="1526" t="s">
        <v>207</v>
      </c>
      <c r="B38" s="615">
        <v>2130</v>
      </c>
      <c r="C38" s="466">
        <v>47950</v>
      </c>
      <c r="D38" s="466">
        <f>25+8609</f>
        <v>8634</v>
      </c>
      <c r="E38" s="466">
        <f>945+709+380</f>
        <v>2034</v>
      </c>
      <c r="F38" s="466">
        <v>1126</v>
      </c>
      <c r="G38" s="466"/>
      <c r="H38" s="466"/>
      <c r="I38" s="467"/>
      <c r="J38" s="467"/>
      <c r="K38" s="1693">
        <f t="shared" si="2"/>
        <v>59744</v>
      </c>
      <c r="L38" s="466">
        <v>61200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f>7003+30605</f>
        <v>37608</v>
      </c>
      <c r="D41" s="466">
        <f>593+54+128</f>
        <v>775</v>
      </c>
      <c r="E41" s="466">
        <f>108+402</f>
        <v>510</v>
      </c>
      <c r="F41" s="466"/>
      <c r="G41" s="466"/>
      <c r="H41" s="466"/>
      <c r="I41" s="467"/>
      <c r="J41" s="467"/>
      <c r="K41" s="1693">
        <f t="shared" si="2"/>
        <v>38893</v>
      </c>
      <c r="L41" s="466">
        <v>40585</v>
      </c>
    </row>
    <row r="42" spans="1:14" ht="12.75" customHeight="1" thickBot="1" x14ac:dyDescent="0.25">
      <c r="A42" s="1690" t="s">
        <v>581</v>
      </c>
      <c r="B42" s="1691" t="s">
        <v>740</v>
      </c>
      <c r="C42" s="1692">
        <f>SUM(C36:C41)</f>
        <v>152975</v>
      </c>
      <c r="D42" s="1692">
        <f t="shared" ref="D42:L42" si="3">SUM(D36:D41)</f>
        <v>26689</v>
      </c>
      <c r="E42" s="1692">
        <f t="shared" si="3"/>
        <v>2699</v>
      </c>
      <c r="F42" s="1692">
        <f t="shared" si="3"/>
        <v>1126</v>
      </c>
      <c r="G42" s="1692">
        <f t="shared" si="3"/>
        <v>0</v>
      </c>
      <c r="H42" s="1692">
        <f t="shared" si="3"/>
        <v>0</v>
      </c>
      <c r="I42" s="1692">
        <f t="shared" si="3"/>
        <v>0</v>
      </c>
      <c r="J42" s="1692">
        <f t="shared" si="3"/>
        <v>0</v>
      </c>
      <c r="K42" s="1692">
        <f t="shared" si="3"/>
        <v>183489</v>
      </c>
      <c r="L42" s="1692">
        <f t="shared" si="3"/>
        <v>187370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f>3788+3100+78204</f>
        <v>85092</v>
      </c>
      <c r="D44" s="481">
        <f>342+93+475+609+8233+1770</f>
        <v>11522</v>
      </c>
      <c r="E44" s="481">
        <f>2700+4667+60+111</f>
        <v>7538</v>
      </c>
      <c r="F44" s="481"/>
      <c r="G44" s="481"/>
      <c r="H44" s="481"/>
      <c r="I44" s="467"/>
      <c r="J44" s="467"/>
      <c r="K44" s="1694">
        <f>SUM(C44:J44)</f>
        <v>104152</v>
      </c>
      <c r="L44" s="481">
        <v>109185</v>
      </c>
    </row>
    <row r="45" spans="1:14" x14ac:dyDescent="0.2">
      <c r="A45" s="1526" t="s">
        <v>869</v>
      </c>
      <c r="B45" s="615">
        <v>2220</v>
      </c>
      <c r="C45" s="466">
        <v>25660</v>
      </c>
      <c r="D45" s="466"/>
      <c r="E45" s="466">
        <v>400</v>
      </c>
      <c r="F45" s="466">
        <f>2339+2144</f>
        <v>4483</v>
      </c>
      <c r="G45" s="466"/>
      <c r="H45" s="466">
        <v>5382</v>
      </c>
      <c r="I45" s="467"/>
      <c r="J45" s="467"/>
      <c r="K45" s="1694">
        <f>SUM(C45:J45)</f>
        <v>35925</v>
      </c>
      <c r="L45" s="466">
        <v>39530</v>
      </c>
    </row>
    <row r="46" spans="1:14" x14ac:dyDescent="0.2">
      <c r="A46" s="1526" t="s">
        <v>870</v>
      </c>
      <c r="B46" s="615">
        <v>2230</v>
      </c>
      <c r="C46" s="466"/>
      <c r="D46" s="466"/>
      <c r="E46" s="466">
        <v>7290</v>
      </c>
      <c r="F46" s="466"/>
      <c r="G46" s="466"/>
      <c r="H46" s="466"/>
      <c r="I46" s="467"/>
      <c r="J46" s="467"/>
      <c r="K46" s="1694">
        <f>SUM(C46:J46)</f>
        <v>7290</v>
      </c>
      <c r="L46" s="466">
        <v>7500</v>
      </c>
    </row>
    <row r="47" spans="1:14" ht="12.75" customHeight="1" thickBot="1" x14ac:dyDescent="0.25">
      <c r="A47" s="1690" t="s">
        <v>582</v>
      </c>
      <c r="B47" s="1691" t="s">
        <v>32</v>
      </c>
      <c r="C47" s="1692">
        <f>SUM(C44:C46)</f>
        <v>110752</v>
      </c>
      <c r="D47" s="1692">
        <f t="shared" ref="D47:K47" si="4">SUM(D44:D46)</f>
        <v>11522</v>
      </c>
      <c r="E47" s="1692">
        <f t="shared" si="4"/>
        <v>15228</v>
      </c>
      <c r="F47" s="1692">
        <f t="shared" si="4"/>
        <v>4483</v>
      </c>
      <c r="G47" s="1692">
        <f t="shared" si="4"/>
        <v>0</v>
      </c>
      <c r="H47" s="1692">
        <f t="shared" si="4"/>
        <v>5382</v>
      </c>
      <c r="I47" s="1692">
        <f t="shared" si="4"/>
        <v>0</v>
      </c>
      <c r="J47" s="1692">
        <f t="shared" si="4"/>
        <v>0</v>
      </c>
      <c r="K47" s="1692">
        <f t="shared" si="4"/>
        <v>147367</v>
      </c>
      <c r="L47" s="1692">
        <f>SUM(L44:L46)</f>
        <v>156215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f>1760+9837</f>
        <v>11597</v>
      </c>
      <c r="D49" s="481">
        <f>83+58487+22714</f>
        <v>81284</v>
      </c>
      <c r="E49" s="481">
        <f>14+152+32514+5430+2421+94</f>
        <v>40625</v>
      </c>
      <c r="F49" s="481">
        <v>943</v>
      </c>
      <c r="G49" s="481"/>
      <c r="H49" s="481">
        <v>15490</v>
      </c>
      <c r="I49" s="467"/>
      <c r="J49" s="467"/>
      <c r="K49" s="1694">
        <f>SUM(C49:J49)</f>
        <v>149939</v>
      </c>
      <c r="L49" s="481">
        <v>158720</v>
      </c>
    </row>
    <row r="50" spans="1:14" x14ac:dyDescent="0.2">
      <c r="A50" s="1526" t="s">
        <v>872</v>
      </c>
      <c r="B50" s="615">
        <v>2320</v>
      </c>
      <c r="C50" s="466">
        <v>108601</v>
      </c>
      <c r="D50" s="466">
        <f>8193+1331+1919+195+8609</f>
        <v>20247</v>
      </c>
      <c r="E50" s="466">
        <f>500+301+1399+2585+1441+272</f>
        <v>6498</v>
      </c>
      <c r="F50" s="466">
        <v>2414</v>
      </c>
      <c r="G50" s="466"/>
      <c r="H50" s="466">
        <v>1934</v>
      </c>
      <c r="I50" s="467"/>
      <c r="J50" s="467"/>
      <c r="K50" s="1694">
        <f>SUM(C50:J50)</f>
        <v>139694</v>
      </c>
      <c r="L50" s="466">
        <v>142550</v>
      </c>
    </row>
    <row r="51" spans="1:14" x14ac:dyDescent="0.2">
      <c r="A51" s="1526" t="s">
        <v>44</v>
      </c>
      <c r="B51" s="615">
        <v>2330</v>
      </c>
      <c r="C51" s="466"/>
      <c r="D51" s="466"/>
      <c r="E51" s="466">
        <v>1000</v>
      </c>
      <c r="F51" s="466"/>
      <c r="G51" s="466"/>
      <c r="H51" s="466"/>
      <c r="I51" s="467"/>
      <c r="J51" s="467"/>
      <c r="K51" s="1694">
        <f>SUM(C51:J51)</f>
        <v>1000</v>
      </c>
      <c r="L51" s="466">
        <v>1000</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120198</v>
      </c>
      <c r="D53" s="1692">
        <f t="shared" ref="D53:L53" si="5">SUM(D49:D52)</f>
        <v>101531</v>
      </c>
      <c r="E53" s="1692">
        <f t="shared" si="5"/>
        <v>48123</v>
      </c>
      <c r="F53" s="1692">
        <f t="shared" si="5"/>
        <v>3357</v>
      </c>
      <c r="G53" s="1692">
        <f t="shared" si="5"/>
        <v>0</v>
      </c>
      <c r="H53" s="1692">
        <f t="shared" si="5"/>
        <v>17424</v>
      </c>
      <c r="I53" s="1692">
        <f t="shared" si="5"/>
        <v>0</v>
      </c>
      <c r="J53" s="1692">
        <f t="shared" si="5"/>
        <v>0</v>
      </c>
      <c r="K53" s="1692">
        <f t="shared" si="5"/>
        <v>290633</v>
      </c>
      <c r="L53" s="1692">
        <f t="shared" si="5"/>
        <v>302270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423412</v>
      </c>
      <c r="D55" s="481">
        <f>29193+6196+6277+225+81279</f>
        <v>123170</v>
      </c>
      <c r="E55" s="481">
        <f>2927+1949+1870</f>
        <v>6746</v>
      </c>
      <c r="F55" s="481">
        <v>3334</v>
      </c>
      <c r="G55" s="481">
        <v>1200</v>
      </c>
      <c r="H55" s="481">
        <v>1504</v>
      </c>
      <c r="I55" s="467"/>
      <c r="J55" s="467"/>
      <c r="K55" s="1694">
        <f>SUM(C55:J55)</f>
        <v>559366</v>
      </c>
      <c r="L55" s="481">
        <v>573675</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423412</v>
      </c>
      <c r="D57" s="1696">
        <f t="shared" ref="D57:K57" si="6">SUM(D55:D56)</f>
        <v>123170</v>
      </c>
      <c r="E57" s="1696">
        <f t="shared" si="6"/>
        <v>6746</v>
      </c>
      <c r="F57" s="1696">
        <f t="shared" si="6"/>
        <v>3334</v>
      </c>
      <c r="G57" s="1696">
        <f t="shared" si="6"/>
        <v>1200</v>
      </c>
      <c r="H57" s="1696">
        <f t="shared" si="6"/>
        <v>1504</v>
      </c>
      <c r="I57" s="1696">
        <f t="shared" si="6"/>
        <v>0</v>
      </c>
      <c r="J57" s="1696">
        <f t="shared" si="6"/>
        <v>0</v>
      </c>
      <c r="K57" s="1696">
        <f t="shared" si="6"/>
        <v>559366</v>
      </c>
      <c r="L57" s="1692">
        <f>SUM(L55:L56)</f>
        <v>573675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135022</v>
      </c>
      <c r="D60" s="466">
        <f>6309+61+17219</f>
        <v>23589</v>
      </c>
      <c r="E60" s="466">
        <f>23999+4600+374</f>
        <v>28973</v>
      </c>
      <c r="F60" s="466">
        <v>1300</v>
      </c>
      <c r="G60" s="466"/>
      <c r="H60" s="466">
        <v>605</v>
      </c>
      <c r="I60" s="467"/>
      <c r="J60" s="467"/>
      <c r="K60" s="1694">
        <f t="shared" si="7"/>
        <v>189489</v>
      </c>
      <c r="L60" s="466">
        <v>193300</v>
      </c>
      <c r="M60" s="610"/>
      <c r="N60" s="610"/>
    </row>
    <row r="61" spans="1:14" s="343" customFormat="1" x14ac:dyDescent="0.2">
      <c r="A61" s="1526" t="s">
        <v>206</v>
      </c>
      <c r="B61" s="615">
        <v>2540</v>
      </c>
      <c r="C61" s="466">
        <f>380549+19824+9299</f>
        <v>409672</v>
      </c>
      <c r="D61" s="466">
        <f>18277+195+63818</f>
        <v>82290</v>
      </c>
      <c r="E61" s="466">
        <f>1874+7850+1572+104</f>
        <v>11400</v>
      </c>
      <c r="F61" s="466">
        <f>31235+3278</f>
        <v>34513</v>
      </c>
      <c r="G61" s="466">
        <f>3822</f>
        <v>3822</v>
      </c>
      <c r="H61" s="466">
        <v>101</v>
      </c>
      <c r="I61" s="467"/>
      <c r="J61" s="467"/>
      <c r="K61" s="1694">
        <f t="shared" si="7"/>
        <v>541798</v>
      </c>
      <c r="L61" s="466">
        <v>559725</v>
      </c>
      <c r="M61" s="610"/>
      <c r="N61" s="610"/>
    </row>
    <row r="62" spans="1:14" s="343" customFormat="1" x14ac:dyDescent="0.2">
      <c r="A62" s="1526" t="s">
        <v>1010</v>
      </c>
      <c r="B62" s="615">
        <v>2550</v>
      </c>
      <c r="C62" s="466">
        <v>7161</v>
      </c>
      <c r="D62" s="466">
        <f>345+74</f>
        <v>419</v>
      </c>
      <c r="E62" s="466">
        <f>55</f>
        <v>55</v>
      </c>
      <c r="F62" s="466"/>
      <c r="G62" s="466"/>
      <c r="H62" s="466"/>
      <c r="I62" s="467"/>
      <c r="J62" s="467"/>
      <c r="K62" s="1694">
        <f t="shared" si="7"/>
        <v>7635</v>
      </c>
      <c r="L62" s="466">
        <v>7930</v>
      </c>
      <c r="M62" s="610"/>
      <c r="N62" s="610"/>
    </row>
    <row r="63" spans="1:14" s="610" customFormat="1" x14ac:dyDescent="0.2">
      <c r="A63" s="1526" t="s">
        <v>102</v>
      </c>
      <c r="B63" s="615">
        <v>2560</v>
      </c>
      <c r="C63" s="466">
        <v>22104</v>
      </c>
      <c r="D63" s="466">
        <f>25+8609</f>
        <v>8634</v>
      </c>
      <c r="E63" s="466">
        <f>416905+163</f>
        <v>417068</v>
      </c>
      <c r="F63" s="466">
        <f>1285</f>
        <v>1285</v>
      </c>
      <c r="G63" s="466"/>
      <c r="H63" s="466"/>
      <c r="I63" s="467"/>
      <c r="J63" s="467"/>
      <c r="K63" s="1694">
        <f t="shared" si="7"/>
        <v>449091</v>
      </c>
      <c r="L63" s="466">
        <v>467445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573959</v>
      </c>
      <c r="D65" s="1692">
        <f t="shared" ref="D65:L65" si="8">SUM(D59:D64)</f>
        <v>114932</v>
      </c>
      <c r="E65" s="1692">
        <f t="shared" si="8"/>
        <v>457496</v>
      </c>
      <c r="F65" s="1692">
        <f t="shared" si="8"/>
        <v>37098</v>
      </c>
      <c r="G65" s="1692">
        <f t="shared" si="8"/>
        <v>3822</v>
      </c>
      <c r="H65" s="1692">
        <f t="shared" si="8"/>
        <v>706</v>
      </c>
      <c r="I65" s="1692">
        <f t="shared" si="8"/>
        <v>0</v>
      </c>
      <c r="J65" s="1692">
        <f t="shared" si="8"/>
        <v>0</v>
      </c>
      <c r="K65" s="1692">
        <f t="shared" si="8"/>
        <v>1188013</v>
      </c>
      <c r="L65" s="1692">
        <f t="shared" si="8"/>
        <v>1228400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v>2697</v>
      </c>
      <c r="F71" s="466"/>
      <c r="G71" s="466"/>
      <c r="H71" s="466"/>
      <c r="I71" s="467"/>
      <c r="J71" s="467"/>
      <c r="K71" s="1694">
        <f>SUM(C71:J71)</f>
        <v>2697</v>
      </c>
      <c r="L71" s="466">
        <v>2700</v>
      </c>
      <c r="M71" s="610"/>
      <c r="N71" s="610"/>
    </row>
    <row r="72" spans="1:14" s="343" customFormat="1" ht="12.75" customHeight="1" thickBot="1" x14ac:dyDescent="0.25">
      <c r="A72" s="1690" t="s">
        <v>37</v>
      </c>
      <c r="B72" s="1697" t="s">
        <v>36</v>
      </c>
      <c r="C72" s="1692">
        <f>SUM(C67:C71)</f>
        <v>0</v>
      </c>
      <c r="D72" s="1692">
        <f t="shared" ref="D72:K72" si="9">SUM(D67:D71)</f>
        <v>0</v>
      </c>
      <c r="E72" s="1692">
        <f t="shared" si="9"/>
        <v>2697</v>
      </c>
      <c r="F72" s="1692">
        <f t="shared" si="9"/>
        <v>0</v>
      </c>
      <c r="G72" s="1692">
        <f t="shared" si="9"/>
        <v>0</v>
      </c>
      <c r="H72" s="1692">
        <f t="shared" si="9"/>
        <v>0</v>
      </c>
      <c r="I72" s="1692">
        <f t="shared" si="9"/>
        <v>0</v>
      </c>
      <c r="J72" s="1692">
        <f t="shared" si="9"/>
        <v>0</v>
      </c>
      <c r="K72" s="1692">
        <f t="shared" si="9"/>
        <v>2697</v>
      </c>
      <c r="L72" s="1692">
        <f>SUM(L67:L71)</f>
        <v>2700</v>
      </c>
      <c r="M72" s="610"/>
      <c r="N72" s="610"/>
    </row>
    <row r="73" spans="1:14" s="343" customFormat="1" ht="14.25" thickTop="1" thickBot="1" x14ac:dyDescent="0.25">
      <c r="A73" s="1532" t="s">
        <v>1037</v>
      </c>
      <c r="B73" s="633" t="s">
        <v>595</v>
      </c>
      <c r="C73" s="573"/>
      <c r="D73" s="573"/>
      <c r="E73" s="573"/>
      <c r="F73" s="573">
        <v>1000</v>
      </c>
      <c r="G73" s="573"/>
      <c r="H73" s="573"/>
      <c r="I73" s="531"/>
      <c r="J73" s="531"/>
      <c r="K73" s="1692">
        <f>SUM(C73:J73)</f>
        <v>1000</v>
      </c>
      <c r="L73" s="576">
        <v>1000</v>
      </c>
      <c r="M73" s="610"/>
      <c r="N73" s="610"/>
    </row>
    <row r="74" spans="1:14" ht="12.75" customHeight="1" thickTop="1" thickBot="1" x14ac:dyDescent="0.25">
      <c r="A74" s="1690" t="s">
        <v>865</v>
      </c>
      <c r="B74" s="1698">
        <v>2000</v>
      </c>
      <c r="C74" s="1699">
        <f>SUM(C42,C47,C53,C57,C65,C72,C73)</f>
        <v>1381296</v>
      </c>
      <c r="D74" s="1699">
        <f t="shared" ref="D74:K74" si="10">SUM(D42,D47,D53,D57,D65,D72,D73)</f>
        <v>377844</v>
      </c>
      <c r="E74" s="1699">
        <f t="shared" si="10"/>
        <v>532989</v>
      </c>
      <c r="F74" s="1699">
        <f t="shared" si="10"/>
        <v>50398</v>
      </c>
      <c r="G74" s="1699">
        <f t="shared" si="10"/>
        <v>5022</v>
      </c>
      <c r="H74" s="1699">
        <f t="shared" si="10"/>
        <v>25016</v>
      </c>
      <c r="I74" s="1699">
        <f t="shared" si="10"/>
        <v>0</v>
      </c>
      <c r="J74" s="1699">
        <f t="shared" si="10"/>
        <v>0</v>
      </c>
      <c r="K74" s="1699">
        <f t="shared" si="10"/>
        <v>2372565</v>
      </c>
      <c r="L74" s="1699">
        <f>SUM(L42,L47,L53,L57,L65,L72,L73)</f>
        <v>2451630</v>
      </c>
    </row>
    <row r="75" spans="1:14" s="259" customFormat="1" ht="15.75" customHeight="1" thickTop="1" thickBot="1" x14ac:dyDescent="0.25">
      <c r="A75" s="1632" t="s">
        <v>49</v>
      </c>
      <c r="B75" s="1633" t="s">
        <v>596</v>
      </c>
      <c r="C75" s="573">
        <v>32517</v>
      </c>
      <c r="D75" s="573"/>
      <c r="E75" s="573">
        <v>534</v>
      </c>
      <c r="F75" s="573">
        <f>2138+1107</f>
        <v>3245</v>
      </c>
      <c r="G75" s="573">
        <v>862</v>
      </c>
      <c r="H75" s="573"/>
      <c r="I75" s="531"/>
      <c r="J75" s="531"/>
      <c r="K75" s="1692">
        <f>SUM(C75:J75)</f>
        <v>37158</v>
      </c>
      <c r="L75" s="576">
        <v>38125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f>1079208+31356+192762</f>
        <v>1303326</v>
      </c>
      <c r="I79" s="477"/>
      <c r="J79" s="477"/>
      <c r="K79" s="1693">
        <f t="shared" si="11"/>
        <v>1303326</v>
      </c>
      <c r="L79" s="466">
        <v>1305000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1303326</v>
      </c>
      <c r="I84" s="477"/>
      <c r="J84" s="477"/>
      <c r="K84" s="1692">
        <f>SUM(K78:K83)</f>
        <v>1303326</v>
      </c>
      <c r="L84" s="1692">
        <f>SUM(L78:L83)</f>
        <v>1305000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v>5544</v>
      </c>
      <c r="I90" s="477"/>
      <c r="J90" s="477"/>
      <c r="K90" s="1699">
        <f t="shared" si="12"/>
        <v>5544</v>
      </c>
      <c r="L90" s="530">
        <v>6000</v>
      </c>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5544</v>
      </c>
      <c r="I92" s="477"/>
      <c r="J92" s="477"/>
      <c r="K92" s="1699">
        <f t="shared" si="12"/>
        <v>5544</v>
      </c>
      <c r="L92" s="1692">
        <f>SUM(L85:L91)</f>
        <v>6000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1308870</v>
      </c>
      <c r="I102" s="477"/>
      <c r="J102" s="477"/>
      <c r="K102" s="1699">
        <f>SUM(K84,K92,K100,K101)</f>
        <v>1308870</v>
      </c>
      <c r="L102" s="1699">
        <f>SUM(L84,L92,L100,L101)</f>
        <v>1311000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4645955</v>
      </c>
      <c r="D114" s="1692">
        <f t="shared" ref="D114:K114" si="13">SUM(D33,D74,D75,D102,D112,D113)</f>
        <v>1269701</v>
      </c>
      <c r="E114" s="1692">
        <f t="shared" si="13"/>
        <v>724277</v>
      </c>
      <c r="F114" s="1692">
        <f t="shared" si="13"/>
        <v>292325</v>
      </c>
      <c r="G114" s="1692">
        <f t="shared" si="13"/>
        <v>30746</v>
      </c>
      <c r="H114" s="1692">
        <f>SUM(H33,H74,H75,H102,H112,H113)</f>
        <v>1380279</v>
      </c>
      <c r="I114" s="1692">
        <f t="shared" si="13"/>
        <v>0</v>
      </c>
      <c r="J114" s="1692">
        <f t="shared" si="13"/>
        <v>0</v>
      </c>
      <c r="K114" s="1692">
        <f t="shared" si="13"/>
        <v>8343283</v>
      </c>
      <c r="L114" s="1692">
        <f>SUM(L33,L74,L75,L102,L112,L113)</f>
        <v>8493452</v>
      </c>
    </row>
    <row r="115" spans="1:14" ht="13.5" thickTop="1" x14ac:dyDescent="0.2">
      <c r="A115" s="2174" t="s">
        <v>1053</v>
      </c>
      <c r="B115" s="2175"/>
      <c r="C115" s="619"/>
      <c r="D115" s="619"/>
      <c r="E115" s="619"/>
      <c r="F115" s="619"/>
      <c r="G115" s="619"/>
      <c r="H115" s="619"/>
      <c r="I115" s="619"/>
      <c r="J115" s="619"/>
      <c r="K115" s="1706">
        <f>'Revenues 9-14'!C275-'Expenditures 15-22'!K114</f>
        <v>702798.40000000037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f>14686+129064+30587+13726</f>
        <v>188063</v>
      </c>
      <c r="F124" s="466">
        <f>22504+7155+15418+178492</f>
        <v>223569</v>
      </c>
      <c r="G124" s="466">
        <v>31699</v>
      </c>
      <c r="H124" s="466"/>
      <c r="I124" s="467"/>
      <c r="J124" s="467"/>
      <c r="K124" s="1692">
        <f>SUM(C124:J124)</f>
        <v>443331</v>
      </c>
      <c r="L124" s="466">
        <v>461500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188063</v>
      </c>
      <c r="F127" s="1692">
        <f t="shared" si="14"/>
        <v>223569</v>
      </c>
      <c r="G127" s="1692">
        <f t="shared" si="14"/>
        <v>31699</v>
      </c>
      <c r="H127" s="1692">
        <f t="shared" si="14"/>
        <v>0</v>
      </c>
      <c r="I127" s="1692">
        <f t="shared" si="14"/>
        <v>0</v>
      </c>
      <c r="J127" s="1692">
        <f t="shared" si="14"/>
        <v>0</v>
      </c>
      <c r="K127" s="1692">
        <f t="shared" si="14"/>
        <v>443331</v>
      </c>
      <c r="L127" s="1692">
        <f t="shared" si="14"/>
        <v>461500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188063</v>
      </c>
      <c r="F129" s="1699">
        <f t="shared" si="15"/>
        <v>223569</v>
      </c>
      <c r="G129" s="1699">
        <f t="shared" si="15"/>
        <v>31699</v>
      </c>
      <c r="H129" s="1699">
        <f t="shared" si="15"/>
        <v>0</v>
      </c>
      <c r="I129" s="1699">
        <f t="shared" si="15"/>
        <v>0</v>
      </c>
      <c r="J129" s="1699">
        <f t="shared" si="15"/>
        <v>0</v>
      </c>
      <c r="K129" s="1699">
        <f t="shared" si="15"/>
        <v>443331</v>
      </c>
      <c r="L129" s="1699">
        <f t="shared" si="15"/>
        <v>461500</v>
      </c>
    </row>
    <row r="130" spans="1:14" ht="15.75" customHeight="1" thickTop="1" thickBot="1" x14ac:dyDescent="0.25">
      <c r="A130" s="1632" t="s">
        <v>1096</v>
      </c>
      <c r="B130" s="1633" t="s">
        <v>596</v>
      </c>
      <c r="C130" s="576"/>
      <c r="D130" s="576"/>
      <c r="E130" s="576">
        <v>3809</v>
      </c>
      <c r="F130" s="576"/>
      <c r="G130" s="576"/>
      <c r="H130" s="576"/>
      <c r="I130" s="531"/>
      <c r="J130" s="531"/>
      <c r="K130" s="1692">
        <f>SUM(C130:J130)</f>
        <v>3809</v>
      </c>
      <c r="L130" s="576">
        <v>3825</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v>634</v>
      </c>
      <c r="I134" s="477"/>
      <c r="J134" s="617"/>
      <c r="K134" s="1694">
        <f>SUM(E134,H134)</f>
        <v>634</v>
      </c>
      <c r="L134" s="481">
        <v>1000</v>
      </c>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634</v>
      </c>
      <c r="I137" s="477"/>
      <c r="J137" s="617"/>
      <c r="K137" s="1692">
        <f>SUM(K133:K136)</f>
        <v>634</v>
      </c>
      <c r="L137" s="1692">
        <f>SUM(L133:L136)</f>
        <v>1000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634</v>
      </c>
      <c r="I139" s="477"/>
      <c r="J139" s="617"/>
      <c r="K139" s="1694">
        <f>SUM(K137,K138)</f>
        <v>634</v>
      </c>
      <c r="L139" s="1701">
        <f>SUM(L137,L138)</f>
        <v>1000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0</v>
      </c>
      <c r="D151" s="1692">
        <f t="shared" ref="D151:K151" si="16">SUM(D129,D130,D139,D149,D150)</f>
        <v>0</v>
      </c>
      <c r="E151" s="1692">
        <f t="shared" si="16"/>
        <v>191872</v>
      </c>
      <c r="F151" s="1692">
        <f t="shared" si="16"/>
        <v>223569</v>
      </c>
      <c r="G151" s="1692">
        <f t="shared" si="16"/>
        <v>31699</v>
      </c>
      <c r="H151" s="1692">
        <f t="shared" si="16"/>
        <v>634</v>
      </c>
      <c r="I151" s="1692">
        <f t="shared" si="16"/>
        <v>0</v>
      </c>
      <c r="J151" s="1692">
        <f t="shared" si="16"/>
        <v>0</v>
      </c>
      <c r="K151" s="1692">
        <f t="shared" si="16"/>
        <v>447774</v>
      </c>
      <c r="L151" s="1692">
        <f>SUM(L129,L130,L139,L149,L150)</f>
        <v>466325</v>
      </c>
    </row>
    <row r="152" spans="1:14" ht="12.75" customHeight="1" thickTop="1" x14ac:dyDescent="0.2">
      <c r="A152" s="2194" t="s">
        <v>1240</v>
      </c>
      <c r="B152" s="2195"/>
      <c r="C152" s="619"/>
      <c r="D152" s="619"/>
      <c r="E152" s="619"/>
      <c r="F152" s="619"/>
      <c r="G152" s="619"/>
      <c r="H152" s="619"/>
      <c r="I152" s="619"/>
      <c r="J152" s="617"/>
      <c r="K152" s="1706">
        <f>'Revenues 9-14'!D275-'Expenditures 15-22'!K151</f>
        <v>-33845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f>102271+147146</f>
        <v>249417</v>
      </c>
      <c r="I169" s="617"/>
      <c r="J169" s="617"/>
      <c r="K169" s="1693">
        <f>SUM(C169:H169)</f>
        <v>249417</v>
      </c>
      <c r="L169" s="657">
        <v>251000</v>
      </c>
    </row>
    <row r="170" spans="1:14" ht="33.75" customHeight="1" x14ac:dyDescent="0.2">
      <c r="A170" s="670" t="s">
        <v>1769</v>
      </c>
      <c r="B170" s="672" t="s">
        <v>31</v>
      </c>
      <c r="C170" s="617"/>
      <c r="D170" s="617"/>
      <c r="E170" s="617"/>
      <c r="F170" s="617"/>
      <c r="G170" s="617"/>
      <c r="H170" s="569">
        <f>585000+442854</f>
        <v>1027854</v>
      </c>
      <c r="I170" s="617"/>
      <c r="J170" s="617"/>
      <c r="K170" s="1693">
        <f>SUM(C170:J170)</f>
        <v>1027854</v>
      </c>
      <c r="L170" s="569">
        <v>1028000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1277271</v>
      </c>
      <c r="I172" s="639"/>
      <c r="J172" s="617"/>
      <c r="K172" s="1699">
        <f>SUM(K168,K169,K170,K171)</f>
        <v>1277271</v>
      </c>
      <c r="L172" s="1699">
        <f>SUM(L168,L169,L170,L171)</f>
        <v>1279000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1277271</v>
      </c>
      <c r="I174" s="639"/>
      <c r="J174" s="617"/>
      <c r="K174" s="1699">
        <f>SUM(K160,K172,K173)</f>
        <v>1277271</v>
      </c>
      <c r="L174" s="1699">
        <f>SUM(L160,L172,L173)</f>
        <v>1279000</v>
      </c>
    </row>
    <row r="175" spans="1:14" ht="13.5" thickTop="1" x14ac:dyDescent="0.2">
      <c r="A175" s="2174" t="s">
        <v>1053</v>
      </c>
      <c r="B175" s="2175"/>
      <c r="C175" s="617"/>
      <c r="D175" s="617"/>
      <c r="E175" s="617"/>
      <c r="F175" s="617"/>
      <c r="G175" s="617"/>
      <c r="H175" s="619"/>
      <c r="I175" s="617"/>
      <c r="J175" s="617"/>
      <c r="K175" s="1706">
        <f>'Revenues 9-14'!E275-'Expenditures 15-22'!K174</f>
        <v>-132760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5123</v>
      </c>
      <c r="D182" s="466">
        <f>731</f>
        <v>731</v>
      </c>
      <c r="E182" s="466">
        <f>-2550+2367+289901</f>
        <v>289718</v>
      </c>
      <c r="F182" s="466"/>
      <c r="G182" s="466"/>
      <c r="H182" s="466">
        <v>11254</v>
      </c>
      <c r="I182" s="467"/>
      <c r="J182" s="467"/>
      <c r="K182" s="1693">
        <f>SUM(C182:J182)</f>
        <v>306826</v>
      </c>
      <c r="L182" s="466">
        <v>310250</v>
      </c>
    </row>
    <row r="183" spans="1:14" ht="12.75" customHeight="1" thickBot="1" x14ac:dyDescent="0.25">
      <c r="A183" s="1531" t="s">
        <v>1037</v>
      </c>
      <c r="B183" s="678">
        <v>2900</v>
      </c>
      <c r="C183" s="573"/>
      <c r="D183" s="573"/>
      <c r="E183" s="573">
        <f>1866+1765+5454+2985+2199+2501+3391</f>
        <v>20161</v>
      </c>
      <c r="F183" s="573"/>
      <c r="G183" s="573"/>
      <c r="H183" s="573"/>
      <c r="I183" s="532"/>
      <c r="J183" s="532"/>
      <c r="K183" s="1699">
        <f>SUM(C183:J183)</f>
        <v>20161</v>
      </c>
      <c r="L183" s="573">
        <v>20900</v>
      </c>
    </row>
    <row r="184" spans="1:14" ht="12.75" customHeight="1" thickTop="1" thickBot="1" x14ac:dyDescent="0.25">
      <c r="A184" s="1713" t="s">
        <v>865</v>
      </c>
      <c r="B184" s="1691" t="s">
        <v>590</v>
      </c>
      <c r="C184" s="1699">
        <f>SUM(C180,C182,C183)</f>
        <v>5123</v>
      </c>
      <c r="D184" s="1699">
        <f t="shared" ref="D184:J184" si="17">SUM(D180,D182,D183)</f>
        <v>731</v>
      </c>
      <c r="E184" s="1699">
        <f t="shared" si="17"/>
        <v>309879</v>
      </c>
      <c r="F184" s="1699">
        <f t="shared" si="17"/>
        <v>0</v>
      </c>
      <c r="G184" s="1699">
        <f t="shared" si="17"/>
        <v>0</v>
      </c>
      <c r="H184" s="1699">
        <f t="shared" si="17"/>
        <v>11254</v>
      </c>
      <c r="I184" s="1699">
        <f t="shared" si="17"/>
        <v>0</v>
      </c>
      <c r="J184" s="1699">
        <f t="shared" si="17"/>
        <v>0</v>
      </c>
      <c r="K184" s="1699">
        <f>SUM(K180,K182,K183)</f>
        <v>326987</v>
      </c>
      <c r="L184" s="1699">
        <f>SUM(L180, L182:L183)</f>
        <v>331150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v>58604</v>
      </c>
      <c r="F189" s="617"/>
      <c r="G189" s="617"/>
      <c r="H189" s="466"/>
      <c r="I189" s="477"/>
      <c r="J189" s="617"/>
      <c r="K189" s="1693">
        <f t="shared" si="18"/>
        <v>58604</v>
      </c>
      <c r="L189" s="466">
        <v>60000</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58604</v>
      </c>
      <c r="F194" s="617"/>
      <c r="G194" s="617"/>
      <c r="H194" s="1692">
        <f>SUM(H188:H193)</f>
        <v>0</v>
      </c>
      <c r="I194" s="477"/>
      <c r="J194" s="617"/>
      <c r="K194" s="1692">
        <f>SUM(K188:K193)</f>
        <v>58604</v>
      </c>
      <c r="L194" s="1692">
        <f>SUM(L188:L193)</f>
        <v>60000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58604</v>
      </c>
      <c r="F196" s="617"/>
      <c r="G196" s="617"/>
      <c r="H196" s="1699">
        <f>SUM(H194,H195)</f>
        <v>0</v>
      </c>
      <c r="I196" s="477"/>
      <c r="J196" s="617"/>
      <c r="K196" s="1699">
        <f>SUM(K194,K195)</f>
        <v>58604</v>
      </c>
      <c r="L196" s="1699">
        <f>SUM(L194,L195)</f>
        <v>60000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5123</v>
      </c>
      <c r="D210" s="1692">
        <f>SUM(D184,D185)</f>
        <v>731</v>
      </c>
      <c r="E210" s="1692">
        <f>SUM(E184,E185,E196)</f>
        <v>368483</v>
      </c>
      <c r="F210" s="1692">
        <f>SUM(F184,F185)</f>
        <v>0</v>
      </c>
      <c r="G210" s="1692">
        <f>SUM(G184,G185)</f>
        <v>0</v>
      </c>
      <c r="H210" s="1692">
        <f>SUM(H184,H185,H196,H208,H209)</f>
        <v>11254</v>
      </c>
      <c r="I210" s="1692">
        <f>SUM(I184,I185)</f>
        <v>0</v>
      </c>
      <c r="J210" s="1692">
        <f>SUM(J184,J185)</f>
        <v>0</v>
      </c>
      <c r="K210" s="1693">
        <f>SUM(K184,K185,K196,K208,K209)</f>
        <v>385591</v>
      </c>
      <c r="L210" s="1692">
        <f>SUM(L184,L185,L196,L208,L209)</f>
        <v>391150</v>
      </c>
    </row>
    <row r="211" spans="1:14" ht="13.5" thickTop="1" x14ac:dyDescent="0.2">
      <c r="A211" s="2174" t="s">
        <v>1053</v>
      </c>
      <c r="B211" s="2175"/>
      <c r="C211" s="619"/>
      <c r="D211" s="619"/>
      <c r="E211" s="619"/>
      <c r="F211" s="619"/>
      <c r="G211" s="619"/>
      <c r="H211" s="619"/>
      <c r="I211" s="617"/>
      <c r="J211" s="617"/>
      <c r="K211" s="1706">
        <f>'Revenues 9-14'!F275-'Expenditures 15-22'!K210</f>
        <v>46575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521.43+648+14769+94+10106+186+10708</f>
        <v>37032.43</v>
      </c>
      <c r="E215" s="617"/>
      <c r="F215" s="617"/>
      <c r="G215" s="617"/>
      <c r="H215" s="617"/>
      <c r="I215" s="617"/>
      <c r="J215" s="617"/>
      <c r="K215" s="1693">
        <f>D215</f>
        <v>37032.43</v>
      </c>
      <c r="L215" s="466">
        <v>39585</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f>8992+5621+2646</f>
        <v>17259</v>
      </c>
      <c r="E219" s="617"/>
      <c r="F219" s="617"/>
      <c r="G219" s="617"/>
      <c r="H219" s="617"/>
      <c r="I219" s="617"/>
      <c r="J219" s="617"/>
      <c r="K219" s="1693">
        <f t="shared" si="19"/>
        <v>17259</v>
      </c>
      <c r="L219" s="466">
        <v>18500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f>728+899+1307</f>
        <v>2934</v>
      </c>
      <c r="E222" s="617"/>
      <c r="F222" s="617"/>
      <c r="G222" s="617"/>
      <c r="H222" s="617"/>
      <c r="I222" s="617"/>
      <c r="J222" s="617"/>
      <c r="K222" s="1693">
        <f t="shared" si="19"/>
        <v>2934</v>
      </c>
      <c r="L222" s="466">
        <v>3250</v>
      </c>
    </row>
    <row r="223" spans="1:14" x14ac:dyDescent="0.2">
      <c r="A223" s="1526" t="s">
        <v>1020</v>
      </c>
      <c r="B223" s="615">
        <v>1500</v>
      </c>
      <c r="C223" s="617"/>
      <c r="D223" s="466">
        <f>96+36+63+537+33+16+10+22+95+70+37+8+91+113+136+222+305+231+130+30+334+78+271+245+389+95+18+92+59+107+794</f>
        <v>4763</v>
      </c>
      <c r="E223" s="617"/>
      <c r="F223" s="617"/>
      <c r="G223" s="617"/>
      <c r="H223" s="617"/>
      <c r="I223" s="617"/>
      <c r="J223" s="617"/>
      <c r="K223" s="1693">
        <f t="shared" si="19"/>
        <v>4763</v>
      </c>
      <c r="L223" s="466">
        <v>5685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543</v>
      </c>
      <c r="E226" s="617"/>
      <c r="F226" s="617"/>
      <c r="G226" s="617"/>
      <c r="H226" s="617"/>
      <c r="I226" s="617"/>
      <c r="J226" s="617"/>
      <c r="K226" s="1693">
        <f t="shared" si="19"/>
        <v>543</v>
      </c>
      <c r="L226" s="466">
        <v>650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62531.43</v>
      </c>
      <c r="E229" s="617"/>
      <c r="F229" s="617"/>
      <c r="G229" s="617"/>
      <c r="H229" s="617"/>
      <c r="I229" s="617"/>
      <c r="J229" s="617"/>
      <c r="K229" s="1692">
        <f>SUM(K215:K228)</f>
        <v>62531.43</v>
      </c>
      <c r="L229" s="1692">
        <f>SUM(L215:L228)</f>
        <v>67670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972</v>
      </c>
      <c r="E233" s="617"/>
      <c r="F233" s="617"/>
      <c r="G233" s="617"/>
      <c r="H233" s="617"/>
      <c r="I233" s="617"/>
      <c r="J233" s="617"/>
      <c r="K233" s="1693">
        <f t="shared" si="20"/>
        <v>972</v>
      </c>
      <c r="L233" s="466">
        <v>1000</v>
      </c>
    </row>
    <row r="234" spans="1:12" x14ac:dyDescent="0.2">
      <c r="A234" s="1526" t="s">
        <v>207</v>
      </c>
      <c r="B234" s="615">
        <v>2130</v>
      </c>
      <c r="C234" s="617"/>
      <c r="D234" s="466">
        <f>4894+2950+690</f>
        <v>8534</v>
      </c>
      <c r="E234" s="617"/>
      <c r="F234" s="617"/>
      <c r="G234" s="617"/>
      <c r="H234" s="617"/>
      <c r="I234" s="617"/>
      <c r="J234" s="617"/>
      <c r="K234" s="1693">
        <f t="shared" si="20"/>
        <v>8534</v>
      </c>
      <c r="L234" s="466">
        <v>8925</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f>450+955+434+102+1537+442</f>
        <v>3920</v>
      </c>
      <c r="E237" s="617"/>
      <c r="F237" s="617"/>
      <c r="G237" s="617"/>
      <c r="H237" s="617"/>
      <c r="I237" s="617"/>
      <c r="J237" s="617"/>
      <c r="K237" s="1693">
        <f t="shared" si="20"/>
        <v>3920</v>
      </c>
      <c r="L237" s="466">
        <v>4480</v>
      </c>
    </row>
    <row r="238" spans="1:12" ht="12.75" customHeight="1" thickBot="1" x14ac:dyDescent="0.25">
      <c r="A238" s="1690" t="s">
        <v>581</v>
      </c>
      <c r="B238" s="1697" t="s">
        <v>740</v>
      </c>
      <c r="C238" s="617"/>
      <c r="D238" s="1692">
        <f>SUM(D232:D237)</f>
        <v>13426</v>
      </c>
      <c r="E238" s="617"/>
      <c r="F238" s="617"/>
      <c r="G238" s="617"/>
      <c r="H238" s="617"/>
      <c r="I238" s="617"/>
      <c r="J238" s="617"/>
      <c r="K238" s="1692">
        <f>SUM(K232:K237)</f>
        <v>13426</v>
      </c>
      <c r="L238" s="1692">
        <f>SUM(L232:L237)</f>
        <v>14405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f>99+1134</f>
        <v>1233</v>
      </c>
      <c r="E240" s="617"/>
      <c r="F240" s="617"/>
      <c r="G240" s="617"/>
      <c r="H240" s="617"/>
      <c r="I240" s="617"/>
      <c r="J240" s="617"/>
      <c r="K240" s="1694">
        <f>D240</f>
        <v>1233</v>
      </c>
      <c r="L240" s="481">
        <v>1600</v>
      </c>
    </row>
    <row r="241" spans="1:12" x14ac:dyDescent="0.2">
      <c r="A241" s="1526" t="s">
        <v>869</v>
      </c>
      <c r="B241" s="615">
        <v>2220</v>
      </c>
      <c r="C241" s="617"/>
      <c r="D241" s="466">
        <f>2637+188+1591+372</f>
        <v>4788</v>
      </c>
      <c r="E241" s="617"/>
      <c r="F241" s="617"/>
      <c r="G241" s="617"/>
      <c r="H241" s="617"/>
      <c r="I241" s="617"/>
      <c r="J241" s="617"/>
      <c r="K241" s="1694">
        <f>D241</f>
        <v>4788</v>
      </c>
      <c r="L241" s="466">
        <v>5020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6021</v>
      </c>
      <c r="E243" s="617"/>
      <c r="F243" s="617"/>
      <c r="G243" s="617"/>
      <c r="H243" s="617"/>
      <c r="I243" s="617"/>
      <c r="J243" s="617"/>
      <c r="K243" s="1692">
        <f>SUM(K240:K242)</f>
        <v>6021</v>
      </c>
      <c r="L243" s="1692">
        <f>SUM(L240:L242)</f>
        <v>6620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f>114+27+610+143+1841</f>
        <v>2735</v>
      </c>
      <c r="E245" s="617"/>
      <c r="F245" s="617"/>
      <c r="G245" s="617"/>
      <c r="H245" s="617"/>
      <c r="I245" s="617"/>
      <c r="J245" s="617"/>
      <c r="K245" s="1694">
        <f>D245</f>
        <v>2735</v>
      </c>
      <c r="L245" s="481">
        <v>1205</v>
      </c>
    </row>
    <row r="246" spans="1:12" x14ac:dyDescent="0.2">
      <c r="A246" s="1526" t="s">
        <v>872</v>
      </c>
      <c r="B246" s="615">
        <v>2320</v>
      </c>
      <c r="C246" s="617"/>
      <c r="D246" s="466">
        <f>3048+1515</f>
        <v>4563</v>
      </c>
      <c r="E246" s="617"/>
      <c r="F246" s="617"/>
      <c r="G246" s="617"/>
      <c r="H246" s="617"/>
      <c r="I246" s="617"/>
      <c r="J246" s="617"/>
      <c r="K246" s="1694">
        <f t="shared" ref="K246:K256" si="21">D246</f>
        <v>4563</v>
      </c>
      <c r="L246" s="466">
        <v>7000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7298</v>
      </c>
      <c r="E257" s="617"/>
      <c r="F257" s="617"/>
      <c r="G257" s="617"/>
      <c r="H257" s="617"/>
      <c r="I257" s="617"/>
      <c r="J257" s="617"/>
      <c r="K257" s="1692">
        <f>SUM(K245:K256)</f>
        <v>7298</v>
      </c>
      <c r="L257" s="1692">
        <f>SUM(L245:L256)</f>
        <v>8205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f>14238+8760+5819</f>
        <v>28817</v>
      </c>
      <c r="E259" s="617"/>
      <c r="F259" s="617"/>
      <c r="G259" s="617"/>
      <c r="H259" s="617"/>
      <c r="I259" s="617"/>
      <c r="J259" s="617"/>
      <c r="K259" s="1694">
        <f>D259</f>
        <v>28817</v>
      </c>
      <c r="L259" s="481">
        <v>30000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28817</v>
      </c>
      <c r="E261" s="617"/>
      <c r="F261" s="617"/>
      <c r="G261" s="617"/>
      <c r="H261" s="617"/>
      <c r="I261" s="617"/>
      <c r="J261" s="617"/>
      <c r="K261" s="1692">
        <f>SUM(K259:K260)</f>
        <v>28817</v>
      </c>
      <c r="L261" s="1692">
        <f>SUM(L259:L260)</f>
        <v>30000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f>14298+8692+2033</f>
        <v>25023</v>
      </c>
      <c r="E264" s="617"/>
      <c r="F264" s="617"/>
      <c r="G264" s="617"/>
      <c r="H264" s="617"/>
      <c r="I264" s="617"/>
      <c r="J264" s="617"/>
      <c r="K264" s="1694">
        <f t="shared" ref="K264:K269" si="22">D264</f>
        <v>25023</v>
      </c>
      <c r="L264" s="466">
        <v>36100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42134+26389+6172</f>
        <v>74695</v>
      </c>
      <c r="E266" s="617"/>
      <c r="F266" s="617"/>
      <c r="G266" s="617"/>
      <c r="H266" s="617"/>
      <c r="I266" s="617"/>
      <c r="J266" s="617"/>
      <c r="K266" s="1694">
        <f t="shared" si="22"/>
        <v>74695</v>
      </c>
      <c r="L266" s="466">
        <v>77900</v>
      </c>
    </row>
    <row r="267" spans="1:14" x14ac:dyDescent="0.2">
      <c r="A267" s="1526" t="s">
        <v>1010</v>
      </c>
      <c r="B267" s="615">
        <v>2550</v>
      </c>
      <c r="C267" s="617"/>
      <c r="D267" s="466">
        <f>266+241+104</f>
        <v>611</v>
      </c>
      <c r="E267" s="617"/>
      <c r="F267" s="617"/>
      <c r="G267" s="617"/>
      <c r="H267" s="617"/>
      <c r="I267" s="617"/>
      <c r="J267" s="617"/>
      <c r="K267" s="1694">
        <f t="shared" si="22"/>
        <v>611</v>
      </c>
      <c r="L267" s="466">
        <v>865</v>
      </c>
    </row>
    <row r="268" spans="1:14" x14ac:dyDescent="0.2">
      <c r="A268" s="1526" t="s">
        <v>102</v>
      </c>
      <c r="B268" s="615">
        <v>2560</v>
      </c>
      <c r="C268" s="617"/>
      <c r="D268" s="466">
        <f>2219+1345+315</f>
        <v>3879</v>
      </c>
      <c r="E268" s="617"/>
      <c r="F268" s="617"/>
      <c r="G268" s="617"/>
      <c r="H268" s="617"/>
      <c r="I268" s="617"/>
      <c r="J268" s="617"/>
      <c r="K268" s="1694">
        <f t="shared" si="22"/>
        <v>3879</v>
      </c>
      <c r="L268" s="466">
        <v>4250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104208</v>
      </c>
      <c r="E270" s="617"/>
      <c r="F270" s="617"/>
      <c r="G270" s="617"/>
      <c r="H270" s="617"/>
      <c r="I270" s="617"/>
      <c r="J270" s="617"/>
      <c r="K270" s="1692">
        <f>SUM(K263:K269)</f>
        <v>104208</v>
      </c>
      <c r="L270" s="1692">
        <f>SUM(L263:L269)</f>
        <v>119115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159770</v>
      </c>
      <c r="E279" s="617"/>
      <c r="F279" s="617"/>
      <c r="G279" s="617"/>
      <c r="H279" s="617"/>
      <c r="I279" s="617"/>
      <c r="J279" s="617"/>
      <c r="K279" s="1699">
        <f>SUM(K238,K243,K257,K261,K270,K277,K278)</f>
        <v>159770</v>
      </c>
      <c r="L279" s="1699">
        <f>SUM(L238,L243,L257,L261,L270,L277,L278)</f>
        <v>178345</v>
      </c>
    </row>
    <row r="280" spans="1:12" ht="15.75" customHeight="1" thickTop="1" thickBot="1" x14ac:dyDescent="0.25">
      <c r="A280" s="1646" t="s">
        <v>930</v>
      </c>
      <c r="B280" s="1635">
        <v>3000</v>
      </c>
      <c r="C280" s="617"/>
      <c r="D280" s="576">
        <f>2767+2016+471</f>
        <v>5254</v>
      </c>
      <c r="E280" s="617"/>
      <c r="F280" s="617"/>
      <c r="G280" s="617"/>
      <c r="H280" s="617"/>
      <c r="I280" s="617"/>
      <c r="J280" s="617"/>
      <c r="K280" s="1701">
        <f>D280</f>
        <v>5254</v>
      </c>
      <c r="L280" s="576">
        <v>5850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227555.43</v>
      </c>
      <c r="E295" s="617"/>
      <c r="F295" s="617"/>
      <c r="G295" s="617"/>
      <c r="H295" s="1692">
        <f>H293</f>
        <v>0</v>
      </c>
      <c r="I295" s="617"/>
      <c r="J295" s="617"/>
      <c r="K295" s="1692">
        <f>SUM(K229,K279,K280,K285,K293,K294)</f>
        <v>227555.43</v>
      </c>
      <c r="L295" s="1692">
        <f>SUM(L229,L279,L280,L285,L293,L294)</f>
        <v>251865</v>
      </c>
    </row>
    <row r="296" spans="1:14" ht="13.5" thickTop="1" x14ac:dyDescent="0.2">
      <c r="A296" s="2174" t="s">
        <v>1053</v>
      </c>
      <c r="B296" s="2175"/>
      <c r="C296" s="617"/>
      <c r="D296" s="619"/>
      <c r="E296" s="617"/>
      <c r="F296" s="617"/>
      <c r="G296" s="617"/>
      <c r="H296" s="688"/>
      <c r="I296" s="617"/>
      <c r="J296" s="617"/>
      <c r="K296" s="1706">
        <f>'Revenues 9-14'!G275-'Expenditures 15-22'!K295</f>
        <v>13094.570000000007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29133</v>
      </c>
      <c r="F301" s="466"/>
      <c r="G301" s="466">
        <v>1595071</v>
      </c>
      <c r="H301" s="466"/>
      <c r="I301" s="467"/>
      <c r="J301" s="467"/>
      <c r="K301" s="1693">
        <f>SUM(C301:J301)</f>
        <v>1624204</v>
      </c>
      <c r="L301" s="467">
        <v>1629000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29133</v>
      </c>
      <c r="F303" s="1699">
        <f t="shared" si="23"/>
        <v>0</v>
      </c>
      <c r="G303" s="1699">
        <f t="shared" si="23"/>
        <v>1595071</v>
      </c>
      <c r="H303" s="1699">
        <f t="shared" si="23"/>
        <v>0</v>
      </c>
      <c r="I303" s="1699">
        <f t="shared" si="23"/>
        <v>0</v>
      </c>
      <c r="J303" s="1699">
        <f t="shared" si="23"/>
        <v>0</v>
      </c>
      <c r="K303" s="1699">
        <f t="shared" si="23"/>
        <v>1624204</v>
      </c>
      <c r="L303" s="1699">
        <f t="shared" si="23"/>
        <v>1629000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29133</v>
      </c>
      <c r="F312" s="1692">
        <f>SUM(F303)</f>
        <v>0</v>
      </c>
      <c r="G312" s="1692">
        <f>SUM(G303)</f>
        <v>1595071</v>
      </c>
      <c r="H312" s="1692">
        <f>SUM(H303,H310)</f>
        <v>0</v>
      </c>
      <c r="I312" s="1692">
        <f>SUM(I303)</f>
        <v>0</v>
      </c>
      <c r="J312" s="1692">
        <f>SUM(J303)</f>
        <v>0</v>
      </c>
      <c r="K312" s="1692">
        <f>SUM(K303,K310,K311)</f>
        <v>1624204</v>
      </c>
      <c r="L312" s="1692">
        <f>SUM(L303,L310,L311)</f>
        <v>1629000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-1298488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f>81967+36043</f>
        <v>118010</v>
      </c>
      <c r="F322" s="467"/>
      <c r="G322" s="467"/>
      <c r="H322" s="467"/>
      <c r="I322" s="467"/>
      <c r="J322" s="467"/>
      <c r="K322" s="1693">
        <f t="shared" si="24"/>
        <v>118010</v>
      </c>
      <c r="L322" s="467">
        <v>121000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40813</v>
      </c>
      <c r="F327" s="467"/>
      <c r="G327" s="467"/>
      <c r="H327" s="467"/>
      <c r="I327" s="467"/>
      <c r="J327" s="467"/>
      <c r="K327" s="1693">
        <f t="shared" si="24"/>
        <v>40813</v>
      </c>
      <c r="L327" s="467">
        <v>42000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158823</v>
      </c>
      <c r="F330" s="1692">
        <f t="shared" si="25"/>
        <v>0</v>
      </c>
      <c r="G330" s="1692">
        <f t="shared" si="25"/>
        <v>0</v>
      </c>
      <c r="H330" s="1692">
        <f t="shared" si="25"/>
        <v>0</v>
      </c>
      <c r="I330" s="1692">
        <f t="shared" si="25"/>
        <v>0</v>
      </c>
      <c r="J330" s="1692">
        <f t="shared" si="25"/>
        <v>0</v>
      </c>
      <c r="K330" s="1692">
        <f>SUM(K319:K329)</f>
        <v>158823</v>
      </c>
      <c r="L330" s="1692">
        <f>SUM(L319:L329)</f>
        <v>163000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158823</v>
      </c>
      <c r="F342" s="1692">
        <f>SUM(F330)</f>
        <v>0</v>
      </c>
      <c r="G342" s="1692">
        <f>SUM(G330)</f>
        <v>0</v>
      </c>
      <c r="H342" s="1692">
        <f>SUM(H330,H334,H340)</f>
        <v>0</v>
      </c>
      <c r="I342" s="1692">
        <f>SUM(I330)</f>
        <v>0</v>
      </c>
      <c r="J342" s="1692">
        <f>SUM(J330)</f>
        <v>0</v>
      </c>
      <c r="K342" s="1692">
        <f>SUM(K330,K334,K340)</f>
        <v>158823</v>
      </c>
      <c r="L342" s="1699">
        <f>SUM(L330,L340,L341)</f>
        <v>163000</v>
      </c>
    </row>
    <row r="343" spans="1:14" ht="12.75" customHeight="1" thickTop="1" x14ac:dyDescent="0.2">
      <c r="A343" s="2187" t="s">
        <v>1053</v>
      </c>
      <c r="B343" s="2188"/>
      <c r="C343" s="617"/>
      <c r="D343" s="617"/>
      <c r="E343" s="617"/>
      <c r="F343" s="617"/>
      <c r="G343" s="617"/>
      <c r="H343" s="617"/>
      <c r="I343" s="617"/>
      <c r="J343" s="617"/>
      <c r="K343" s="1706">
        <f>'Revenues 9-14'!J275-'Expenditures 15-22'!K342</f>
        <v>1186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96436</v>
      </c>
      <c r="F349" s="466"/>
      <c r="G349" s="466"/>
      <c r="H349" s="466"/>
      <c r="I349" s="467"/>
      <c r="J349" s="467"/>
      <c r="K349" s="1693">
        <f>SUM(C349:J349)</f>
        <v>96436</v>
      </c>
      <c r="L349" s="466">
        <v>99000</v>
      </c>
    </row>
    <row r="350" spans="1:14" ht="12.75" customHeight="1" thickBot="1" x14ac:dyDescent="0.25">
      <c r="A350" s="1690" t="s">
        <v>743</v>
      </c>
      <c r="B350" s="1691" t="s">
        <v>35</v>
      </c>
      <c r="C350" s="1692">
        <f>SUM(C348:C349)</f>
        <v>0</v>
      </c>
      <c r="D350" s="1692">
        <f t="shared" ref="D350:L350" si="26">SUM(D348:D349)</f>
        <v>0</v>
      </c>
      <c r="E350" s="1692">
        <f t="shared" si="26"/>
        <v>96436</v>
      </c>
      <c r="F350" s="1692">
        <f t="shared" si="26"/>
        <v>0</v>
      </c>
      <c r="G350" s="1692">
        <f t="shared" si="26"/>
        <v>0</v>
      </c>
      <c r="H350" s="1692">
        <f t="shared" si="26"/>
        <v>0</v>
      </c>
      <c r="I350" s="1692">
        <f t="shared" si="26"/>
        <v>0</v>
      </c>
      <c r="J350" s="1692">
        <f t="shared" si="26"/>
        <v>0</v>
      </c>
      <c r="K350" s="1692">
        <f t="shared" si="26"/>
        <v>96436</v>
      </c>
      <c r="L350" s="1692">
        <f t="shared" si="26"/>
        <v>99000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96436</v>
      </c>
      <c r="F352" s="1692">
        <f t="shared" si="27"/>
        <v>0</v>
      </c>
      <c r="G352" s="1692">
        <f t="shared" si="27"/>
        <v>0</v>
      </c>
      <c r="H352" s="1692">
        <f t="shared" si="27"/>
        <v>0</v>
      </c>
      <c r="I352" s="1692">
        <f t="shared" si="27"/>
        <v>0</v>
      </c>
      <c r="J352" s="1692">
        <f t="shared" si="27"/>
        <v>0</v>
      </c>
      <c r="K352" s="1692">
        <f t="shared" si="27"/>
        <v>96436</v>
      </c>
      <c r="L352" s="1692">
        <f t="shared" si="27"/>
        <v>99000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96436</v>
      </c>
      <c r="F367" s="1692">
        <f t="shared" si="28"/>
        <v>0</v>
      </c>
      <c r="G367" s="1692">
        <f t="shared" si="28"/>
        <v>0</v>
      </c>
      <c r="H367" s="1692">
        <f t="shared" si="28"/>
        <v>0</v>
      </c>
      <c r="I367" s="1692">
        <f t="shared" si="28"/>
        <v>0</v>
      </c>
      <c r="J367" s="1692">
        <f t="shared" si="28"/>
        <v>0</v>
      </c>
      <c r="K367" s="1692">
        <f t="shared" si="28"/>
        <v>96436</v>
      </c>
      <c r="L367" s="1692">
        <f t="shared" si="28"/>
        <v>99000</v>
      </c>
    </row>
    <row r="368" spans="1:14" ht="13.5" thickTop="1" x14ac:dyDescent="0.2">
      <c r="A368" s="2174" t="s">
        <v>1053</v>
      </c>
      <c r="B368" s="2175"/>
      <c r="C368" s="655"/>
      <c r="D368" s="655"/>
      <c r="E368" s="627"/>
      <c r="F368" s="627"/>
      <c r="G368" s="627"/>
      <c r="H368" s="627"/>
      <c r="I368" s="627"/>
      <c r="J368" s="624"/>
      <c r="K368" s="1693">
        <f>'Revenues 9-14'!K275-'Expenditures 15-22'!K367</f>
        <v>-63168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T43" sqref="AT4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1785562</v>
      </c>
      <c r="C4" s="1546"/>
      <c r="D4" s="1774">
        <f>B4-C4</f>
        <v>1785562</v>
      </c>
      <c r="E4" s="1546"/>
      <c r="F4" s="1774">
        <f>E4-C4</f>
        <v>0</v>
      </c>
    </row>
    <row r="5" spans="1:6" ht="13.7" customHeight="1" x14ac:dyDescent="0.2">
      <c r="A5" s="716" t="s">
        <v>925</v>
      </c>
      <c r="B5" s="1772">
        <f>'Revenues 9-14'!D5</f>
        <v>336398</v>
      </c>
      <c r="C5" s="585"/>
      <c r="D5" s="1775">
        <f t="shared" ref="D5:D18" si="0">B5-C5</f>
        <v>336398</v>
      </c>
      <c r="E5" s="585"/>
      <c r="F5" s="1775">
        <f>E5-C5</f>
        <v>0</v>
      </c>
    </row>
    <row r="6" spans="1:6" ht="13.7" customHeight="1" x14ac:dyDescent="0.2">
      <c r="A6" s="716" t="s">
        <v>431</v>
      </c>
      <c r="B6" s="1772">
        <f>'Revenues 9-14'!E5</f>
        <v>686099</v>
      </c>
      <c r="C6" s="585"/>
      <c r="D6" s="1775">
        <f t="shared" si="0"/>
        <v>686099</v>
      </c>
      <c r="E6" s="585"/>
      <c r="F6" s="1775">
        <f t="shared" ref="F6:F18" si="1">E6-C6</f>
        <v>0</v>
      </c>
    </row>
    <row r="7" spans="1:6" ht="13.7" customHeight="1" x14ac:dyDescent="0.2">
      <c r="A7" s="716" t="s">
        <v>157</v>
      </c>
      <c r="B7" s="1772">
        <f>'Revenues 9-14'!F5</f>
        <v>173549</v>
      </c>
      <c r="C7" s="585"/>
      <c r="D7" s="1775">
        <f t="shared" si="0"/>
        <v>173549</v>
      </c>
      <c r="E7" s="585"/>
      <c r="F7" s="1775">
        <f t="shared" si="1"/>
        <v>0</v>
      </c>
    </row>
    <row r="8" spans="1:6" ht="13.7" customHeight="1" x14ac:dyDescent="0.2">
      <c r="A8" s="716" t="s">
        <v>1241</v>
      </c>
      <c r="B8" s="1772">
        <f>'Revenues 9-14'!G5</f>
        <v>197292</v>
      </c>
      <c r="C8" s="585"/>
      <c r="D8" s="1775">
        <f t="shared" si="0"/>
        <v>197292</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31195</v>
      </c>
      <c r="C10" s="585"/>
      <c r="D10" s="1775">
        <f t="shared" si="0"/>
        <v>31195</v>
      </c>
      <c r="E10" s="585"/>
      <c r="F10" s="1775">
        <f t="shared" si="1"/>
        <v>0</v>
      </c>
    </row>
    <row r="11" spans="1:6" x14ac:dyDescent="0.2">
      <c r="A11" s="716" t="s">
        <v>429</v>
      </c>
      <c r="B11" s="1772">
        <f>'Revenues 9-14'!J5</f>
        <v>155982</v>
      </c>
      <c r="C11" s="585"/>
      <c r="D11" s="1775">
        <f t="shared" si="0"/>
        <v>155982</v>
      </c>
      <c r="E11" s="585"/>
      <c r="F11" s="1775">
        <f t="shared" si="1"/>
        <v>0</v>
      </c>
    </row>
    <row r="12" spans="1:6" ht="13.7" customHeight="1" x14ac:dyDescent="0.2">
      <c r="A12" s="716" t="s">
        <v>159</v>
      </c>
      <c r="B12" s="1772">
        <f>'Revenues 9-14'!K5</f>
        <v>31195</v>
      </c>
      <c r="C12" s="585"/>
      <c r="D12" s="1775">
        <f t="shared" si="0"/>
        <v>31195</v>
      </c>
      <c r="E12" s="585"/>
      <c r="F12" s="1775">
        <f t="shared" si="1"/>
        <v>0</v>
      </c>
    </row>
    <row r="13" spans="1:6" ht="13.7" customHeight="1" x14ac:dyDescent="0.2">
      <c r="A13" s="716" t="s">
        <v>993</v>
      </c>
      <c r="B13" s="1772">
        <f>SUM('Revenues 9-14'!C6:D6)</f>
        <v>7763</v>
      </c>
      <c r="C13" s="585"/>
      <c r="D13" s="1775">
        <f t="shared" si="0"/>
        <v>7763</v>
      </c>
      <c r="E13" s="585"/>
      <c r="F13" s="1775">
        <f t="shared" si="1"/>
        <v>0</v>
      </c>
    </row>
    <row r="14" spans="1:6" ht="13.7" customHeight="1" x14ac:dyDescent="0.2">
      <c r="A14" s="716" t="s">
        <v>430</v>
      </c>
      <c r="B14" s="1772">
        <f>SUM('Revenues 9-14'!C7:D7,'Revenues 9-14'!F7:H7)</f>
        <v>31195</v>
      </c>
      <c r="C14" s="585"/>
      <c r="D14" s="1775">
        <f t="shared" si="0"/>
        <v>31195</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3436230</v>
      </c>
      <c r="C19" s="1773">
        <f>SUM(C4:C18)</f>
        <v>0</v>
      </c>
      <c r="D19" s="1773">
        <f>SUM(D4:D18)</f>
        <v>3436230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8" colorId="8" zoomScale="110" zoomScaleNormal="110" workbookViewId="0">
      <selection activeCell="AT43" sqref="AT4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8" t="s">
        <v>2036</v>
      </c>
      <c r="D2" s="724" t="s">
        <v>2043</v>
      </c>
      <c r="E2" s="724" t="s">
        <v>2044</v>
      </c>
      <c r="F2" s="1908" t="s">
        <v>2037</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2093</v>
      </c>
      <c r="B31" s="734">
        <v>40197</v>
      </c>
      <c r="C31" s="735">
        <v>5696960</v>
      </c>
      <c r="D31" s="736">
        <v>8</v>
      </c>
      <c r="E31" s="735">
        <v>4117155</v>
      </c>
      <c r="F31" s="735"/>
      <c r="G31" s="735"/>
      <c r="H31" s="735">
        <v>442854</v>
      </c>
      <c r="I31" s="1778">
        <f>((E31+F31)-H31)+G31</f>
        <v>3674301</v>
      </c>
      <c r="J31" s="735">
        <v>2837276</v>
      </c>
      <c r="K31" s="737"/>
    </row>
    <row r="32" spans="1:11" ht="12" customHeight="1" x14ac:dyDescent="0.2">
      <c r="A32" s="733" t="s">
        <v>2094</v>
      </c>
      <c r="B32" s="734">
        <v>41244</v>
      </c>
      <c r="C32" s="735">
        <v>5500000</v>
      </c>
      <c r="D32" s="736">
        <v>7</v>
      </c>
      <c r="E32" s="735">
        <v>3815000</v>
      </c>
      <c r="F32" s="735"/>
      <c r="G32" s="735"/>
      <c r="H32" s="735">
        <v>585000</v>
      </c>
      <c r="I32" s="1778">
        <f>((E32+F32)-H32)+G32</f>
        <v>3230000</v>
      </c>
      <c r="J32" s="735">
        <v>3230000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11196960</v>
      </c>
      <c r="D49" s="746"/>
      <c r="E49" s="1778">
        <f t="shared" ref="E49:J49" si="2">SUM(E31:E48)</f>
        <v>7932155</v>
      </c>
      <c r="F49" s="1778">
        <f t="shared" si="2"/>
        <v>0</v>
      </c>
      <c r="G49" s="1778">
        <f t="shared" si="2"/>
        <v>0</v>
      </c>
      <c r="H49" s="1778">
        <f t="shared" si="2"/>
        <v>1027854</v>
      </c>
      <c r="I49" s="1778">
        <f t="shared" si="2"/>
        <v>6904301</v>
      </c>
      <c r="J49" s="1778">
        <f t="shared" si="2"/>
        <v>6067276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t="s">
        <v>2095</v>
      </c>
      <c r="G52" s="2206"/>
      <c r="H52" s="737"/>
      <c r="I52" s="737"/>
      <c r="J52" s="747"/>
    </row>
    <row r="53" spans="1:11" ht="11.25" customHeight="1" x14ac:dyDescent="0.2">
      <c r="A53" s="751" t="s">
        <v>969</v>
      </c>
      <c r="B53" s="752" t="s">
        <v>1008</v>
      </c>
      <c r="C53" s="747"/>
      <c r="D53" s="738"/>
      <c r="E53" s="750" t="s">
        <v>518</v>
      </c>
      <c r="F53" s="2207" t="s">
        <v>2096</v>
      </c>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T43" sqref="AT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31195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f>446627+303703</f>
        <v>750330</v>
      </c>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v>11750</v>
      </c>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31195</v>
      </c>
      <c r="I12" s="1780">
        <f>SUM(I5:I11)</f>
        <v>0</v>
      </c>
      <c r="J12" s="1780">
        <f>SUM(J5:J11)</f>
        <v>750330</v>
      </c>
      <c r="K12" s="1780">
        <f>SUM(K5:K11)</f>
        <v>11750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31195</v>
      </c>
      <c r="I14" s="772"/>
      <c r="J14" s="774"/>
      <c r="K14" s="766">
        <v>11750</v>
      </c>
    </row>
    <row r="15" spans="1:11" x14ac:dyDescent="0.2">
      <c r="A15" s="2236" t="s">
        <v>4</v>
      </c>
      <c r="B15" s="2236"/>
      <c r="C15" s="2236"/>
      <c r="D15" s="2236"/>
      <c r="E15" s="2237"/>
      <c r="F15" s="790" t="s">
        <v>910</v>
      </c>
      <c r="G15" s="772"/>
      <c r="H15" s="765"/>
      <c r="I15" s="765"/>
      <c r="J15" s="766">
        <v>446627</v>
      </c>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v>303703</v>
      </c>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303703</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31195</v>
      </c>
      <c r="I23" s="1780">
        <f>SUM(I14:I16,I21,I22)</f>
        <v>0</v>
      </c>
      <c r="J23" s="1780">
        <f>SUM(J14:J16,J21,J22)</f>
        <v>750330</v>
      </c>
      <c r="K23" s="1780">
        <f>SUM(K14:K16,K21,K22)</f>
        <v>11750</v>
      </c>
    </row>
    <row r="24" spans="1:11" ht="14.25" thickTop="1" thickBot="1" x14ac:dyDescent="0.25">
      <c r="A24" s="2266" t="s">
        <v>2024</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T43" sqref="AT4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81746</v>
      </c>
      <c r="D5" s="842"/>
      <c r="E5" s="842"/>
      <c r="F5" s="1782">
        <f>(C5+D5)-E5</f>
        <v>81746</v>
      </c>
      <c r="G5" s="838"/>
      <c r="H5" s="843"/>
      <c r="I5" s="843"/>
      <c r="J5" s="843"/>
      <c r="K5" s="794"/>
      <c r="L5" s="1791">
        <f>F5-K5</f>
        <v>81746</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12684081</v>
      </c>
      <c r="D8" s="845"/>
      <c r="E8" s="845"/>
      <c r="F8" s="1782">
        <f>(C8+D8)-E8</f>
        <v>12684081</v>
      </c>
      <c r="G8" s="844">
        <v>50</v>
      </c>
      <c r="H8" s="766">
        <v>6190413</v>
      </c>
      <c r="I8" s="766">
        <v>269277</v>
      </c>
      <c r="J8" s="766"/>
      <c r="K8" s="1791">
        <f>(H8+I8)-J8</f>
        <v>6459690</v>
      </c>
      <c r="L8" s="1791">
        <f>F8-K8</f>
        <v>6224391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9714931</v>
      </c>
      <c r="D10" s="847">
        <v>1702643</v>
      </c>
      <c r="E10" s="847"/>
      <c r="F10" s="1786">
        <f>(C10+D10)-E10</f>
        <v>11417574</v>
      </c>
      <c r="G10" s="844">
        <v>20</v>
      </c>
      <c r="H10" s="848">
        <v>2783066</v>
      </c>
      <c r="I10" s="848">
        <v>544154.39</v>
      </c>
      <c r="J10" s="848"/>
      <c r="K10" s="1791">
        <f>(H10+I10)-J10</f>
        <v>3327220.39</v>
      </c>
      <c r="L10" s="1791">
        <f>F10-K10</f>
        <v>8090353.6099999994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2517349</v>
      </c>
      <c r="D12" s="845">
        <v>30746</v>
      </c>
      <c r="E12" s="845"/>
      <c r="F12" s="1782">
        <f>(C12+D12)-E12</f>
        <v>2548095</v>
      </c>
      <c r="G12" s="844">
        <v>10</v>
      </c>
      <c r="H12" s="766">
        <v>2234982</v>
      </c>
      <c r="I12" s="766">
        <v>81102</v>
      </c>
      <c r="J12" s="766"/>
      <c r="K12" s="1791">
        <f>(H12+I12)-J12</f>
        <v>2316084</v>
      </c>
      <c r="L12" s="1791">
        <f>F12-K12</f>
        <v>232011</v>
      </c>
    </row>
    <row r="13" spans="1:14" ht="14.25" thickTop="1" thickBot="1" x14ac:dyDescent="0.25">
      <c r="A13" s="849" t="s">
        <v>1184</v>
      </c>
      <c r="B13" s="841">
        <v>252</v>
      </c>
      <c r="C13" s="845">
        <v>89626</v>
      </c>
      <c r="D13" s="845"/>
      <c r="E13" s="845"/>
      <c r="F13" s="1782">
        <f>(C13+D13)-E13</f>
        <v>89626</v>
      </c>
      <c r="G13" s="844">
        <v>5</v>
      </c>
      <c r="H13" s="766">
        <v>89626</v>
      </c>
      <c r="I13" s="766"/>
      <c r="J13" s="766"/>
      <c r="K13" s="1791">
        <f>(H13+I13)-J13</f>
        <v>89626</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v>133030</v>
      </c>
      <c r="D15" s="845"/>
      <c r="E15" s="845">
        <v>133030</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25220763</v>
      </c>
      <c r="D16" s="1782">
        <f>SUM(D3,D5:D6,D8:D10,D12:D15)</f>
        <v>1733389</v>
      </c>
      <c r="E16" s="1782">
        <f>SUM(E3,E5:E6,E8:E10,E12:E15)</f>
        <v>133030</v>
      </c>
      <c r="F16" s="1782">
        <f>SUM(F3,F5:F6,F8:F10,F12:F15)</f>
        <v>26821122</v>
      </c>
      <c r="G16" s="844"/>
      <c r="H16" s="1782">
        <f>SUM(H3,H6,H8:H10,H12:H14,)</f>
        <v>11298087</v>
      </c>
      <c r="I16" s="1782">
        <f>SUM(I3,I6,I8:I10,I12:I14,)</f>
        <v>894533.39</v>
      </c>
      <c r="J16" s="1782">
        <f>SUM(J3,J6,J8:J10,J12:J14,)</f>
        <v>0</v>
      </c>
      <c r="K16" s="1782">
        <f>(H16+I16)-J16</f>
        <v>12192620.390000001</v>
      </c>
      <c r="L16" s="1782">
        <f>F16-K16</f>
        <v>14628501.609999999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894533.39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2" activePane="bottomLeft" state="frozen"/>
      <selection activeCell="AT43" sqref="AT43"/>
      <selection pane="bottomLeft" activeCell="B189" sqref="B18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8343283</v>
      </c>
      <c r="G8" s="866"/>
    </row>
    <row r="9" spans="1:7" x14ac:dyDescent="0.2">
      <c r="A9" s="870" t="s">
        <v>480</v>
      </c>
      <c r="B9" s="871" t="s">
        <v>1988</v>
      </c>
      <c r="C9" s="872"/>
      <c r="D9" s="870" t="s">
        <v>522</v>
      </c>
      <c r="E9" s="869"/>
      <c r="F9" s="1934">
        <f>'Expenditures 15-22'!K151</f>
        <v>447774</v>
      </c>
      <c r="G9" s="873"/>
    </row>
    <row r="10" spans="1:7" x14ac:dyDescent="0.2">
      <c r="A10" s="870" t="s">
        <v>520</v>
      </c>
      <c r="B10" s="871" t="s">
        <v>1989</v>
      </c>
      <c r="C10" s="872"/>
      <c r="D10" s="870" t="s">
        <v>522</v>
      </c>
      <c r="E10" s="869"/>
      <c r="F10" s="1934">
        <f>'Expenditures 15-22'!K174</f>
        <v>1277271</v>
      </c>
      <c r="G10" s="873"/>
    </row>
    <row r="11" spans="1:7" x14ac:dyDescent="0.2">
      <c r="A11" s="870" t="s">
        <v>481</v>
      </c>
      <c r="B11" s="871" t="s">
        <v>1990</v>
      </c>
      <c r="C11" s="872"/>
      <c r="D11" s="870" t="s">
        <v>522</v>
      </c>
      <c r="E11" s="869"/>
      <c r="F11" s="1934">
        <f>'Expenditures 15-22'!K210</f>
        <v>385591</v>
      </c>
      <c r="G11" s="873"/>
    </row>
    <row r="12" spans="1:7" x14ac:dyDescent="0.2">
      <c r="A12" s="870" t="s">
        <v>482</v>
      </c>
      <c r="B12" s="871" t="s">
        <v>1991</v>
      </c>
      <c r="C12" s="872"/>
      <c r="D12" s="870" t="s">
        <v>522</v>
      </c>
      <c r="E12" s="869"/>
      <c r="F12" s="1934">
        <f>'Expenditures 15-22'!K295</f>
        <v>227555.43</v>
      </c>
      <c r="G12" s="873"/>
    </row>
    <row r="13" spans="1:7" x14ac:dyDescent="0.2">
      <c r="A13" s="870" t="s">
        <v>108</v>
      </c>
      <c r="B13" s="871" t="s">
        <v>1992</v>
      </c>
      <c r="C13" s="872"/>
      <c r="D13" s="870" t="s">
        <v>522</v>
      </c>
      <c r="E13" s="869"/>
      <c r="F13" s="1934">
        <f>'Expenditures 15-22'!K342</f>
        <v>158823</v>
      </c>
      <c r="G13" s="874"/>
    </row>
    <row r="14" spans="1:7" ht="12" customHeight="1" thickBot="1" x14ac:dyDescent="0.25">
      <c r="A14" s="1792"/>
      <c r="B14" s="1793"/>
      <c r="C14" s="1794"/>
      <c r="D14" s="1795" t="s">
        <v>522</v>
      </c>
      <c r="E14" s="1796" t="s">
        <v>1015</v>
      </c>
      <c r="F14" s="1797">
        <f>SUM(F8:F13)</f>
        <v>10840297.43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36296</v>
      </c>
      <c r="G52" s="866"/>
    </row>
    <row r="53" spans="1:7" x14ac:dyDescent="0.2">
      <c r="A53" s="870" t="s">
        <v>479</v>
      </c>
      <c r="B53" s="870" t="s">
        <v>1551</v>
      </c>
      <c r="C53" s="890">
        <f>'Expenditures 15-22'!B102</f>
        <v>4000</v>
      </c>
      <c r="D53" s="889" t="str">
        <f>'Expenditures 15-22'!A102</f>
        <v>Total Payments to Other Govt Units</v>
      </c>
      <c r="E53" s="869"/>
      <c r="F53" s="1938">
        <f>'Expenditures 15-22'!K102</f>
        <v>1308870</v>
      </c>
      <c r="G53" s="866"/>
    </row>
    <row r="54" spans="1:7" x14ac:dyDescent="0.2">
      <c r="A54" s="870" t="s">
        <v>479</v>
      </c>
      <c r="B54" s="870" t="s">
        <v>1552</v>
      </c>
      <c r="C54" s="890" t="s">
        <v>1039</v>
      </c>
      <c r="D54" s="886" t="s">
        <v>1157</v>
      </c>
      <c r="E54" s="869"/>
      <c r="F54" s="1938">
        <f>'Expenditures 15-22'!G114</f>
        <v>30746</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3809</v>
      </c>
      <c r="G56" s="866"/>
    </row>
    <row r="57" spans="1:7" x14ac:dyDescent="0.2">
      <c r="A57" s="870" t="s">
        <v>480</v>
      </c>
      <c r="B57" s="870" t="s">
        <v>1993</v>
      </c>
      <c r="C57" s="890">
        <f>'Expenditures 15-22'!B139</f>
        <v>4000</v>
      </c>
      <c r="D57" s="888" t="str">
        <f>'Expenditures 15-22'!A139</f>
        <v>Total Payments to Other Govt Units</v>
      </c>
      <c r="E57" s="869"/>
      <c r="F57" s="1938">
        <f>'Expenditures 15-22'!K139</f>
        <v>634</v>
      </c>
      <c r="G57" s="866"/>
    </row>
    <row r="58" spans="1:7" x14ac:dyDescent="0.2">
      <c r="A58" s="870" t="s">
        <v>480</v>
      </c>
      <c r="B58" s="870" t="s">
        <v>1994</v>
      </c>
      <c r="C58" s="887" t="s">
        <v>1039</v>
      </c>
      <c r="D58" s="886" t="s">
        <v>1157</v>
      </c>
      <c r="E58" s="869"/>
      <c r="F58" s="1940">
        <f>'Expenditures 15-22'!G151</f>
        <v>31699</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1027854</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58604</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0</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5254</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2503766</v>
      </c>
      <c r="G76" s="866"/>
    </row>
    <row r="77" spans="1:8" s="894" customFormat="1" ht="12" customHeight="1" thickTop="1" thickBot="1" x14ac:dyDescent="0.25">
      <c r="A77" s="1801"/>
      <c r="B77" s="1798"/>
      <c r="C77" s="1794"/>
      <c r="D77" s="1799" t="s">
        <v>2011</v>
      </c>
      <c r="E77" s="1796"/>
      <c r="F77" s="1802">
        <f>(F14-F76)</f>
        <v>8336531.4299999997</v>
      </c>
      <c r="G77" s="870"/>
    </row>
    <row r="78" spans="1:8" s="894" customFormat="1" ht="12" customHeight="1" thickTop="1" x14ac:dyDescent="0.2">
      <c r="A78" s="1803"/>
      <c r="B78" s="1798"/>
      <c r="C78" s="1794"/>
      <c r="D78" s="1799" t="s">
        <v>2057</v>
      </c>
      <c r="E78" s="1796"/>
      <c r="F78" s="899">
        <v>965.72</v>
      </c>
      <c r="G78" s="900"/>
      <c r="H78" s="870"/>
    </row>
    <row r="79" spans="1:8" s="894" customFormat="1" ht="12" customHeight="1" thickBot="1" x14ac:dyDescent="0.25">
      <c r="A79" s="1804"/>
      <c r="B79" s="1798"/>
      <c r="C79" s="1794"/>
      <c r="D79" s="1799" t="s">
        <v>2012</v>
      </c>
      <c r="E79" s="1796" t="s">
        <v>1015</v>
      </c>
      <c r="F79" s="1805">
        <f>IF(F78&gt;0,F77/F78," Complete Line 78")</f>
        <v>8632.4518804622458</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5910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179841</v>
      </c>
      <c r="G94" s="913"/>
    </row>
    <row r="95" spans="1:7" x14ac:dyDescent="0.2">
      <c r="A95" s="909" t="s">
        <v>142</v>
      </c>
      <c r="B95" s="909" t="s">
        <v>177</v>
      </c>
      <c r="C95" s="911">
        <v>1700</v>
      </c>
      <c r="D95" s="919" t="str">
        <f>'Revenues 9-14'!A82</f>
        <v>Total District/School Activity Income</v>
      </c>
      <c r="E95" s="907"/>
      <c r="F95" s="1811">
        <f>SUM('Revenues 9-14'!C82,'Revenues 9-14'!D82)</f>
        <v>44649</v>
      </c>
      <c r="G95" s="913"/>
    </row>
    <row r="96" spans="1:7" x14ac:dyDescent="0.2">
      <c r="A96" s="909" t="s">
        <v>479</v>
      </c>
      <c r="B96" s="909" t="s">
        <v>178</v>
      </c>
      <c r="C96" s="911">
        <f>'Revenues 9-14'!B84</f>
        <v>1811</v>
      </c>
      <c r="D96" s="912" t="str">
        <f>'Revenues 9-14'!A84</f>
        <v>Rentals - Regular Textbooks</v>
      </c>
      <c r="E96" s="907"/>
      <c r="F96" s="1811">
        <f>'Revenues 9-14'!C84</f>
        <v>22646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24653</v>
      </c>
      <c r="G104" s="913"/>
    </row>
    <row r="105" spans="1:7" x14ac:dyDescent="0.2">
      <c r="A105" s="909" t="s">
        <v>524</v>
      </c>
      <c r="B105" s="909" t="s">
        <v>842</v>
      </c>
      <c r="C105" s="914">
        <v>3100</v>
      </c>
      <c r="D105" s="920" t="str">
        <f>'Revenues 9-14'!A131</f>
        <v>Total Special Education</v>
      </c>
      <c r="E105" s="907"/>
      <c r="F105" s="1811">
        <f>SUM('Revenues 9-14'!C131:D131,'Revenues 9-14'!F131)</f>
        <v>110034.4</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28253</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4887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14116</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241349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1544</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346221</v>
      </c>
      <c r="G129" s="931"/>
    </row>
    <row r="130" spans="1:7" x14ac:dyDescent="0.2">
      <c r="A130" s="928" t="s">
        <v>689</v>
      </c>
      <c r="B130" s="928" t="s">
        <v>804</v>
      </c>
      <c r="C130" s="933">
        <v>4300</v>
      </c>
      <c r="D130" s="934" t="str">
        <f>'Revenues 9-14'!A211</f>
        <v>Total Title I</v>
      </c>
      <c r="E130" s="907"/>
      <c r="F130" s="1811">
        <f>SUM('Revenues 9-14'!C211,'Revenues 9-14'!D211,'Revenues 9-14'!F211,'Revenues 9-14'!G211)</f>
        <v>382568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5707</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9506</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2056</v>
      </c>
      <c r="C175" s="1945">
        <v>3100</v>
      </c>
      <c r="D175" s="1946" t="s">
        <v>2059</v>
      </c>
      <c r="E175" s="907"/>
      <c r="F175" s="1930">
        <v>192013</v>
      </c>
      <c r="G175" s="928"/>
    </row>
    <row r="176" spans="1:7" x14ac:dyDescent="0.2">
      <c r="A176" s="1943" t="s">
        <v>685</v>
      </c>
      <c r="B176" s="1944" t="s">
        <v>2056</v>
      </c>
      <c r="C176" s="1945">
        <v>3300</v>
      </c>
      <c r="D176" s="1946" t="s">
        <v>2060</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1613897.4</v>
      </c>
    </row>
    <row r="179" spans="1:7" ht="12" customHeight="1" x14ac:dyDescent="0.2">
      <c r="A179" s="1792"/>
      <c r="B179" s="1806"/>
      <c r="C179" s="1807"/>
      <c r="D179" s="1808" t="s">
        <v>2014</v>
      </c>
      <c r="E179" s="1809"/>
      <c r="F179" s="1811">
        <f>'PCTC-OEPP 27-28'!F77-F178</f>
        <v>6722634.0299999993</v>
      </c>
    </row>
    <row r="180" spans="1:7" ht="12" customHeight="1" x14ac:dyDescent="0.2">
      <c r="A180" s="1792"/>
      <c r="B180" s="1806"/>
      <c r="C180" s="1807"/>
      <c r="D180" s="1808" t="s">
        <v>1924</v>
      </c>
      <c r="E180" s="1809"/>
      <c r="F180" s="1811">
        <f>'Cap Outlay Deprec 26'!I18</f>
        <v>894533.39</v>
      </c>
    </row>
    <row r="181" spans="1:7" ht="12" customHeight="1" x14ac:dyDescent="0.2">
      <c r="A181" s="1792"/>
      <c r="B181" s="1806"/>
      <c r="C181" s="1807"/>
      <c r="D181" s="1808" t="s">
        <v>2015</v>
      </c>
      <c r="E181" s="1809"/>
      <c r="F181" s="1811">
        <f>F179+F180</f>
        <v>7617167.419999999</v>
      </c>
    </row>
    <row r="182" spans="1:7" ht="12" customHeight="1" x14ac:dyDescent="0.2">
      <c r="A182" s="1792"/>
      <c r="B182" s="1812"/>
      <c r="C182" s="1807"/>
      <c r="D182" s="1808" t="str">
        <f>D78</f>
        <v>9 Month ADA from District Average Daily Attendance/Prior General State Aid Inquiry 2017-2018</v>
      </c>
      <c r="E182" s="1809"/>
      <c r="F182" s="1813">
        <f>'PCTC-OEPP 27-28'!F78</f>
        <v>965.72</v>
      </c>
      <c r="G182" s="931"/>
    </row>
    <row r="183" spans="1:7" ht="12" customHeight="1" thickBot="1" x14ac:dyDescent="0.25">
      <c r="A183" s="1792"/>
      <c r="B183" s="1812"/>
      <c r="C183" s="1807"/>
      <c r="D183" s="1808" t="s">
        <v>2016</v>
      </c>
      <c r="E183" s="1809" t="s">
        <v>1626</v>
      </c>
      <c r="F183" s="1814">
        <f>F181/F182</f>
        <v>7887.5527274986525</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T43" sqref="AT43"/>
      <selection pane="bottomLeft" activeCell="B19" sqref="B1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2097</v>
      </c>
      <c r="B17" s="2505" t="s">
        <v>2131</v>
      </c>
      <c r="C17" s="1956" t="s">
        <v>2098</v>
      </c>
      <c r="D17" s="1867">
        <v>417034</v>
      </c>
      <c r="E17" s="1562">
        <f>IF(D17&lt;=25000,D17,IF(D17&gt;25000,25000,0))</f>
        <v>25000</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6">
        <f>IF(F17=0,0,D17-F17)</f>
        <v>392034</v>
      </c>
      <c r="H17" s="1669"/>
    </row>
    <row r="18" spans="1:8" x14ac:dyDescent="0.25">
      <c r="A18" s="1957" t="s">
        <v>157</v>
      </c>
      <c r="B18" s="2505" t="s">
        <v>2132</v>
      </c>
      <c r="C18" s="1959" t="s">
        <v>2120</v>
      </c>
      <c r="D18" s="1867">
        <v>289901</v>
      </c>
      <c r="E18" s="1562">
        <f t="shared" ref="E18:E140" si="0">IF(D18&lt;=25000,D18,IF(D18&gt;25000,25000,0))</f>
        <v>25000</v>
      </c>
      <c r="F18" s="1815">
        <f t="shared" ref="F18:F140"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2">IF(F18=0,0,D18-F18)</f>
        <v>264901</v>
      </c>
    </row>
    <row r="19" spans="1:8" x14ac:dyDescent="0.25">
      <c r="A19" s="1957" t="s">
        <v>157</v>
      </c>
      <c r="B19" s="1958" t="s">
        <v>2121</v>
      </c>
      <c r="C19" s="1959" t="s">
        <v>2120</v>
      </c>
      <c r="D19" s="1867">
        <v>11254</v>
      </c>
      <c r="E19" s="1562">
        <f t="shared" si="0"/>
        <v>11254</v>
      </c>
      <c r="F19" s="1815">
        <f t="shared" si="1"/>
        <v>0</v>
      </c>
      <c r="G19" s="1816">
        <f t="shared" si="2"/>
        <v>0</v>
      </c>
    </row>
    <row r="20" spans="1:8" x14ac:dyDescent="0.25">
      <c r="A20" s="1957" t="s">
        <v>157</v>
      </c>
      <c r="B20" s="1958" t="s">
        <v>2122</v>
      </c>
      <c r="C20" s="1959" t="s">
        <v>2120</v>
      </c>
      <c r="D20" s="1867">
        <f>427+761+1105</f>
        <v>2293</v>
      </c>
      <c r="E20" s="1562">
        <f t="shared" si="0"/>
        <v>2293</v>
      </c>
      <c r="F20" s="1815">
        <f t="shared" si="1"/>
        <v>0</v>
      </c>
      <c r="G20" s="1816">
        <f t="shared" si="2"/>
        <v>0</v>
      </c>
    </row>
    <row r="21" spans="1:8" x14ac:dyDescent="0.25">
      <c r="A21" s="1957" t="s">
        <v>157</v>
      </c>
      <c r="B21" s="1958" t="s">
        <v>2123</v>
      </c>
      <c r="C21" s="1959" t="s">
        <v>2120</v>
      </c>
      <c r="D21" s="1867">
        <v>1765</v>
      </c>
      <c r="E21" s="1562">
        <f t="shared" si="0"/>
        <v>1765</v>
      </c>
      <c r="F21" s="1815">
        <f t="shared" si="1"/>
        <v>0</v>
      </c>
      <c r="G21" s="1816">
        <f t="shared" si="2"/>
        <v>0</v>
      </c>
    </row>
    <row r="22" spans="1:8" x14ac:dyDescent="0.25">
      <c r="A22" s="1957" t="s">
        <v>157</v>
      </c>
      <c r="B22" s="1958" t="s">
        <v>2124</v>
      </c>
      <c r="C22" s="1959" t="s">
        <v>2120</v>
      </c>
      <c r="D22" s="1867">
        <f>3985+1469</f>
        <v>5454</v>
      </c>
      <c r="E22" s="1562">
        <f t="shared" si="0"/>
        <v>5454</v>
      </c>
      <c r="F22" s="1815">
        <f t="shared" si="1"/>
        <v>0</v>
      </c>
      <c r="G22" s="1816">
        <f t="shared" si="2"/>
        <v>0</v>
      </c>
    </row>
    <row r="23" spans="1:8" x14ac:dyDescent="0.25">
      <c r="A23" s="1957" t="s">
        <v>157</v>
      </c>
      <c r="B23" s="1958" t="s">
        <v>2125</v>
      </c>
      <c r="C23" s="1959" t="s">
        <v>2120</v>
      </c>
      <c r="D23" s="1867">
        <f>2276+709</f>
        <v>2985</v>
      </c>
      <c r="E23" s="1562">
        <f t="shared" si="0"/>
        <v>2985</v>
      </c>
      <c r="F23" s="1815">
        <f t="shared" si="1"/>
        <v>0</v>
      </c>
      <c r="G23" s="1816">
        <f t="shared" si="2"/>
        <v>0</v>
      </c>
    </row>
    <row r="24" spans="1:8" x14ac:dyDescent="0.25">
      <c r="A24" s="1957" t="s">
        <v>157</v>
      </c>
      <c r="B24" s="1958" t="s">
        <v>2126</v>
      </c>
      <c r="C24" s="1959" t="s">
        <v>2120</v>
      </c>
      <c r="D24" s="1867">
        <f>1503+696</f>
        <v>2199</v>
      </c>
      <c r="E24" s="1562">
        <f t="shared" si="0"/>
        <v>2199</v>
      </c>
      <c r="F24" s="1815">
        <f t="shared" si="1"/>
        <v>0</v>
      </c>
      <c r="G24" s="1816">
        <f t="shared" si="2"/>
        <v>0</v>
      </c>
    </row>
    <row r="25" spans="1:8" x14ac:dyDescent="0.25">
      <c r="A25" s="1957" t="s">
        <v>157</v>
      </c>
      <c r="B25" s="1958" t="s">
        <v>2127</v>
      </c>
      <c r="C25" s="1959" t="s">
        <v>2120</v>
      </c>
      <c r="D25" s="1867">
        <f>1551+950</f>
        <v>2501</v>
      </c>
      <c r="E25" s="1562">
        <f t="shared" si="0"/>
        <v>2501</v>
      </c>
      <c r="F25" s="1815">
        <f t="shared" si="1"/>
        <v>0</v>
      </c>
      <c r="G25" s="1816">
        <f t="shared" si="2"/>
        <v>0</v>
      </c>
    </row>
    <row r="26" spans="1:8" x14ac:dyDescent="0.25">
      <c r="A26" s="1957" t="s">
        <v>157</v>
      </c>
      <c r="B26" s="1958" t="s">
        <v>2128</v>
      </c>
      <c r="C26" s="1959" t="s">
        <v>2120</v>
      </c>
      <c r="D26" s="1867">
        <f>3121+270</f>
        <v>3391</v>
      </c>
      <c r="E26" s="1562">
        <f t="shared" si="0"/>
        <v>3391</v>
      </c>
      <c r="F26" s="1815">
        <f t="shared" si="1"/>
        <v>0</v>
      </c>
      <c r="G26" s="1816">
        <f t="shared" si="2"/>
        <v>0</v>
      </c>
    </row>
    <row r="27" spans="1:8" x14ac:dyDescent="0.25">
      <c r="A27" s="1957"/>
      <c r="B27" s="1868"/>
      <c r="C27" s="1959"/>
      <c r="D27" s="1867"/>
      <c r="E27" s="1562">
        <f t="shared" si="0"/>
        <v>0</v>
      </c>
      <c r="F27" s="1815">
        <f t="shared" si="1"/>
        <v>0</v>
      </c>
      <c r="G27" s="1816">
        <f t="shared" si="2"/>
        <v>0</v>
      </c>
    </row>
    <row r="28" spans="1:8" x14ac:dyDescent="0.25">
      <c r="A28" s="1675"/>
      <c r="B28" s="1868"/>
      <c r="C28" s="1676"/>
      <c r="D28" s="1867"/>
      <c r="E28" s="1562">
        <f t="shared" si="0"/>
        <v>0</v>
      </c>
      <c r="F28" s="1815">
        <f t="shared" si="1"/>
        <v>0</v>
      </c>
      <c r="G28" s="1816">
        <f t="shared" si="2"/>
        <v>0</v>
      </c>
    </row>
    <row r="29" spans="1:8" x14ac:dyDescent="0.25">
      <c r="A29" s="1675"/>
      <c r="B29" s="1868"/>
      <c r="C29" s="1676"/>
      <c r="D29" s="1867"/>
      <c r="E29" s="1562">
        <f t="shared" si="0"/>
        <v>0</v>
      </c>
      <c r="F29" s="1815">
        <f t="shared" si="1"/>
        <v>0</v>
      </c>
      <c r="G29" s="1816">
        <f t="shared" si="2"/>
        <v>0</v>
      </c>
    </row>
    <row r="30" spans="1:8" x14ac:dyDescent="0.25">
      <c r="A30" s="1675"/>
      <c r="B30" s="1868"/>
      <c r="C30" s="1676"/>
      <c r="D30" s="1867"/>
      <c r="E30" s="1562">
        <f t="shared" si="0"/>
        <v>0</v>
      </c>
      <c r="F30" s="1815">
        <f t="shared" si="1"/>
        <v>0</v>
      </c>
      <c r="G30" s="1816">
        <f t="shared" si="2"/>
        <v>0</v>
      </c>
    </row>
    <row r="31" spans="1:8" x14ac:dyDescent="0.25">
      <c r="A31" s="1675"/>
      <c r="B31" s="1868"/>
      <c r="C31" s="1676"/>
      <c r="D31" s="1867"/>
      <c r="E31" s="1562">
        <f t="shared" si="0"/>
        <v>0</v>
      </c>
      <c r="F31" s="1815">
        <f t="shared" si="1"/>
        <v>0</v>
      </c>
      <c r="G31" s="1816">
        <f t="shared" si="2"/>
        <v>0</v>
      </c>
    </row>
    <row r="32" spans="1:8" x14ac:dyDescent="0.25">
      <c r="A32" s="1675"/>
      <c r="B32" s="1868"/>
      <c r="C32" s="1676"/>
      <c r="D32" s="1867"/>
      <c r="E32" s="1562">
        <f t="shared" si="0"/>
        <v>0</v>
      </c>
      <c r="F32" s="1815">
        <f t="shared" si="1"/>
        <v>0</v>
      </c>
      <c r="G32" s="1816">
        <f t="shared" si="2"/>
        <v>0</v>
      </c>
    </row>
    <row r="33" spans="1:7" x14ac:dyDescent="0.25">
      <c r="A33" s="1675"/>
      <c r="B33" s="1868"/>
      <c r="C33" s="1676"/>
      <c r="D33" s="1867"/>
      <c r="E33" s="1562">
        <f t="shared" si="0"/>
        <v>0</v>
      </c>
      <c r="F33" s="1815">
        <f t="shared" si="1"/>
        <v>0</v>
      </c>
      <c r="G33" s="1816">
        <f t="shared" si="2"/>
        <v>0</v>
      </c>
    </row>
    <row r="34" spans="1:7" x14ac:dyDescent="0.25">
      <c r="A34" s="1675"/>
      <c r="B34" s="1868"/>
      <c r="C34" s="1676"/>
      <c r="D34" s="1867"/>
      <c r="E34" s="1562">
        <f t="shared" si="0"/>
        <v>0</v>
      </c>
      <c r="F34" s="1815">
        <f t="shared" si="1"/>
        <v>0</v>
      </c>
      <c r="G34" s="1816">
        <f t="shared" si="2"/>
        <v>0</v>
      </c>
    </row>
    <row r="35" spans="1:7" x14ac:dyDescent="0.25">
      <c r="A35" s="1675"/>
      <c r="B35" s="1868"/>
      <c r="C35" s="1676"/>
      <c r="D35" s="1867"/>
      <c r="E35" s="1562">
        <f t="shared" si="0"/>
        <v>0</v>
      </c>
      <c r="F35" s="1815">
        <f t="shared" si="1"/>
        <v>0</v>
      </c>
      <c r="G35" s="1816">
        <f t="shared" si="2"/>
        <v>0</v>
      </c>
    </row>
    <row r="36" spans="1:7" x14ac:dyDescent="0.25">
      <c r="A36" s="1675"/>
      <c r="B36" s="1868"/>
      <c r="C36" s="1676"/>
      <c r="D36" s="1867"/>
      <c r="E36" s="1562">
        <f t="shared" si="0"/>
        <v>0</v>
      </c>
      <c r="F36" s="1815">
        <f t="shared" si="1"/>
        <v>0</v>
      </c>
      <c r="G36" s="1816">
        <f t="shared" si="2"/>
        <v>0</v>
      </c>
    </row>
    <row r="37" spans="1:7" x14ac:dyDescent="0.25">
      <c r="A37" s="1675"/>
      <c r="B37" s="1868"/>
      <c r="C37" s="1676"/>
      <c r="D37" s="1867"/>
      <c r="E37" s="1562">
        <f t="shared" si="0"/>
        <v>0</v>
      </c>
      <c r="F37" s="1815">
        <f t="shared" si="1"/>
        <v>0</v>
      </c>
      <c r="G37" s="1816">
        <f t="shared" si="2"/>
        <v>0</v>
      </c>
    </row>
    <row r="38" spans="1:7" x14ac:dyDescent="0.25">
      <c r="A38" s="1675"/>
      <c r="B38" s="1689"/>
      <c r="C38" s="1676"/>
      <c r="D38" s="1867"/>
      <c r="E38" s="1562">
        <f t="shared" si="0"/>
        <v>0</v>
      </c>
      <c r="F38" s="1815">
        <f t="shared" si="1"/>
        <v>0</v>
      </c>
      <c r="G38" s="1816">
        <f t="shared" si="2"/>
        <v>0</v>
      </c>
    </row>
    <row r="39" spans="1:7" x14ac:dyDescent="0.25">
      <c r="A39" s="1675"/>
      <c r="B39" s="1689"/>
      <c r="C39" s="1676"/>
      <c r="D39" s="1867"/>
      <c r="E39" s="1562">
        <f t="shared" si="0"/>
        <v>0</v>
      </c>
      <c r="F39" s="1815">
        <f t="shared" si="1"/>
        <v>0</v>
      </c>
      <c r="G39" s="1816">
        <f t="shared" si="2"/>
        <v>0</v>
      </c>
    </row>
    <row r="40" spans="1:7" x14ac:dyDescent="0.25">
      <c r="A40" s="1675"/>
      <c r="B40" s="1689"/>
      <c r="C40" s="1676"/>
      <c r="D40" s="1867"/>
      <c r="E40" s="1562">
        <f t="shared" si="0"/>
        <v>0</v>
      </c>
      <c r="F40" s="1815">
        <f t="shared" si="1"/>
        <v>0</v>
      </c>
      <c r="G40" s="1816">
        <f t="shared" si="2"/>
        <v>0</v>
      </c>
    </row>
    <row r="41" spans="1:7" x14ac:dyDescent="0.25">
      <c r="A41" s="1675"/>
      <c r="B41" s="1689"/>
      <c r="C41" s="1676"/>
      <c r="D41" s="1867"/>
      <c r="E41" s="1562">
        <f t="shared" si="0"/>
        <v>0</v>
      </c>
      <c r="F41" s="1815">
        <f t="shared" si="1"/>
        <v>0</v>
      </c>
      <c r="G41" s="1816">
        <f t="shared" si="2"/>
        <v>0</v>
      </c>
    </row>
    <row r="42" spans="1:7" x14ac:dyDescent="0.25">
      <c r="A42" s="1675"/>
      <c r="B42" s="1689"/>
      <c r="C42" s="1676"/>
      <c r="D42" s="1867"/>
      <c r="E42" s="1562">
        <f t="shared" si="0"/>
        <v>0</v>
      </c>
      <c r="F42" s="1815">
        <f t="shared" si="1"/>
        <v>0</v>
      </c>
      <c r="G42" s="1816">
        <f t="shared" si="2"/>
        <v>0</v>
      </c>
    </row>
    <row r="43" spans="1:7" x14ac:dyDescent="0.25">
      <c r="A43" s="1675"/>
      <c r="B43" s="1689"/>
      <c r="C43" s="1676"/>
      <c r="D43" s="1867"/>
      <c r="E43" s="1562">
        <f t="shared" si="0"/>
        <v>0</v>
      </c>
      <c r="F43" s="1815">
        <f t="shared" si="1"/>
        <v>0</v>
      </c>
      <c r="G43" s="1816">
        <f t="shared" si="2"/>
        <v>0</v>
      </c>
    </row>
    <row r="44" spans="1:7" x14ac:dyDescent="0.25">
      <c r="A44" s="1675"/>
      <c r="B44" s="1689"/>
      <c r="C44" s="1676"/>
      <c r="D44" s="1867"/>
      <c r="E44" s="1562">
        <f t="shared" si="0"/>
        <v>0</v>
      </c>
      <c r="F44" s="1815">
        <f t="shared" si="1"/>
        <v>0</v>
      </c>
      <c r="G44" s="1816">
        <f t="shared" si="2"/>
        <v>0</v>
      </c>
    </row>
    <row r="45" spans="1:7" x14ac:dyDescent="0.25">
      <c r="A45" s="1675"/>
      <c r="B45" s="1689"/>
      <c r="C45" s="1676"/>
      <c r="D45" s="1867"/>
      <c r="E45" s="1562">
        <f t="shared" si="0"/>
        <v>0</v>
      </c>
      <c r="F45" s="1815">
        <f t="shared" si="1"/>
        <v>0</v>
      </c>
      <c r="G45" s="1816">
        <f t="shared" si="2"/>
        <v>0</v>
      </c>
    </row>
    <row r="46" spans="1:7" x14ac:dyDescent="0.25">
      <c r="A46" s="1675"/>
      <c r="B46" s="1689"/>
      <c r="C46" s="1676"/>
      <c r="D46" s="1867"/>
      <c r="E46" s="1562">
        <f t="shared" si="0"/>
        <v>0</v>
      </c>
      <c r="F46" s="1815">
        <f t="shared" si="1"/>
        <v>0</v>
      </c>
      <c r="G46" s="1816">
        <f t="shared" si="2"/>
        <v>0</v>
      </c>
    </row>
    <row r="47" spans="1:7" x14ac:dyDescent="0.25">
      <c r="A47" s="1675"/>
      <c r="B47" s="1689"/>
      <c r="C47" s="1676"/>
      <c r="D47" s="1867"/>
      <c r="E47" s="1562">
        <f t="shared" si="0"/>
        <v>0</v>
      </c>
      <c r="F47" s="1815">
        <f t="shared" si="1"/>
        <v>0</v>
      </c>
      <c r="G47" s="1816">
        <f t="shared" si="2"/>
        <v>0</v>
      </c>
    </row>
    <row r="48" spans="1:7" x14ac:dyDescent="0.25">
      <c r="A48" s="1675"/>
      <c r="B48" s="1689"/>
      <c r="C48" s="1676"/>
      <c r="D48" s="1867"/>
      <c r="E48" s="1562">
        <f t="shared" si="0"/>
        <v>0</v>
      </c>
      <c r="F48" s="1815">
        <f t="shared" si="1"/>
        <v>0</v>
      </c>
      <c r="G48" s="1816">
        <f t="shared" si="2"/>
        <v>0</v>
      </c>
    </row>
    <row r="49" spans="1:7" x14ac:dyDescent="0.25">
      <c r="A49" s="1675"/>
      <c r="B49" s="1689"/>
      <c r="C49" s="1676"/>
      <c r="D49" s="1867"/>
      <c r="E49" s="1562">
        <f t="shared" si="0"/>
        <v>0</v>
      </c>
      <c r="F49" s="1815">
        <f t="shared" si="1"/>
        <v>0</v>
      </c>
      <c r="G49" s="1816">
        <f t="shared" si="2"/>
        <v>0</v>
      </c>
    </row>
    <row r="50" spans="1:7" x14ac:dyDescent="0.25">
      <c r="A50" s="1675"/>
      <c r="B50" s="1689"/>
      <c r="C50" s="1676"/>
      <c r="D50" s="1867"/>
      <c r="E50" s="1562">
        <f t="shared" si="0"/>
        <v>0</v>
      </c>
      <c r="F50" s="1815">
        <f t="shared" si="1"/>
        <v>0</v>
      </c>
      <c r="G50" s="1816">
        <f t="shared" si="2"/>
        <v>0</v>
      </c>
    </row>
    <row r="51" spans="1:7" x14ac:dyDescent="0.25">
      <c r="A51" s="1675"/>
      <c r="B51" s="1689"/>
      <c r="C51" s="1676"/>
      <c r="D51" s="1867"/>
      <c r="E51" s="1562">
        <f t="shared" si="0"/>
        <v>0</v>
      </c>
      <c r="F51" s="1815">
        <f t="shared" si="1"/>
        <v>0</v>
      </c>
      <c r="G51" s="1816">
        <f t="shared" si="2"/>
        <v>0</v>
      </c>
    </row>
    <row r="52" spans="1:7" x14ac:dyDescent="0.25">
      <c r="A52" s="1675"/>
      <c r="B52" s="1689"/>
      <c r="C52" s="1676"/>
      <c r="D52" s="1867"/>
      <c r="E52" s="1562">
        <f t="shared" si="0"/>
        <v>0</v>
      </c>
      <c r="F52" s="1815">
        <f t="shared" si="1"/>
        <v>0</v>
      </c>
      <c r="G52" s="1816">
        <f t="shared" si="2"/>
        <v>0</v>
      </c>
    </row>
    <row r="53" spans="1:7" x14ac:dyDescent="0.25">
      <c r="A53" s="1675"/>
      <c r="B53" s="1689"/>
      <c r="C53" s="1676"/>
      <c r="D53" s="1867"/>
      <c r="E53" s="1562">
        <f t="shared" si="0"/>
        <v>0</v>
      </c>
      <c r="F53" s="1815">
        <f t="shared" si="1"/>
        <v>0</v>
      </c>
      <c r="G53" s="1816">
        <f t="shared" si="2"/>
        <v>0</v>
      </c>
    </row>
    <row r="54" spans="1:7" x14ac:dyDescent="0.25">
      <c r="A54" s="1675"/>
      <c r="B54" s="1689"/>
      <c r="C54" s="1676"/>
      <c r="D54" s="1867"/>
      <c r="E54" s="1562">
        <f t="shared" si="0"/>
        <v>0</v>
      </c>
      <c r="F54" s="1815">
        <f t="shared" si="1"/>
        <v>0</v>
      </c>
      <c r="G54" s="1816">
        <f t="shared" si="2"/>
        <v>0</v>
      </c>
    </row>
    <row r="55" spans="1:7" x14ac:dyDescent="0.25">
      <c r="A55" s="1675"/>
      <c r="B55" s="1689"/>
      <c r="C55" s="1676"/>
      <c r="D55" s="1867"/>
      <c r="E55" s="1562">
        <f t="shared" si="0"/>
        <v>0</v>
      </c>
      <c r="F55" s="1815">
        <f t="shared" si="1"/>
        <v>0</v>
      </c>
      <c r="G55" s="1816">
        <f t="shared" si="2"/>
        <v>0</v>
      </c>
    </row>
    <row r="56" spans="1:7" x14ac:dyDescent="0.25">
      <c r="A56" s="1675"/>
      <c r="B56" s="1689"/>
      <c r="C56" s="1676"/>
      <c r="D56" s="1867"/>
      <c r="E56" s="1562">
        <f t="shared" si="0"/>
        <v>0</v>
      </c>
      <c r="F56" s="1815">
        <f t="shared" si="1"/>
        <v>0</v>
      </c>
      <c r="G56" s="1816">
        <f t="shared" si="2"/>
        <v>0</v>
      </c>
    </row>
    <row r="57" spans="1:7" x14ac:dyDescent="0.25">
      <c r="A57" s="1675"/>
      <c r="B57" s="1689"/>
      <c r="C57" s="1676"/>
      <c r="D57" s="1867"/>
      <c r="E57" s="1562">
        <f t="shared" si="0"/>
        <v>0</v>
      </c>
      <c r="F57" s="1815">
        <f t="shared" si="1"/>
        <v>0</v>
      </c>
      <c r="G57" s="1816">
        <f t="shared" si="2"/>
        <v>0</v>
      </c>
    </row>
    <row r="58" spans="1:7" x14ac:dyDescent="0.25">
      <c r="A58" s="1675"/>
      <c r="B58" s="1689"/>
      <c r="C58" s="1676"/>
      <c r="D58" s="1867"/>
      <c r="E58" s="1562">
        <f t="shared" si="0"/>
        <v>0</v>
      </c>
      <c r="F58" s="1815">
        <f t="shared" si="1"/>
        <v>0</v>
      </c>
      <c r="G58" s="1816">
        <f t="shared" si="2"/>
        <v>0</v>
      </c>
    </row>
    <row r="59" spans="1:7" x14ac:dyDescent="0.25">
      <c r="A59" s="1675"/>
      <c r="B59" s="1689"/>
      <c r="C59" s="1676"/>
      <c r="D59" s="1867"/>
      <c r="E59" s="1562">
        <f t="shared" si="0"/>
        <v>0</v>
      </c>
      <c r="F59" s="1815">
        <f t="shared" si="1"/>
        <v>0</v>
      </c>
      <c r="G59" s="1816">
        <f t="shared" si="2"/>
        <v>0</v>
      </c>
    </row>
    <row r="60" spans="1:7" x14ac:dyDescent="0.25">
      <c r="A60" s="1675"/>
      <c r="B60" s="1689"/>
      <c r="C60" s="1676"/>
      <c r="D60" s="1867"/>
      <c r="E60" s="1562">
        <f t="shared" si="0"/>
        <v>0</v>
      </c>
      <c r="F60" s="1815">
        <f t="shared" si="1"/>
        <v>0</v>
      </c>
      <c r="G60" s="1816">
        <f t="shared" si="2"/>
        <v>0</v>
      </c>
    </row>
    <row r="61" spans="1:7" x14ac:dyDescent="0.25">
      <c r="A61" s="1675"/>
      <c r="B61" s="1689"/>
      <c r="C61" s="1676"/>
      <c r="D61" s="1867"/>
      <c r="E61" s="1562">
        <f t="shared" si="0"/>
        <v>0</v>
      </c>
      <c r="F61" s="1815">
        <f t="shared" si="1"/>
        <v>0</v>
      </c>
      <c r="G61" s="1816">
        <f t="shared" si="2"/>
        <v>0</v>
      </c>
    </row>
    <row r="62" spans="1:7" x14ac:dyDescent="0.25">
      <c r="A62" s="1675"/>
      <c r="B62" s="1689"/>
      <c r="C62" s="1676"/>
      <c r="D62" s="1867"/>
      <c r="E62" s="1562">
        <f t="shared" si="0"/>
        <v>0</v>
      </c>
      <c r="F62" s="1815">
        <f t="shared" si="1"/>
        <v>0</v>
      </c>
      <c r="G62" s="1816">
        <f t="shared" si="2"/>
        <v>0</v>
      </c>
    </row>
    <row r="63" spans="1:7" x14ac:dyDescent="0.25">
      <c r="A63" s="1675"/>
      <c r="B63" s="1689"/>
      <c r="C63" s="1676"/>
      <c r="D63" s="1867"/>
      <c r="E63" s="1562">
        <f t="shared" si="0"/>
        <v>0</v>
      </c>
      <c r="F63" s="1815">
        <f t="shared" si="1"/>
        <v>0</v>
      </c>
      <c r="G63" s="1816">
        <f t="shared" si="2"/>
        <v>0</v>
      </c>
    </row>
    <row r="64" spans="1:7" x14ac:dyDescent="0.25">
      <c r="A64" s="1677"/>
      <c r="B64" s="1689"/>
      <c r="C64" s="1678"/>
      <c r="D64" s="1867"/>
      <c r="E64" s="1562">
        <f t="shared" si="0"/>
        <v>0</v>
      </c>
      <c r="F64" s="1815">
        <f t="shared" si="1"/>
        <v>0</v>
      </c>
      <c r="G64" s="1816">
        <f t="shared" si="2"/>
        <v>0</v>
      </c>
    </row>
    <row r="65" spans="1:7" x14ac:dyDescent="0.25">
      <c r="A65" s="1675"/>
      <c r="B65" s="1689"/>
      <c r="C65" s="1676"/>
      <c r="D65" s="1867"/>
      <c r="E65" s="1562">
        <f t="shared" si="0"/>
        <v>0</v>
      </c>
      <c r="F65" s="1815">
        <f t="shared" si="1"/>
        <v>0</v>
      </c>
      <c r="G65" s="1816">
        <f t="shared" si="2"/>
        <v>0</v>
      </c>
    </row>
    <row r="66" spans="1:7" x14ac:dyDescent="0.25">
      <c r="A66" s="1675"/>
      <c r="B66" s="1689"/>
      <c r="C66" s="1676"/>
      <c r="D66" s="1867"/>
      <c r="E66" s="1562">
        <f t="shared" si="0"/>
        <v>0</v>
      </c>
      <c r="F66" s="1815">
        <f t="shared" si="1"/>
        <v>0</v>
      </c>
      <c r="G66" s="1816">
        <f t="shared" si="2"/>
        <v>0</v>
      </c>
    </row>
    <row r="67" spans="1:7" x14ac:dyDescent="0.25">
      <c r="A67" s="1675"/>
      <c r="B67" s="1689"/>
      <c r="C67" s="1676"/>
      <c r="D67" s="1867"/>
      <c r="E67" s="1562">
        <f t="shared" si="0"/>
        <v>0</v>
      </c>
      <c r="F67" s="1815">
        <f t="shared" si="1"/>
        <v>0</v>
      </c>
      <c r="G67" s="1816">
        <f t="shared" si="2"/>
        <v>0</v>
      </c>
    </row>
    <row r="68" spans="1:7" x14ac:dyDescent="0.25">
      <c r="A68" s="1675"/>
      <c r="B68" s="1689"/>
      <c r="C68" s="1676"/>
      <c r="D68" s="1867"/>
      <c r="E68" s="1562">
        <f t="shared" si="0"/>
        <v>0</v>
      </c>
      <c r="F68" s="1815">
        <f t="shared" si="1"/>
        <v>0</v>
      </c>
      <c r="G68" s="1816">
        <f t="shared" si="2"/>
        <v>0</v>
      </c>
    </row>
    <row r="69" spans="1:7" x14ac:dyDescent="0.25">
      <c r="A69" s="1675"/>
      <c r="B69" s="1689"/>
      <c r="C69" s="1676"/>
      <c r="D69" s="1867"/>
      <c r="E69" s="1562">
        <f t="shared" si="0"/>
        <v>0</v>
      </c>
      <c r="F69" s="1815">
        <f t="shared" si="1"/>
        <v>0</v>
      </c>
      <c r="G69" s="1816">
        <f t="shared" si="2"/>
        <v>0</v>
      </c>
    </row>
    <row r="70" spans="1:7" x14ac:dyDescent="0.25">
      <c r="A70" s="1675"/>
      <c r="B70" s="1689"/>
      <c r="C70" s="1676"/>
      <c r="D70" s="1867"/>
      <c r="E70" s="1562">
        <f t="shared" si="0"/>
        <v>0</v>
      </c>
      <c r="F70" s="1815">
        <f t="shared" si="1"/>
        <v>0</v>
      </c>
      <c r="G70" s="1816">
        <f t="shared" si="2"/>
        <v>0</v>
      </c>
    </row>
    <row r="71" spans="1:7" x14ac:dyDescent="0.25">
      <c r="A71" s="1675"/>
      <c r="B71" s="1689"/>
      <c r="C71" s="1676"/>
      <c r="D71" s="1867"/>
      <c r="E71" s="1562">
        <f t="shared" si="0"/>
        <v>0</v>
      </c>
      <c r="F71" s="1815">
        <f t="shared" si="1"/>
        <v>0</v>
      </c>
      <c r="G71" s="1816">
        <f t="shared" si="2"/>
        <v>0</v>
      </c>
    </row>
    <row r="72" spans="1:7" x14ac:dyDescent="0.25">
      <c r="A72" s="1675"/>
      <c r="B72" s="1689"/>
      <c r="C72" s="1676"/>
      <c r="D72" s="1867"/>
      <c r="E72" s="1562">
        <f t="shared" si="0"/>
        <v>0</v>
      </c>
      <c r="F72" s="1815">
        <f t="shared" si="1"/>
        <v>0</v>
      </c>
      <c r="G72" s="1816">
        <f t="shared" si="2"/>
        <v>0</v>
      </c>
    </row>
    <row r="73" spans="1:7" x14ac:dyDescent="0.25">
      <c r="A73" s="1675"/>
      <c r="B73" s="1689"/>
      <c r="C73" s="1676"/>
      <c r="D73" s="1867"/>
      <c r="E73" s="1562">
        <f t="shared" ref="E73:E84" si="3">IF(D73&lt;=25000,D73,IF(D73&gt;25000,25000,0))</f>
        <v>0</v>
      </c>
      <c r="F73" s="1815">
        <f t="shared" ref="F73:F84" si="4">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5">IF(F73=0,0,D73-F73)</f>
        <v>0</v>
      </c>
    </row>
    <row r="74" spans="1:7" x14ac:dyDescent="0.25">
      <c r="A74" s="1675"/>
      <c r="B74" s="1689"/>
      <c r="C74" s="1676"/>
      <c r="D74" s="1867"/>
      <c r="E74" s="1562">
        <f t="shared" si="3"/>
        <v>0</v>
      </c>
      <c r="F74" s="1815">
        <f t="shared" si="4"/>
        <v>0</v>
      </c>
      <c r="G74" s="1816">
        <f t="shared" si="5"/>
        <v>0</v>
      </c>
    </row>
    <row r="75" spans="1:7" x14ac:dyDescent="0.25">
      <c r="A75" s="1675"/>
      <c r="B75" s="1689"/>
      <c r="C75" s="1676"/>
      <c r="D75" s="1867"/>
      <c r="E75" s="1562">
        <f t="shared" si="3"/>
        <v>0</v>
      </c>
      <c r="F75" s="1815">
        <f t="shared" si="4"/>
        <v>0</v>
      </c>
      <c r="G75" s="1816">
        <f t="shared" si="5"/>
        <v>0</v>
      </c>
    </row>
    <row r="76" spans="1:7" x14ac:dyDescent="0.25">
      <c r="A76" s="1675"/>
      <c r="B76" s="1689"/>
      <c r="C76" s="1676"/>
      <c r="D76" s="1867"/>
      <c r="E76" s="1562">
        <f t="shared" si="3"/>
        <v>0</v>
      </c>
      <c r="F76" s="1815">
        <f t="shared" si="4"/>
        <v>0</v>
      </c>
      <c r="G76" s="1816">
        <f t="shared" si="5"/>
        <v>0</v>
      </c>
    </row>
    <row r="77" spans="1:7" x14ac:dyDescent="0.25">
      <c r="A77" s="1675"/>
      <c r="B77" s="1689"/>
      <c r="C77" s="1676"/>
      <c r="D77" s="1867"/>
      <c r="E77" s="1562">
        <f t="shared" si="3"/>
        <v>0</v>
      </c>
      <c r="F77" s="1815">
        <f t="shared" si="4"/>
        <v>0</v>
      </c>
      <c r="G77" s="1816">
        <f t="shared" si="5"/>
        <v>0</v>
      </c>
    </row>
    <row r="78" spans="1:7" x14ac:dyDescent="0.25">
      <c r="A78" s="1675"/>
      <c r="B78" s="1689"/>
      <c r="C78" s="1676"/>
      <c r="D78" s="1867"/>
      <c r="E78" s="1562">
        <f t="shared" si="3"/>
        <v>0</v>
      </c>
      <c r="F78" s="1815">
        <f t="shared" si="4"/>
        <v>0</v>
      </c>
      <c r="G78" s="1816">
        <f t="shared" si="5"/>
        <v>0</v>
      </c>
    </row>
    <row r="79" spans="1:7" x14ac:dyDescent="0.25">
      <c r="A79" s="1675"/>
      <c r="B79" s="1689"/>
      <c r="C79" s="1676"/>
      <c r="D79" s="1867"/>
      <c r="E79" s="1562">
        <f t="shared" si="3"/>
        <v>0</v>
      </c>
      <c r="F79" s="1815">
        <f t="shared" si="4"/>
        <v>0</v>
      </c>
      <c r="G79" s="1816">
        <f t="shared" si="5"/>
        <v>0</v>
      </c>
    </row>
    <row r="80" spans="1:7" x14ac:dyDescent="0.25">
      <c r="A80" s="1675"/>
      <c r="B80" s="1689"/>
      <c r="C80" s="1676"/>
      <c r="D80" s="1867"/>
      <c r="E80" s="1562">
        <f t="shared" si="3"/>
        <v>0</v>
      </c>
      <c r="F80" s="1815">
        <f t="shared" si="4"/>
        <v>0</v>
      </c>
      <c r="G80" s="1816">
        <f t="shared" si="5"/>
        <v>0</v>
      </c>
    </row>
    <row r="81" spans="1:7" x14ac:dyDescent="0.25">
      <c r="A81" s="1675"/>
      <c r="B81" s="1689"/>
      <c r="C81" s="1676"/>
      <c r="D81" s="1867"/>
      <c r="E81" s="1562">
        <f t="shared" si="3"/>
        <v>0</v>
      </c>
      <c r="F81" s="1815">
        <f t="shared" si="4"/>
        <v>0</v>
      </c>
      <c r="G81" s="1816">
        <f t="shared" si="5"/>
        <v>0</v>
      </c>
    </row>
    <row r="82" spans="1:7" x14ac:dyDescent="0.25">
      <c r="A82" s="1675"/>
      <c r="B82" s="1689"/>
      <c r="C82" s="1676"/>
      <c r="D82" s="1867"/>
      <c r="E82" s="1562">
        <f t="shared" si="3"/>
        <v>0</v>
      </c>
      <c r="F82" s="1815">
        <f t="shared" si="4"/>
        <v>0</v>
      </c>
      <c r="G82" s="1816">
        <f t="shared" si="5"/>
        <v>0</v>
      </c>
    </row>
    <row r="83" spans="1:7" x14ac:dyDescent="0.25">
      <c r="A83" s="1675"/>
      <c r="B83" s="1689"/>
      <c r="C83" s="1676"/>
      <c r="D83" s="1867"/>
      <c r="E83" s="1562">
        <f t="shared" si="3"/>
        <v>0</v>
      </c>
      <c r="F83" s="1815">
        <f t="shared" si="4"/>
        <v>0</v>
      </c>
      <c r="G83" s="1816">
        <f t="shared" si="5"/>
        <v>0</v>
      </c>
    </row>
    <row r="84" spans="1:7" x14ac:dyDescent="0.25">
      <c r="A84" s="1675"/>
      <c r="B84" s="1689"/>
      <c r="C84" s="1676"/>
      <c r="D84" s="1867"/>
      <c r="E84" s="1562">
        <f t="shared" si="3"/>
        <v>0</v>
      </c>
      <c r="F84" s="1815">
        <f t="shared" si="4"/>
        <v>0</v>
      </c>
      <c r="G84" s="1816">
        <f t="shared" si="5"/>
        <v>0</v>
      </c>
    </row>
    <row r="85" spans="1:7" x14ac:dyDescent="0.25">
      <c r="A85" s="1675"/>
      <c r="B85" s="1689"/>
      <c r="C85" s="1676"/>
      <c r="D85" s="1867"/>
      <c r="E85" s="1562">
        <f t="shared" si="0"/>
        <v>0</v>
      </c>
      <c r="F85" s="1815">
        <f t="shared" si="1"/>
        <v>0</v>
      </c>
      <c r="G85" s="1816">
        <f t="shared" si="2"/>
        <v>0</v>
      </c>
    </row>
    <row r="86" spans="1:7" x14ac:dyDescent="0.25">
      <c r="A86" s="1675"/>
      <c r="B86" s="1689"/>
      <c r="C86" s="1676"/>
      <c r="D86" s="1867"/>
      <c r="E86" s="1562">
        <f t="shared" si="0"/>
        <v>0</v>
      </c>
      <c r="F86" s="1815">
        <f t="shared" si="1"/>
        <v>0</v>
      </c>
      <c r="G86" s="1816">
        <f t="shared" si="2"/>
        <v>0</v>
      </c>
    </row>
    <row r="87" spans="1:7" x14ac:dyDescent="0.25">
      <c r="A87" s="1675"/>
      <c r="B87" s="1689"/>
      <c r="C87" s="1676"/>
      <c r="D87" s="1867"/>
      <c r="E87" s="1562">
        <f t="shared" si="0"/>
        <v>0</v>
      </c>
      <c r="F87" s="1815">
        <f t="shared" si="1"/>
        <v>0</v>
      </c>
      <c r="G87" s="1816">
        <f t="shared" si="2"/>
        <v>0</v>
      </c>
    </row>
    <row r="88" spans="1:7" x14ac:dyDescent="0.25">
      <c r="A88" s="1675"/>
      <c r="B88" s="1689"/>
      <c r="C88" s="1676"/>
      <c r="D88" s="1867"/>
      <c r="E88" s="1562">
        <f t="shared" si="0"/>
        <v>0</v>
      </c>
      <c r="F88" s="1815">
        <f t="shared" si="1"/>
        <v>0</v>
      </c>
      <c r="G88" s="1816">
        <f t="shared" si="2"/>
        <v>0</v>
      </c>
    </row>
    <row r="89" spans="1:7" x14ac:dyDescent="0.25">
      <c r="A89" s="1675"/>
      <c r="B89" s="1689"/>
      <c r="C89" s="1676"/>
      <c r="D89" s="1867"/>
      <c r="E89" s="1562">
        <f t="shared" si="0"/>
        <v>0</v>
      </c>
      <c r="F89" s="1815">
        <f t="shared" si="1"/>
        <v>0</v>
      </c>
      <c r="G89" s="1816">
        <f t="shared" si="2"/>
        <v>0</v>
      </c>
    </row>
    <row r="90" spans="1:7" x14ac:dyDescent="0.25">
      <c r="A90" s="1675"/>
      <c r="B90" s="1689"/>
      <c r="C90" s="1676"/>
      <c r="D90" s="1867"/>
      <c r="E90" s="1562">
        <f t="shared" si="0"/>
        <v>0</v>
      </c>
      <c r="F90" s="1815">
        <f t="shared" si="1"/>
        <v>0</v>
      </c>
      <c r="G90" s="1816">
        <f t="shared" si="2"/>
        <v>0</v>
      </c>
    </row>
    <row r="91" spans="1:7" x14ac:dyDescent="0.25">
      <c r="A91" s="1675"/>
      <c r="B91" s="1689"/>
      <c r="C91" s="1676"/>
      <c r="D91" s="1867"/>
      <c r="E91" s="1562">
        <f t="shared" si="0"/>
        <v>0</v>
      </c>
      <c r="F91" s="1815">
        <f t="shared" si="1"/>
        <v>0</v>
      </c>
      <c r="G91" s="1816">
        <f t="shared" si="2"/>
        <v>0</v>
      </c>
    </row>
    <row r="92" spans="1:7" x14ac:dyDescent="0.25">
      <c r="A92" s="1675"/>
      <c r="B92" s="1689"/>
      <c r="C92" s="1676"/>
      <c r="D92" s="1867"/>
      <c r="E92" s="1562">
        <f t="shared" si="0"/>
        <v>0</v>
      </c>
      <c r="F92" s="1815">
        <f t="shared" si="1"/>
        <v>0</v>
      </c>
      <c r="G92" s="1816">
        <f t="shared" si="2"/>
        <v>0</v>
      </c>
    </row>
    <row r="93" spans="1:7" x14ac:dyDescent="0.25">
      <c r="A93" s="1675"/>
      <c r="B93" s="1689"/>
      <c r="C93" s="1676"/>
      <c r="D93" s="1867"/>
      <c r="E93" s="1562">
        <f>IF(D93&lt;=25000,D93,IF(D93&gt;25000,25000,0))</f>
        <v>0</v>
      </c>
      <c r="F93" s="1815">
        <f>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IF(F93=0,0,D93-F93)</f>
        <v>0</v>
      </c>
    </row>
    <row r="94" spans="1:7" x14ac:dyDescent="0.25">
      <c r="A94" s="1675"/>
      <c r="B94" s="1689"/>
      <c r="C94" s="1676"/>
      <c r="D94" s="1867"/>
      <c r="E94" s="1562">
        <f t="shared" si="0"/>
        <v>0</v>
      </c>
      <c r="F94" s="1815">
        <f t="shared" si="1"/>
        <v>0</v>
      </c>
      <c r="G94" s="1816">
        <f t="shared" si="2"/>
        <v>0</v>
      </c>
    </row>
    <row r="95" spans="1:7" x14ac:dyDescent="0.25">
      <c r="A95" s="1675"/>
      <c r="B95" s="1689"/>
      <c r="C95" s="1676"/>
      <c r="D95" s="1867"/>
      <c r="E95" s="1562">
        <f>IF(D95&lt;=25000,D95,IF(D95&gt;25000,25000,0))</f>
        <v>0</v>
      </c>
      <c r="F95" s="1815">
        <f>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IF(F95=0,0,D95-F95)</f>
        <v>0</v>
      </c>
    </row>
    <row r="96" spans="1:7" x14ac:dyDescent="0.25">
      <c r="A96" s="1675"/>
      <c r="B96" s="1689"/>
      <c r="C96" s="1676"/>
      <c r="D96" s="1867"/>
      <c r="E96" s="1562">
        <f>IF(D96&lt;=25000,D96,IF(D96&gt;25000,25000,0))</f>
        <v>0</v>
      </c>
      <c r="F96" s="1815">
        <f>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16">
        <f>IF(F96=0,0,D96-F96)</f>
        <v>0</v>
      </c>
    </row>
    <row r="97" spans="1:7" x14ac:dyDescent="0.25">
      <c r="A97" s="1675"/>
      <c r="B97" s="1689"/>
      <c r="C97" s="1676"/>
      <c r="D97" s="1867"/>
      <c r="E97" s="1562">
        <f>IF(D97&lt;=25000,D97,IF(D97&gt;25000,25000,0))</f>
        <v>0</v>
      </c>
      <c r="F97" s="1815">
        <f>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16">
        <f>IF(F97=0,0,D97-F97)</f>
        <v>0</v>
      </c>
    </row>
    <row r="98" spans="1:7" x14ac:dyDescent="0.25">
      <c r="A98" s="1675"/>
      <c r="B98" s="1689"/>
      <c r="C98" s="1676"/>
      <c r="D98" s="1867"/>
      <c r="E98" s="1562">
        <f>IF(D98&lt;=25000,D98,IF(D98&gt;25000,25000,0))</f>
        <v>0</v>
      </c>
      <c r="F98" s="1815">
        <f>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16">
        <f>IF(F98=0,0,D98-F98)</f>
        <v>0</v>
      </c>
    </row>
    <row r="99" spans="1:7" x14ac:dyDescent="0.25">
      <c r="A99" s="1675"/>
      <c r="B99" s="1689"/>
      <c r="C99" s="1676"/>
      <c r="D99" s="1867"/>
      <c r="E99" s="1562">
        <f>IF(D99&lt;=25000,D99,IF(D99&gt;25000,25000,0))</f>
        <v>0</v>
      </c>
      <c r="F99" s="1815">
        <f>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IF(F99=0,0,D99-F99)</f>
        <v>0</v>
      </c>
    </row>
    <row r="100" spans="1:7" x14ac:dyDescent="0.25">
      <c r="A100" s="1675"/>
      <c r="B100" s="1689"/>
      <c r="C100" s="1676"/>
      <c r="D100" s="1867"/>
      <c r="E100" s="1562">
        <f t="shared" ref="E100:E112" si="6">IF(D100&lt;=25000,D100,IF(D100&gt;25000,25000,0))</f>
        <v>0</v>
      </c>
      <c r="F100" s="1815">
        <f t="shared" ref="F100:F112" si="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8">IF(F100=0,0,D100-F100)</f>
        <v>0</v>
      </c>
    </row>
    <row r="101" spans="1:7" x14ac:dyDescent="0.25">
      <c r="A101" s="1675"/>
      <c r="B101" s="1689"/>
      <c r="C101" s="1676"/>
      <c r="D101" s="1867"/>
      <c r="E101" s="1562">
        <f t="shared" si="6"/>
        <v>0</v>
      </c>
      <c r="F101" s="1815">
        <f t="shared" si="7"/>
        <v>0</v>
      </c>
      <c r="G101" s="1816">
        <f t="shared" si="8"/>
        <v>0</v>
      </c>
    </row>
    <row r="102" spans="1:7" x14ac:dyDescent="0.25">
      <c r="A102" s="1675"/>
      <c r="B102" s="1689"/>
      <c r="C102" s="1676"/>
      <c r="D102" s="1867"/>
      <c r="E102" s="1562">
        <f t="shared" si="6"/>
        <v>0</v>
      </c>
      <c r="F102" s="1815">
        <f t="shared" si="7"/>
        <v>0</v>
      </c>
      <c r="G102" s="1816">
        <f t="shared" si="8"/>
        <v>0</v>
      </c>
    </row>
    <row r="103" spans="1:7" x14ac:dyDescent="0.25">
      <c r="A103" s="1675"/>
      <c r="B103" s="1689"/>
      <c r="C103" s="1676"/>
      <c r="D103" s="1867"/>
      <c r="E103" s="1562">
        <f t="shared" si="6"/>
        <v>0</v>
      </c>
      <c r="F103" s="1815">
        <f t="shared" si="7"/>
        <v>0</v>
      </c>
      <c r="G103" s="1816">
        <f t="shared" si="8"/>
        <v>0</v>
      </c>
    </row>
    <row r="104" spans="1:7" x14ac:dyDescent="0.25">
      <c r="A104" s="1675"/>
      <c r="B104" s="1689"/>
      <c r="C104" s="1676"/>
      <c r="D104" s="1867"/>
      <c r="E104" s="1562">
        <f t="shared" si="6"/>
        <v>0</v>
      </c>
      <c r="F104" s="1815">
        <f t="shared" si="7"/>
        <v>0</v>
      </c>
      <c r="G104" s="1816">
        <f t="shared" si="8"/>
        <v>0</v>
      </c>
    </row>
    <row r="105" spans="1:7" x14ac:dyDescent="0.25">
      <c r="A105" s="1675"/>
      <c r="B105" s="1689"/>
      <c r="C105" s="1676"/>
      <c r="D105" s="1867"/>
      <c r="E105" s="1562">
        <f t="shared" si="6"/>
        <v>0</v>
      </c>
      <c r="F105" s="1815">
        <f t="shared" si="7"/>
        <v>0</v>
      </c>
      <c r="G105" s="1816">
        <f t="shared" si="8"/>
        <v>0</v>
      </c>
    </row>
    <row r="106" spans="1:7" x14ac:dyDescent="0.25">
      <c r="A106" s="1675"/>
      <c r="B106" s="1689"/>
      <c r="C106" s="1676"/>
      <c r="D106" s="1867"/>
      <c r="E106" s="1562">
        <f t="shared" si="6"/>
        <v>0</v>
      </c>
      <c r="F106" s="1815">
        <f t="shared" si="7"/>
        <v>0</v>
      </c>
      <c r="G106" s="1816">
        <f t="shared" si="8"/>
        <v>0</v>
      </c>
    </row>
    <row r="107" spans="1:7" x14ac:dyDescent="0.25">
      <c r="A107" s="1675"/>
      <c r="B107" s="1689"/>
      <c r="C107" s="1676"/>
      <c r="D107" s="1867"/>
      <c r="E107" s="1562">
        <f t="shared" si="6"/>
        <v>0</v>
      </c>
      <c r="F107" s="1815">
        <f t="shared" si="7"/>
        <v>0</v>
      </c>
      <c r="G107" s="1816">
        <f t="shared" si="8"/>
        <v>0</v>
      </c>
    </row>
    <row r="108" spans="1:7" x14ac:dyDescent="0.25">
      <c r="A108" s="1675"/>
      <c r="B108" s="1689"/>
      <c r="C108" s="1676"/>
      <c r="D108" s="1867"/>
      <c r="E108" s="1562">
        <f t="shared" si="6"/>
        <v>0</v>
      </c>
      <c r="F108" s="1815">
        <f t="shared" si="7"/>
        <v>0</v>
      </c>
      <c r="G108" s="1816">
        <f t="shared" si="8"/>
        <v>0</v>
      </c>
    </row>
    <row r="109" spans="1:7" x14ac:dyDescent="0.25">
      <c r="A109" s="1675"/>
      <c r="B109" s="1689"/>
      <c r="C109" s="1676"/>
      <c r="D109" s="1867"/>
      <c r="E109" s="1562">
        <f t="shared" si="6"/>
        <v>0</v>
      </c>
      <c r="F109" s="1815">
        <f t="shared" si="7"/>
        <v>0</v>
      </c>
      <c r="G109" s="1816">
        <f t="shared" si="8"/>
        <v>0</v>
      </c>
    </row>
    <row r="110" spans="1:7" x14ac:dyDescent="0.25">
      <c r="A110" s="1675"/>
      <c r="B110" s="1689"/>
      <c r="C110" s="1676"/>
      <c r="D110" s="1867"/>
      <c r="E110" s="1562">
        <f t="shared" si="6"/>
        <v>0</v>
      </c>
      <c r="F110" s="1815">
        <f t="shared" si="7"/>
        <v>0</v>
      </c>
      <c r="G110" s="1816">
        <f t="shared" si="8"/>
        <v>0</v>
      </c>
    </row>
    <row r="111" spans="1:7" x14ac:dyDescent="0.25">
      <c r="A111" s="1675"/>
      <c r="B111" s="1689"/>
      <c r="C111" s="1676"/>
      <c r="D111" s="1867"/>
      <c r="E111" s="1562">
        <f t="shared" si="6"/>
        <v>0</v>
      </c>
      <c r="F111" s="1815">
        <f t="shared" si="7"/>
        <v>0</v>
      </c>
      <c r="G111" s="1816">
        <f t="shared" si="8"/>
        <v>0</v>
      </c>
    </row>
    <row r="112" spans="1:7" x14ac:dyDescent="0.25">
      <c r="A112" s="1675"/>
      <c r="B112" s="1689"/>
      <c r="C112" s="1676"/>
      <c r="D112" s="1867"/>
      <c r="E112" s="1562">
        <f t="shared" si="6"/>
        <v>0</v>
      </c>
      <c r="F112" s="1815">
        <f t="shared" si="7"/>
        <v>0</v>
      </c>
      <c r="G112" s="1816">
        <f t="shared" si="8"/>
        <v>0</v>
      </c>
    </row>
    <row r="113" spans="1:7" x14ac:dyDescent="0.25">
      <c r="A113" s="1675"/>
      <c r="B113" s="1689"/>
      <c r="C113" s="1676"/>
      <c r="D113" s="1867"/>
      <c r="E113" s="1562">
        <f t="shared" ref="E113:E125" si="9">IF(D113&lt;=25000,D113,IF(D113&gt;25000,25000,0))</f>
        <v>0</v>
      </c>
      <c r="F113" s="1815">
        <f t="shared" ref="F113:F125" si="1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11">IF(F113=0,0,D113-F113)</f>
        <v>0</v>
      </c>
    </row>
    <row r="114" spans="1:7" x14ac:dyDescent="0.25">
      <c r="A114" s="1675"/>
      <c r="B114" s="1689"/>
      <c r="C114" s="1676"/>
      <c r="D114" s="1867"/>
      <c r="E114" s="1562">
        <f t="shared" si="9"/>
        <v>0</v>
      </c>
      <c r="F114" s="1815">
        <f t="shared" si="10"/>
        <v>0</v>
      </c>
      <c r="G114" s="1816">
        <f t="shared" si="11"/>
        <v>0</v>
      </c>
    </row>
    <row r="115" spans="1:7" x14ac:dyDescent="0.25">
      <c r="A115" s="1675"/>
      <c r="B115" s="1689"/>
      <c r="C115" s="1676"/>
      <c r="D115" s="1867"/>
      <c r="E115" s="1562">
        <f t="shared" si="9"/>
        <v>0</v>
      </c>
      <c r="F115" s="1815">
        <f t="shared" si="10"/>
        <v>0</v>
      </c>
      <c r="G115" s="1816">
        <f t="shared" si="11"/>
        <v>0</v>
      </c>
    </row>
    <row r="116" spans="1:7" x14ac:dyDescent="0.25">
      <c r="A116" s="1675"/>
      <c r="B116" s="1689"/>
      <c r="C116" s="1676"/>
      <c r="D116" s="1867"/>
      <c r="E116" s="1562">
        <f t="shared" si="9"/>
        <v>0</v>
      </c>
      <c r="F116" s="1815">
        <f t="shared" si="10"/>
        <v>0</v>
      </c>
      <c r="G116" s="1816">
        <f t="shared" si="11"/>
        <v>0</v>
      </c>
    </row>
    <row r="117" spans="1:7" x14ac:dyDescent="0.25">
      <c r="A117" s="1675"/>
      <c r="B117" s="1689"/>
      <c r="C117" s="1676"/>
      <c r="D117" s="1867"/>
      <c r="E117" s="1562">
        <f t="shared" si="9"/>
        <v>0</v>
      </c>
      <c r="F117" s="1815">
        <f t="shared" si="10"/>
        <v>0</v>
      </c>
      <c r="G117" s="1816">
        <f t="shared" si="11"/>
        <v>0</v>
      </c>
    </row>
    <row r="118" spans="1:7" x14ac:dyDescent="0.25">
      <c r="A118" s="1675"/>
      <c r="B118" s="1689"/>
      <c r="C118" s="1676"/>
      <c r="D118" s="1867"/>
      <c r="E118" s="1562">
        <f t="shared" si="9"/>
        <v>0</v>
      </c>
      <c r="F118" s="1815">
        <f t="shared" si="10"/>
        <v>0</v>
      </c>
      <c r="G118" s="1816">
        <f t="shared" si="11"/>
        <v>0</v>
      </c>
    </row>
    <row r="119" spans="1:7" x14ac:dyDescent="0.25">
      <c r="A119" s="1675"/>
      <c r="B119" s="1689"/>
      <c r="C119" s="1676"/>
      <c r="D119" s="1867"/>
      <c r="E119" s="1562">
        <f t="shared" si="9"/>
        <v>0</v>
      </c>
      <c r="F119" s="1815">
        <f t="shared" si="10"/>
        <v>0</v>
      </c>
      <c r="G119" s="1816">
        <f t="shared" si="11"/>
        <v>0</v>
      </c>
    </row>
    <row r="120" spans="1:7" x14ac:dyDescent="0.25">
      <c r="A120" s="1675"/>
      <c r="B120" s="1689"/>
      <c r="C120" s="1676"/>
      <c r="D120" s="1867"/>
      <c r="E120" s="1562">
        <f t="shared" si="9"/>
        <v>0</v>
      </c>
      <c r="F120" s="1815">
        <f t="shared" si="10"/>
        <v>0</v>
      </c>
      <c r="G120" s="1816">
        <f t="shared" si="11"/>
        <v>0</v>
      </c>
    </row>
    <row r="121" spans="1:7" x14ac:dyDescent="0.25">
      <c r="A121" s="1675"/>
      <c r="B121" s="1689"/>
      <c r="C121" s="1676"/>
      <c r="D121" s="1867"/>
      <c r="E121" s="1562">
        <f t="shared" si="9"/>
        <v>0</v>
      </c>
      <c r="F121" s="1815">
        <f t="shared" si="10"/>
        <v>0</v>
      </c>
      <c r="G121" s="1816">
        <f t="shared" si="11"/>
        <v>0</v>
      </c>
    </row>
    <row r="122" spans="1:7" x14ac:dyDescent="0.25">
      <c r="A122" s="1675"/>
      <c r="B122" s="1689"/>
      <c r="C122" s="1676"/>
      <c r="D122" s="1867"/>
      <c r="E122" s="1562">
        <f t="shared" si="9"/>
        <v>0</v>
      </c>
      <c r="F122" s="1815">
        <f t="shared" si="10"/>
        <v>0</v>
      </c>
      <c r="G122" s="1816">
        <f t="shared" si="11"/>
        <v>0</v>
      </c>
    </row>
    <row r="123" spans="1:7" x14ac:dyDescent="0.25">
      <c r="A123" s="1675"/>
      <c r="B123" s="1689"/>
      <c r="C123" s="1676"/>
      <c r="D123" s="1867"/>
      <c r="E123" s="1562">
        <f t="shared" si="9"/>
        <v>0</v>
      </c>
      <c r="F123" s="1815">
        <f t="shared" si="10"/>
        <v>0</v>
      </c>
      <c r="G123" s="1816">
        <f t="shared" si="11"/>
        <v>0</v>
      </c>
    </row>
    <row r="124" spans="1:7" x14ac:dyDescent="0.25">
      <c r="A124" s="1675"/>
      <c r="B124" s="1689"/>
      <c r="C124" s="1676"/>
      <c r="D124" s="1867"/>
      <c r="E124" s="1562">
        <f t="shared" si="9"/>
        <v>0</v>
      </c>
      <c r="F124" s="1815">
        <f t="shared" si="10"/>
        <v>0</v>
      </c>
      <c r="G124" s="1816">
        <f t="shared" si="11"/>
        <v>0</v>
      </c>
    </row>
    <row r="125" spans="1:7" x14ac:dyDescent="0.25">
      <c r="A125" s="1675"/>
      <c r="B125" s="1689"/>
      <c r="C125" s="1676"/>
      <c r="D125" s="1867"/>
      <c r="E125" s="1562">
        <f t="shared" si="9"/>
        <v>0</v>
      </c>
      <c r="F125" s="1815">
        <f t="shared" si="10"/>
        <v>0</v>
      </c>
      <c r="G125" s="1816">
        <f t="shared" si="11"/>
        <v>0</v>
      </c>
    </row>
    <row r="126" spans="1:7" x14ac:dyDescent="0.25">
      <c r="A126" s="1675"/>
      <c r="B126" s="1689"/>
      <c r="C126" s="1676"/>
      <c r="D126" s="1867"/>
      <c r="E126" s="1562">
        <f t="shared" ref="E126:E134" si="12">IF(D126&lt;=25000,D126,IF(D126&gt;25000,25000,0))</f>
        <v>0</v>
      </c>
      <c r="F126" s="1815">
        <f t="shared" ref="F126:F134" si="1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14">IF(F126=0,0,D126-F126)</f>
        <v>0</v>
      </c>
    </row>
    <row r="127" spans="1:7" x14ac:dyDescent="0.25">
      <c r="A127" s="1675"/>
      <c r="B127" s="1689"/>
      <c r="C127" s="1676"/>
      <c r="D127" s="1867"/>
      <c r="E127" s="1562">
        <f t="shared" si="12"/>
        <v>0</v>
      </c>
      <c r="F127" s="1815">
        <f t="shared" si="13"/>
        <v>0</v>
      </c>
      <c r="G127" s="1816">
        <f t="shared" si="14"/>
        <v>0</v>
      </c>
    </row>
    <row r="128" spans="1:7" x14ac:dyDescent="0.25">
      <c r="A128" s="1675"/>
      <c r="B128" s="1689"/>
      <c r="C128" s="1676"/>
      <c r="D128" s="1867"/>
      <c r="E128" s="1562">
        <f t="shared" si="12"/>
        <v>0</v>
      </c>
      <c r="F128" s="1815">
        <f t="shared" si="13"/>
        <v>0</v>
      </c>
      <c r="G128" s="1816">
        <f t="shared" si="14"/>
        <v>0</v>
      </c>
    </row>
    <row r="129" spans="1:7" x14ac:dyDescent="0.25">
      <c r="A129" s="1675"/>
      <c r="B129" s="1689"/>
      <c r="C129" s="1676"/>
      <c r="D129" s="1867"/>
      <c r="E129" s="1562">
        <f t="shared" si="12"/>
        <v>0</v>
      </c>
      <c r="F129" s="1815">
        <f t="shared" si="13"/>
        <v>0</v>
      </c>
      <c r="G129" s="1816">
        <f t="shared" si="14"/>
        <v>0</v>
      </c>
    </row>
    <row r="130" spans="1:7" x14ac:dyDescent="0.25">
      <c r="A130" s="1675"/>
      <c r="B130" s="1689"/>
      <c r="C130" s="1676"/>
      <c r="D130" s="1867"/>
      <c r="E130" s="1562">
        <f t="shared" si="12"/>
        <v>0</v>
      </c>
      <c r="F130" s="1815">
        <f t="shared" si="13"/>
        <v>0</v>
      </c>
      <c r="G130" s="1816">
        <f t="shared" si="14"/>
        <v>0</v>
      </c>
    </row>
    <row r="131" spans="1:7" x14ac:dyDescent="0.25">
      <c r="A131" s="1675"/>
      <c r="B131" s="1860"/>
      <c r="C131" s="1676"/>
      <c r="D131" s="1867"/>
      <c r="E131" s="1562">
        <f t="shared" si="12"/>
        <v>0</v>
      </c>
      <c r="F131" s="1815">
        <f t="shared" si="13"/>
        <v>0</v>
      </c>
      <c r="G131" s="1816">
        <f t="shared" si="14"/>
        <v>0</v>
      </c>
    </row>
    <row r="132" spans="1:7" x14ac:dyDescent="0.25">
      <c r="A132" s="1675"/>
      <c r="B132" s="1860"/>
      <c r="C132" s="1676"/>
      <c r="D132" s="1867"/>
      <c r="E132" s="1562">
        <f t="shared" si="12"/>
        <v>0</v>
      </c>
      <c r="F132" s="1815">
        <f t="shared" si="13"/>
        <v>0</v>
      </c>
      <c r="G132" s="1816">
        <f t="shared" si="14"/>
        <v>0</v>
      </c>
    </row>
    <row r="133" spans="1:7" x14ac:dyDescent="0.25">
      <c r="A133" s="1675"/>
      <c r="B133" s="1689"/>
      <c r="C133" s="1676"/>
      <c r="D133" s="1867"/>
      <c r="E133" s="1562">
        <f t="shared" si="12"/>
        <v>0</v>
      </c>
      <c r="F133" s="1815">
        <f t="shared" si="13"/>
        <v>0</v>
      </c>
      <c r="G133" s="1816">
        <f t="shared" si="14"/>
        <v>0</v>
      </c>
    </row>
    <row r="134" spans="1:7" x14ac:dyDescent="0.25">
      <c r="A134" s="1675"/>
      <c r="B134" s="1689"/>
      <c r="C134" s="1676"/>
      <c r="D134" s="1867"/>
      <c r="E134" s="1562">
        <f t="shared" si="12"/>
        <v>0</v>
      </c>
      <c r="F134" s="1815">
        <f t="shared" si="13"/>
        <v>0</v>
      </c>
      <c r="G134" s="1816">
        <f t="shared" si="14"/>
        <v>0</v>
      </c>
    </row>
    <row r="135" spans="1:7" x14ac:dyDescent="0.25">
      <c r="A135" s="1675"/>
      <c r="B135" s="1689"/>
      <c r="C135" s="1676"/>
      <c r="D135" s="1867"/>
      <c r="E135" s="1562">
        <f>IF(D135&lt;=25000,D135,IF(D135&gt;25000,25000,0))</f>
        <v>0</v>
      </c>
      <c r="F135" s="1815">
        <f>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IF(F135=0,0,D135-F135)</f>
        <v>0</v>
      </c>
    </row>
    <row r="136" spans="1:7" x14ac:dyDescent="0.25">
      <c r="A136" s="1675"/>
      <c r="B136" s="1689"/>
      <c r="C136" s="1676"/>
      <c r="D136" s="1867"/>
      <c r="E136" s="1562">
        <f>IF(D136&lt;=25000,D136,IF(D136&gt;25000,25000,0))</f>
        <v>0</v>
      </c>
      <c r="F136" s="1815">
        <f>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0</v>
      </c>
      <c r="G136" s="1816">
        <f>IF(F136=0,0,D136-F136)</f>
        <v>0</v>
      </c>
    </row>
    <row r="137" spans="1:7" x14ac:dyDescent="0.25">
      <c r="A137" s="1675"/>
      <c r="B137" s="1689"/>
      <c r="C137" s="1676"/>
      <c r="D137" s="1867"/>
      <c r="E137" s="1562">
        <f>IF(D137&lt;=25000,D137,IF(D137&gt;25000,25000,0))</f>
        <v>0</v>
      </c>
      <c r="F137" s="1815">
        <f>IF(OR(B137="10-1000-100",B137="10-1000-200",B137="10-1000-300",B137="10-1000-400",B137="10-1000-600",B137="10-1000-800",B137="50-1000-200",B137="10-2100-100",B137="10-2100-200",B137="10-2100-300",B137="10-2100-400",B137="10-2100-600",B137="10-2100-800",B137="20-2100-200",B137="20-2190-100",B137="20-2190-200",B137="20-2190-300",B137="20-2190-400",B137="20-2190-600",B137="20-2190-800",B137="40-2190-100",B137="40-2190-200",B137="40-2190-300",B137="40-2190-400",B137="40-2190-600",B137="40-2190-800",B137="50-2190-200",B137="10-2200-100",B137="10-2200-200",B137="10-2200-300",B137="10-2200-400",B137="10-2200-600",B137="10-2200-800",B137="50-2200-200",B137="10-2300-100",B137="10-2300-200",B137="10-2300-300",B137="10-2300-400",B137="10-2300-600",B137="10-2300-800",B137="50-2300-200",B137="80-2300-100",B137="80-2300-200",B137="80-2300-300",B137="80-2300-400",B137="80-2300-600",B137="80-2300-800",B137="10-2400-100",B137="10-2400-200",B137="10-2400-300",B137="10-2400-400",B137="10-2400-600",B137="10-2400-800",B137="50-2400-200",B137="10-2510-100",B137="10-2510-200",B137="10-2510-300",B137="10-2510-400",B137="10-2510-600",B137="10-2510-800",B137="20-2510-100",B137="20-2510-200",B137="20-2510-300",B137="20-2510-400",B137="20-2510-600",B137="20-2510-800",B137="50-2510-200",B137="10-2520-100",B137="10-2520-200",B137="10-2520-300",B137="10-2520-400",B137="10-2520-600",B137="10-2520-800",B137="50-2520-200",B137="10-2540-100",B137="10-2540-200",B137="10-2540-300",B137="10-2540-400",B137="10-2540-600",B137="20-2540-800",B137="20-2540-100",B137="20-2540-200",B137="20-2540-300",B137="20-2540-400",B137="20-2540-600",B137="50-2540-200",B137="90-2540-100",B137="90-2540-200",B137="90-2540-300",B137="90-2540-400",B137="90-2540-600",B137="90-2540-800",B137="90-2540-800",B137="10-2550-100",B137="10-2550-200",B137="10-2550-300",B137="10-2550-400",B137="10-2550-600",B137="10-2550-800",B137="20-2550-100",B137="20-2550-200",B137="20-2550-300",B137="20-2550-400",B137="20-2550-600",B137="20-2550-800",B137="40-2550-100",B137="40-2550-200",B137="40-2550-300",B137="40-2550-400",B137="40-2550-600",B137="40-2550-800",B137="50-2550-200",B137="10-2560-100",B137="10-2560-200",B137="10-2560-300",B137="10-2560-400",B137="10-2560-600",B137="10-2560-800",B137="20-2560-100",B137="20-2560-200",B137="20-2560-300",B137="20-2560-400",B137="20-2560-600",B137="20-2560-800",B137="50-2560-200",B137="10-2570-100",B137="10-2570-200",B137="10-2570-300",B137="10-2570-400",B137="10-2570-600",B137="10-2570-800",B137="50-2570-200",B137="10-2610-100",B137="10-2610-200",B137="10-2610-300",B137="10-2610-400",B137="10-2610-600",B137="10-2610-800",B137="50-2610-200",B137="10-2620-100",B137="10-2620-200",B137="10-2620-300",B137="10-2620-400",B137="10-2620-600",B137="10-2620-800",B137="50-2620-200",B137="10-2630-100",B137="10-2630-200",B137="10-2630-300",B137="10-2630-400",B137="10-2630-600",B137="10-2630-800",B137="50-2630-200",B137="10-2640-100",B137="10-2640-200",B137="10-2640-300",B137="10-2640-400",B137="10-2640-600",B137="10-2640-800",B137="50-2640-200",B137="10-2660-100",B137="10-2660-200",B137="10-2660-300",B137="10-2660-400",B137="10-2660-600",B137="10-2660-800",B137="50-2660-200",B137="10-2900-100",B137="10-2900-200",B137="10-2900-300",B137="10-2900-400",B137="10-2900-600",B137="10-2900-800",B137="20-2900-100",B137="20-2900-200",B137="20-2900-300",B137="20-2900-400",B137="20-2900-600",B137="20-2900-800",B137="40-2900-100",B137="40-2900-200",B137="40-2900-300",B137="40-2900-400",B137="40-2900-600",B137="40-2900-800",B137="50-2900-200",B137="60-2900-100",B137="60-2900-200",B137="60-2900-300",B137="60-2900-400",B137="60-2900-600",B137="60-2900-800",B137="90-2900-100",B137="90-2900-200",B137="90-2900-300",B137="90-2900-400",B137="90-2900-600",B137="90-2900-800",B137="10-3000-100",B137="10-3000-200",B137="10-3000-300",B137="10-3000-400",B137="10-3000-600",B137="10-3000-800",B137="20-3000-100",B137="20-3000-200",B137="20-3000-300",B137="20-3000-400",B137="20-3000-600",B137="20-3000-800",B137="40-3000-100",B137="40-3000-200",B137="40-3000-300",B137="40-3000-400",B137="40-3000-600",B137="40-3000-800",B137="50-3000-200"),E137,0)</f>
        <v>0</v>
      </c>
      <c r="G137" s="1816">
        <f>IF(F137=0,0,D137-F137)</f>
        <v>0</v>
      </c>
    </row>
    <row r="138" spans="1:7" x14ac:dyDescent="0.25">
      <c r="A138" s="1675"/>
      <c r="B138" s="1689"/>
      <c r="C138" s="1676"/>
      <c r="D138" s="1867"/>
      <c r="E138" s="1562">
        <f>IF(D138&lt;=25000,D138,IF(D138&gt;25000,25000,0))</f>
        <v>0</v>
      </c>
      <c r="F138" s="1815">
        <f>IF(OR(B138="10-1000-100",B138="10-1000-200",B138="10-1000-300",B138="10-1000-400",B138="10-1000-600",B138="10-1000-800",B138="50-1000-200",B138="10-2100-100",B138="10-2100-200",B138="10-2100-300",B138="10-2100-400",B138="10-2100-600",B138="10-2100-800",B138="20-2100-200",B138="20-2190-100",B138="20-2190-200",B138="20-2190-300",B138="20-2190-400",B138="20-2190-600",B138="20-2190-800",B138="40-2190-100",B138="40-2190-200",B138="40-2190-300",B138="40-2190-400",B138="40-2190-600",B138="40-2190-800",B138="50-2190-200",B138="10-2200-100",B138="10-2200-200",B138="10-2200-300",B138="10-2200-400",B138="10-2200-600",B138="10-2200-800",B138="50-2200-200",B138="10-2300-100",B138="10-2300-200",B138="10-2300-300",B138="10-2300-400",B138="10-2300-600",B138="10-2300-800",B138="50-2300-200",B138="80-2300-100",B138="80-2300-200",B138="80-2300-300",B138="80-2300-400",B138="80-2300-600",B138="80-2300-800",B138="10-2400-100",B138="10-2400-200",B138="10-2400-300",B138="10-2400-400",B138="10-2400-600",B138="10-2400-800",B138="50-2400-200",B138="10-2510-100",B138="10-2510-200",B138="10-2510-300",B138="10-2510-400",B138="10-2510-600",B138="10-2510-800",B138="20-2510-100",B138="20-2510-200",B138="20-2510-300",B138="20-2510-400",B138="20-2510-600",B138="20-2510-800",B138="50-2510-200",B138="10-2520-100",B138="10-2520-200",B138="10-2520-300",B138="10-2520-400",B138="10-2520-600",B138="10-2520-800",B138="50-2520-200",B138="10-2540-100",B138="10-2540-200",B138="10-2540-300",B138="10-2540-400",B138="10-2540-600",B138="20-2540-800",B138="20-2540-100",B138="20-2540-200",B138="20-2540-300",B138="20-2540-400",B138="20-2540-600",B138="50-2540-200",B138="90-2540-100",B138="90-2540-200",B138="90-2540-300",B138="90-2540-400",B138="90-2540-600",B138="90-2540-800",B138="90-2540-800",B138="10-2550-100",B138="10-2550-200",B138="10-2550-300",B138="10-2550-400",B138="10-2550-600",B138="10-2550-800",B138="20-2550-100",B138="20-2550-200",B138="20-2550-300",B138="20-2550-400",B138="20-2550-600",B138="20-2550-800",B138="40-2550-100",B138="40-2550-200",B138="40-2550-300",B138="40-2550-400",B138="40-2550-600",B138="40-2550-800",B138="50-2550-200",B138="10-2560-100",B138="10-2560-200",B138="10-2560-300",B138="10-2560-400",B138="10-2560-600",B138="10-2560-800",B138="20-2560-100",B138="20-2560-200",B138="20-2560-300",B138="20-2560-400",B138="20-2560-600",B138="20-2560-800",B138="50-2560-200",B138="10-2570-100",B138="10-2570-200",B138="10-2570-300",B138="10-2570-400",B138="10-2570-600",B138="10-2570-800",B138="50-2570-200",B138="10-2610-100",B138="10-2610-200",B138="10-2610-300",B138="10-2610-400",B138="10-2610-600",B138="10-2610-800",B138="50-2610-200",B138="10-2620-100",B138="10-2620-200",B138="10-2620-300",B138="10-2620-400",B138="10-2620-600",B138="10-2620-800",B138="50-2620-200",B138="10-2630-100",B138="10-2630-200",B138="10-2630-300",B138="10-2630-400",B138="10-2630-600",B138="10-2630-800",B138="50-2630-200",B138="10-2640-100",B138="10-2640-200",B138="10-2640-300",B138="10-2640-400",B138="10-2640-600",B138="10-2640-800",B138="50-2640-200",B138="10-2660-100",B138="10-2660-200",B138="10-2660-300",B138="10-2660-400",B138="10-2660-600",B138="10-2660-800",B138="50-2660-200",B138="10-2900-100",B138="10-2900-200",B138="10-2900-300",B138="10-2900-400",B138="10-2900-600",B138="10-2900-800",B138="20-2900-100",B138="20-2900-200",B138="20-2900-300",B138="20-2900-400",B138="20-2900-600",B138="20-2900-800",B138="40-2900-100",B138="40-2900-200",B138="40-2900-300",B138="40-2900-400",B138="40-2900-600",B138="40-2900-800",B138="50-2900-200",B138="60-2900-100",B138="60-2900-200",B138="60-2900-300",B138="60-2900-400",B138="60-2900-600",B138="60-2900-800",B138="90-2900-100",B138="90-2900-200",B138="90-2900-300",B138="90-2900-400",B138="90-2900-600",B138="90-2900-800",B138="10-3000-100",B138="10-3000-200",B138="10-3000-300",B138="10-3000-400",B138="10-3000-600",B138="10-3000-800",B138="20-3000-100",B138="20-3000-200",B138="20-3000-300",B138="20-3000-400",B138="20-3000-600",B138="20-3000-800",B138="40-3000-100",B138="40-3000-200",B138="40-3000-300",B138="40-3000-400",B138="40-3000-600",B138="40-3000-800",B138="50-3000-200"),E138,0)</f>
        <v>0</v>
      </c>
      <c r="G138" s="1816">
        <f>IF(F138=0,0,D138-F138)</f>
        <v>0</v>
      </c>
    </row>
    <row r="139" spans="1:7" x14ac:dyDescent="0.25">
      <c r="A139" s="1675"/>
      <c r="B139" s="1689"/>
      <c r="C139" s="1676"/>
      <c r="D139" s="1867"/>
      <c r="E139" s="1562">
        <f>IF(D139&lt;=25000,D139,IF(D139&gt;25000,25000,0))</f>
        <v>0</v>
      </c>
      <c r="F139" s="1815">
        <f>IF(OR(B139="10-1000-100",B139="10-1000-200",B139="10-1000-300",B139="10-1000-400",B139="10-1000-600",B139="10-1000-800",B139="50-1000-200",B139="10-2100-100",B139="10-2100-200",B139="10-2100-300",B139="10-2100-400",B139="10-2100-600",B139="10-2100-800",B139="20-2100-200",B139="20-2190-100",B139="20-2190-200",B139="20-2190-300",B139="20-2190-400",B139="20-2190-600",B139="20-2190-800",B139="40-2190-100",B139="40-2190-200",B139="40-2190-300",B139="40-2190-400",B139="40-2190-600",B139="40-2190-800",B139="50-2190-200",B139="10-2200-100",B139="10-2200-200",B139="10-2200-300",B139="10-2200-400",B139="10-2200-600",B139="10-2200-800",B139="50-2200-200",B139="10-2300-100",B139="10-2300-200",B139="10-2300-300",B139="10-2300-400",B139="10-2300-600",B139="10-2300-800",B139="50-2300-200",B139="80-2300-100",B139="80-2300-200",B139="80-2300-300",B139="80-2300-400",B139="80-2300-600",B139="80-2300-800",B139="10-2400-100",B139="10-2400-200",B139="10-2400-300",B139="10-2400-400",B139="10-2400-600",B139="10-2400-800",B139="50-2400-200",B139="10-2510-100",B139="10-2510-200",B139="10-2510-300",B139="10-2510-400",B139="10-2510-600",B139="10-2510-800",B139="20-2510-100",B139="20-2510-200",B139="20-2510-300",B139="20-2510-400",B139="20-2510-600",B139="20-2510-800",B139="50-2510-200",B139="10-2520-100",B139="10-2520-200",B139="10-2520-300",B139="10-2520-400",B139="10-2520-600",B139="10-2520-800",B139="50-2520-200",B139="10-2540-100",B139="10-2540-200",B139="10-2540-300",B139="10-2540-400",B139="10-2540-600",B139="20-2540-800",B139="20-2540-100",B139="20-2540-200",B139="20-2540-300",B139="20-2540-400",B139="20-2540-600",B139="50-2540-200",B139="90-2540-100",B139="90-2540-200",B139="90-2540-300",B139="90-2540-400",B139="90-2540-600",B139="90-2540-800",B139="90-2540-800",B139="10-2550-100",B139="10-2550-200",B139="10-2550-300",B139="10-2550-400",B139="10-2550-600",B139="10-2550-800",B139="20-2550-100",B139="20-2550-200",B139="20-2550-300",B139="20-2550-400",B139="20-2550-600",B139="20-2550-800",B139="40-2550-100",B139="40-2550-200",B139="40-2550-300",B139="40-2550-400",B139="40-2550-600",B139="40-2550-800",B139="50-2550-200",B139="10-2560-100",B139="10-2560-200",B139="10-2560-300",B139="10-2560-400",B139="10-2560-600",B139="10-2560-800",B139="20-2560-100",B139="20-2560-200",B139="20-2560-300",B139="20-2560-400",B139="20-2560-600",B139="20-2560-800",B139="50-2560-200",B139="10-2570-100",B139="10-2570-200",B139="10-2570-300",B139="10-2570-400",B139="10-2570-600",B139="10-2570-800",B139="50-2570-200",B139="10-2610-100",B139="10-2610-200",B139="10-2610-300",B139="10-2610-400",B139="10-2610-600",B139="10-2610-800",B139="50-2610-200",B139="10-2620-100",B139="10-2620-200",B139="10-2620-300",B139="10-2620-400",B139="10-2620-600",B139="10-2620-800",B139="50-2620-200",B139="10-2630-100",B139="10-2630-200",B139="10-2630-300",B139="10-2630-400",B139="10-2630-600",B139="10-2630-800",B139="50-2630-200",B139="10-2640-100",B139="10-2640-200",B139="10-2640-300",B139="10-2640-400",B139="10-2640-600",B139="10-2640-800",B139="50-2640-200",B139="10-2660-100",B139="10-2660-200",B139="10-2660-300",B139="10-2660-400",B139="10-2660-600",B139="10-2660-800",B139="50-2660-200",B139="10-2900-100",B139="10-2900-200",B139="10-2900-300",B139="10-2900-400",B139="10-2900-600",B139="10-2900-800",B139="20-2900-100",B139="20-2900-200",B139="20-2900-300",B139="20-2900-400",B139="20-2900-600",B139="20-2900-800",B139="40-2900-100",B139="40-2900-200",B139="40-2900-300",B139="40-2900-400",B139="40-2900-600",B139="40-2900-800",B139="50-2900-200",B139="60-2900-100",B139="60-2900-200",B139="60-2900-300",B139="60-2900-400",B139="60-2900-600",B139="60-2900-800",B139="90-2900-100",B139="90-2900-200",B139="90-2900-300",B139="90-2900-400",B139="90-2900-600",B139="90-2900-800",B139="10-3000-100",B139="10-3000-200",B139="10-3000-300",B139="10-3000-400",B139="10-3000-600",B139="10-3000-800",B139="20-3000-100",B139="20-3000-200",B139="20-3000-300",B139="20-3000-400",B139="20-3000-600",B139="20-3000-800",B139="40-3000-100",B139="40-3000-200",B139="40-3000-300",B139="40-3000-400",B139="40-3000-600",B139="40-3000-800",B139="50-3000-200"),E139,0)</f>
        <v>0</v>
      </c>
      <c r="G139" s="1816">
        <f>IF(F139=0,0,D139-F139)</f>
        <v>0</v>
      </c>
    </row>
    <row r="140" spans="1:7" x14ac:dyDescent="0.25">
      <c r="A140" s="1675"/>
      <c r="B140" s="1688"/>
      <c r="C140" s="1676"/>
      <c r="D140" s="1867"/>
      <c r="E140" s="1562">
        <f t="shared" si="0"/>
        <v>0</v>
      </c>
      <c r="F140" s="1815">
        <f t="shared" si="1"/>
        <v>0</v>
      </c>
      <c r="G140" s="1816">
        <f t="shared" si="2"/>
        <v>0</v>
      </c>
    </row>
    <row r="141" spans="1:7" x14ac:dyDescent="0.25">
      <c r="A141" s="1819" t="s">
        <v>158</v>
      </c>
      <c r="B141" s="1820"/>
      <c r="C141" s="1821"/>
      <c r="D141" s="1817">
        <f>SUM(D17:D140)</f>
        <v>738777</v>
      </c>
      <c r="E141" s="1563">
        <f>IF(D141&lt;=25000,D141,IF(D141&gt;25000,25000,0))</f>
        <v>25000</v>
      </c>
      <c r="F141" s="1817">
        <f>SUM(F17:F140)</f>
        <v>50000</v>
      </c>
      <c r="G141" s="1818">
        <f>SUM(G17:G140)</f>
        <v>656935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T43" sqref="AT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346220</v>
      </c>
      <c r="F10" s="975"/>
      <c r="G10" s="976"/>
      <c r="H10" s="162"/>
      <c r="I10" s="162"/>
    </row>
    <row r="11" spans="1:9" s="669" customFormat="1" ht="22.5" customHeight="1" x14ac:dyDescent="0.2">
      <c r="A11" s="2305" t="s">
        <v>1944</v>
      </c>
      <c r="B11" s="2306"/>
      <c r="C11" s="2306"/>
      <c r="D11" s="2307"/>
      <c r="E11" s="978">
        <v>38857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4662359.43</v>
      </c>
      <c r="F19" s="1822"/>
      <c r="G19" s="1824">
        <f>'Expenditures 15-22'!K33-SUM('Expenditures 15-22'!G33,'Expenditures 15-22'!I33)+'Expenditures 15-22'!D229</f>
        <v>4662359.43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196915</v>
      </c>
      <c r="F21" s="1825"/>
      <c r="G21" s="1828">
        <f>'Expenditures 15-22'!K42-SUM('Expenditures 15-22'!G42,'Expenditures 15-22'!I42)+'Expenditures 15-22'!K120-SUM('Expenditures 15-22'!G120,'Expenditures 15-22'!I120)+'Expenditures 15-22'!K180-SUM('Expenditures 15-22'!G180,'Expenditures 15-22'!I180)+'Expenditures 15-22'!D238</f>
        <v>196915</v>
      </c>
      <c r="H21" s="988"/>
      <c r="I21" s="162"/>
    </row>
    <row r="22" spans="1:9" s="669" customFormat="1" ht="12" customHeight="1" x14ac:dyDescent="0.2">
      <c r="A22" s="995" t="s">
        <v>585</v>
      </c>
      <c r="B22" s="996"/>
      <c r="C22" s="994">
        <v>2200</v>
      </c>
      <c r="D22" s="1825"/>
      <c r="E22" s="1827">
        <f>'Expenditures 15-22'!K47-SUM('Expenditures 15-22'!G47,'Expenditures 15-22'!I47)+'Expenditures 15-22'!D243</f>
        <v>153388</v>
      </c>
      <c r="F22" s="1825"/>
      <c r="G22" s="1828">
        <f>'Expenditures 15-22'!K47-SUM('Expenditures 15-22'!G47,'Expenditures 15-22'!I47)+'Expenditures 15-22'!D243</f>
        <v>153388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456754</v>
      </c>
      <c r="F23" s="1825"/>
      <c r="G23" s="1827">
        <f>'Expenditures 15-22'!K53-SUM('Expenditures 15-22'!G53,'Expenditures 15-22'!I53)+'Expenditures 15-22'!D257+'Expenditures 15-22'!K330-SUM('Expenditures 15-22'!G330,'Expenditures 15-22'!I330)</f>
        <v>456754</v>
      </c>
      <c r="H23" s="988"/>
      <c r="I23" s="162"/>
    </row>
    <row r="24" spans="1:9" s="669" customFormat="1" ht="12" customHeight="1" x14ac:dyDescent="0.2">
      <c r="A24" s="995" t="s">
        <v>587</v>
      </c>
      <c r="B24" s="996"/>
      <c r="C24" s="994">
        <v>2400</v>
      </c>
      <c r="D24" s="1825"/>
      <c r="E24" s="1827">
        <f>'Expenditures 15-22'!K57-SUM('Expenditures 15-22'!G57,'Expenditures 15-22'!I57)+'Expenditures 15-22'!D261</f>
        <v>586983</v>
      </c>
      <c r="F24" s="1825"/>
      <c r="G24" s="1828">
        <f>'Expenditures 15-22'!K57-SUM('Expenditures 15-22'!G57,'Expenditures 15-22'!I57)+'Expenditures 15-22'!D261</f>
        <v>586983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214512</v>
      </c>
      <c r="E27" s="1827">
        <f>E8</f>
        <v>0</v>
      </c>
      <c r="F27" s="1827">
        <f>'Expenditures 15-22'!K60-SUM('Expenditures 15-22'!G60,'Expenditures 15-22'!I60)+'Expenditures 15-22'!D264-E8</f>
        <v>214512</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1024303</v>
      </c>
      <c r="F28" s="1829">
        <f>'Expenditures 15-22'!K61-SUM('Expenditures 15-22'!G61,'Expenditures 15-22'!I61)+'Expenditures 15-22'!K124-SUM('Expenditures 15-22'!G124,'Expenditures 15-22'!I124)+'Expenditures 15-22'!D266-E9</f>
        <v>1024303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315072</v>
      </c>
      <c r="F29" s="1825"/>
      <c r="G29" s="1828">
        <f>'Expenditures 15-22'!K62-SUM('Expenditures 15-22'!G62,'Expenditures 15-22'!I62)+'Expenditures 15-22'!K125-SUM('Expenditures 15-22'!G125,'Expenditures 15-22'!I125)+'Expenditures 15-22'!K182-SUM('Expenditures 15-22'!G182,'Expenditures 15-22'!I182)+'Expenditures 15-22'!D267</f>
        <v>315072</v>
      </c>
      <c r="H29" s="986"/>
    </row>
    <row r="30" spans="1:9" ht="12" customHeight="1" x14ac:dyDescent="0.2">
      <c r="A30" s="995" t="s">
        <v>102</v>
      </c>
      <c r="B30" s="998"/>
      <c r="C30" s="994">
        <v>2560</v>
      </c>
      <c r="D30" s="1825"/>
      <c r="E30" s="1827">
        <f>'Expenditures 15-22'!K63-SUM('Expenditures 15-22'!G63,'Expenditures 15-22'!I63)+'Expenditures 15-22'!D268-E10</f>
        <v>106750</v>
      </c>
      <c r="F30" s="1825"/>
      <c r="G30" s="1827">
        <f>'Expenditures 15-22'!K63-SUM('Expenditures 15-22'!G63,'Expenditures 15-22'!I63)+'Expenditures 15-22'!D268-E10</f>
        <v>106750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2697</v>
      </c>
      <c r="E37" s="1827">
        <f>E14</f>
        <v>0</v>
      </c>
      <c r="F37" s="1827">
        <f>'Expenditures 15-22'!K71-SUM('Expenditures 15-22'!G71,'Expenditures 15-22'!I71)+'Expenditures 15-22'!D276-E14</f>
        <v>2697</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21161</v>
      </c>
      <c r="F38" s="1825"/>
      <c r="G38" s="1827">
        <f>'Expenditures 15-22'!K73-SUM('Expenditures 15-22'!G73,'Expenditures 15-22'!I73)+'Expenditures 15-22'!K128-SUM('Expenditures 15-22'!G128,'Expenditures 15-22'!I128)+'Expenditures 15-22'!K183-SUM('Expenditures 15-22'!G183,'Expenditures 15-22'!I183)+'Expenditures 15-22'!D278</f>
        <v>21161</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45359</v>
      </c>
      <c r="F39" s="1825"/>
      <c r="G39" s="1827">
        <f>'Expenditures 15-22'!K75-SUM('Expenditures 15-22'!G75,'Expenditures 15-22'!I75)+'Expenditures 15-22'!K130-SUM('Expenditures 15-22'!G130,'Expenditures 15-22'!I130)+'Expenditures 15-22'!K185-SUM('Expenditures 15-22'!G185,'Expenditures 15-22'!I185)+'Expenditures 15-22'!D280</f>
        <v>45359</v>
      </c>
    </row>
    <row r="40" spans="1:7" ht="12" customHeight="1" x14ac:dyDescent="0.2">
      <c r="A40" s="991" t="s">
        <v>1930</v>
      </c>
      <c r="B40" s="992"/>
      <c r="C40" s="994"/>
      <c r="D40" s="1825"/>
      <c r="E40" s="1829">
        <f>-'Contracts Paid in CY 29'!G141</f>
        <v>-656935</v>
      </c>
      <c r="F40" s="1825"/>
      <c r="G40" s="1829">
        <f>-'Contracts Paid in CY 29'!G141</f>
        <v>-656935</v>
      </c>
    </row>
    <row r="41" spans="1:7" ht="12" customHeight="1" x14ac:dyDescent="0.2">
      <c r="A41" s="999" t="s">
        <v>158</v>
      </c>
      <c r="B41" s="1000"/>
      <c r="C41" s="1001"/>
      <c r="D41" s="1829">
        <f>SUM(D19:D39)</f>
        <v>217209</v>
      </c>
      <c r="E41" s="1829">
        <f>SUM(E19:E40)</f>
        <v>6912109.4299999997</v>
      </c>
      <c r="F41" s="1829">
        <f>SUM(F19:F39)</f>
        <v>1241512</v>
      </c>
      <c r="G41" s="1829">
        <f>SUM(G19:G40)</f>
        <v>5887806.4299999997</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217209</v>
      </c>
      <c r="F43" s="1830" t="s">
        <v>495</v>
      </c>
      <c r="G43" s="1831">
        <f>F41</f>
        <v>1241512</v>
      </c>
    </row>
    <row r="44" spans="1:7" ht="12" customHeight="1" x14ac:dyDescent="0.2">
      <c r="A44" s="988"/>
      <c r="B44" s="162"/>
      <c r="C44" s="1002"/>
      <c r="D44" s="1830" t="s">
        <v>494</v>
      </c>
      <c r="E44" s="1831">
        <f>E41</f>
        <v>6912109.4299999997</v>
      </c>
      <c r="F44" s="1830" t="s">
        <v>494</v>
      </c>
      <c r="G44" s="1831">
        <f>G41</f>
        <v>5887806.4299999997</v>
      </c>
    </row>
    <row r="45" spans="1:7" ht="12" customHeight="1" x14ac:dyDescent="0.2">
      <c r="A45" s="988"/>
      <c r="B45" s="162"/>
      <c r="C45" s="162"/>
      <c r="D45" s="1832" t="s">
        <v>1063</v>
      </c>
      <c r="E45" s="1833">
        <f>(E43/E44)</f>
        <v>3.1424415686659636E-2</v>
      </c>
      <c r="F45" s="1832" t="s">
        <v>1063</v>
      </c>
      <c r="G45" s="1833">
        <f>(G43/G44)</f>
        <v>0.21086155171035406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AT43" sqref="AT43"/>
      <selection pane="bottomLeft" activeCell="AT43" sqref="AT43"/>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2" t="s">
        <v>1446</v>
      </c>
      <c r="B1" s="2322"/>
      <c r="C1" s="2322"/>
      <c r="D1" s="2322"/>
      <c r="E1" s="2322"/>
      <c r="F1" s="2322"/>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3" t="s">
        <v>1627</v>
      </c>
      <c r="B5" s="2324"/>
      <c r="C5" s="2325"/>
      <c r="D5" s="2325"/>
      <c r="E5" s="2325"/>
      <c r="F5" s="2325"/>
    </row>
    <row r="6" spans="1:10" ht="12" customHeight="1" x14ac:dyDescent="0.25">
      <c r="A6" s="1874"/>
      <c r="B6" s="1875"/>
      <c r="C6" s="2326" t="str">
        <f>COVER!A17</f>
        <v>Johnston City Community Unit School District #1</v>
      </c>
      <c r="D6" s="2326"/>
      <c r="E6" s="2326"/>
      <c r="F6" s="1876"/>
    </row>
    <row r="7" spans="1:10" ht="11.25" customHeight="1" thickBot="1" x14ac:dyDescent="0.3">
      <c r="A7" s="1874"/>
      <c r="B7" s="1875"/>
      <c r="C7" s="2327" t="str">
        <f>COVER!A13</f>
        <v>21-100-0010-26</v>
      </c>
      <c r="D7" s="2327"/>
      <c r="E7" s="2327"/>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t="s">
        <v>2077</v>
      </c>
      <c r="F26" s="1891" t="s">
        <v>2099</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2077</v>
      </c>
      <c r="D31" s="1889" t="s">
        <v>2077</v>
      </c>
      <c r="E31" s="1892" t="s">
        <v>2077</v>
      </c>
      <c r="F31" s="1891" t="s">
        <v>2099</v>
      </c>
      <c r="H31" s="1902">
        <f t="shared" si="0"/>
        <v>5</v>
      </c>
      <c r="I31" s="1902">
        <f t="shared" si="1"/>
        <v>5</v>
      </c>
      <c r="J31" s="1902">
        <f t="shared" si="2"/>
        <v>5</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10</v>
      </c>
      <c r="K34" s="1902">
        <f>SUM(H34:J34)</f>
        <v>30</v>
      </c>
    </row>
    <row r="35" spans="1:11" ht="12" customHeight="1" x14ac:dyDescent="0.2">
      <c r="A35" s="1895" t="s">
        <v>1459</v>
      </c>
      <c r="B35" s="1896"/>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7"/>
      <c r="B39" s="1897"/>
      <c r="C39" s="1897"/>
      <c r="D39" s="1897"/>
      <c r="E39" s="1897"/>
      <c r="F39" s="1897"/>
    </row>
    <row r="40" spans="1:11" s="1894" customFormat="1" ht="12" customHeight="1" x14ac:dyDescent="0.25">
      <c r="A40" s="1898" t="s">
        <v>1458</v>
      </c>
      <c r="B40" s="1899"/>
      <c r="C40" s="2317"/>
      <c r="D40" s="2317"/>
      <c r="E40" s="2317"/>
      <c r="F40" s="2318"/>
      <c r="H40" s="1903"/>
      <c r="I40" s="1903"/>
      <c r="J40" s="1903"/>
      <c r="K40" s="1903"/>
    </row>
    <row r="41" spans="1:11" s="1894" customFormat="1" ht="12" customHeight="1" x14ac:dyDescent="0.25">
      <c r="A41" s="2319"/>
      <c r="B41" s="2320"/>
      <c r="C41" s="2320"/>
      <c r="D41" s="2320"/>
      <c r="E41" s="2320"/>
      <c r="F41" s="2321"/>
      <c r="H41" s="1903"/>
      <c r="I41" s="1903"/>
      <c r="J41" s="1903"/>
      <c r="K41" s="1903"/>
    </row>
    <row r="42" spans="1:11" s="1894" customFormat="1" ht="12" customHeight="1" x14ac:dyDescent="0.25">
      <c r="A42" s="2319"/>
      <c r="B42" s="2320"/>
      <c r="C42" s="2320"/>
      <c r="D42" s="2320"/>
      <c r="E42" s="2320"/>
      <c r="F42" s="2321"/>
      <c r="H42" s="1903"/>
      <c r="I42" s="1903"/>
      <c r="J42" s="1903"/>
      <c r="K42" s="1903"/>
    </row>
    <row r="43" spans="1:11" s="1894" customFormat="1" ht="15" x14ac:dyDescent="0.25">
      <c r="A43" s="2308"/>
      <c r="B43" s="2309"/>
      <c r="C43" s="2309"/>
      <c r="D43" s="2309"/>
      <c r="E43" s="2309"/>
      <c r="F43" s="2310"/>
      <c r="H43" s="1903"/>
      <c r="I43" s="1903"/>
      <c r="J43" s="1903"/>
      <c r="K43" s="1903"/>
    </row>
    <row r="44" spans="1:11" s="1894" customFormat="1" ht="12" hidden="1" customHeight="1" x14ac:dyDescent="0.25">
      <c r="A44" s="2308"/>
      <c r="B44" s="2309"/>
      <c r="C44" s="2309"/>
      <c r="D44" s="2309"/>
      <c r="E44" s="2309"/>
      <c r="F44" s="231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T43" sqref="AT4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5" t="str">
        <f>COVER!A17</f>
        <v>Johnston City Community Unit School District #1</v>
      </c>
      <c r="J6" s="2336"/>
      <c r="Q6" s="1686"/>
    </row>
    <row r="7" spans="1:17" x14ac:dyDescent="0.2">
      <c r="A7" s="2337" t="s">
        <v>924</v>
      </c>
      <c r="B7" s="2338"/>
      <c r="C7" s="2338"/>
      <c r="D7" s="2338"/>
      <c r="E7" s="2339"/>
      <c r="F7" s="1018"/>
      <c r="G7" s="1010"/>
      <c r="H7" s="1017" t="s">
        <v>390</v>
      </c>
      <c r="I7" s="2340" t="str">
        <f>COVER!A13</f>
        <v>21-100-0010-26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139694</v>
      </c>
      <c r="F12" s="1040"/>
      <c r="G12" s="1834">
        <f t="shared" ref="G12:G18" si="0">SUM(E12:F12)</f>
        <v>139694</v>
      </c>
      <c r="H12" s="1041">
        <v>144365</v>
      </c>
      <c r="I12" s="1040"/>
      <c r="J12" s="1834">
        <f t="shared" ref="J12:J18" si="1">SUM(H12:I12)</f>
        <v>144365</v>
      </c>
    </row>
    <row r="13" spans="1:17" ht="15" customHeight="1" x14ac:dyDescent="0.2">
      <c r="A13" s="1036">
        <v>2</v>
      </c>
      <c r="B13" s="1037" t="s">
        <v>44</v>
      </c>
      <c r="C13" s="1038"/>
      <c r="D13" s="1039">
        <v>2330</v>
      </c>
      <c r="E13" s="1834">
        <f>'Expenditures 15-22'!K51</f>
        <v>1000</v>
      </c>
      <c r="F13" s="1040"/>
      <c r="G13" s="1834">
        <f t="shared" si="0"/>
        <v>1000</v>
      </c>
      <c r="H13" s="1041">
        <v>1000</v>
      </c>
      <c r="I13" s="1040"/>
      <c r="J13" s="1834">
        <f t="shared" si="1"/>
        <v>1000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140694</v>
      </c>
      <c r="F19" s="1836">
        <f t="shared" si="2"/>
        <v>0</v>
      </c>
      <c r="G19" s="1836">
        <f t="shared" si="2"/>
        <v>140694</v>
      </c>
      <c r="H19" s="1836">
        <f t="shared" si="2"/>
        <v>145365</v>
      </c>
      <c r="I19" s="1836">
        <f t="shared" si="2"/>
        <v>0</v>
      </c>
      <c r="J19" s="1836">
        <f t="shared" si="2"/>
        <v>145365</v>
      </c>
    </row>
    <row r="20" spans="1:10" ht="13.5" thickTop="1" x14ac:dyDescent="0.2">
      <c r="A20" s="1036">
        <v>9</v>
      </c>
      <c r="B20" s="2347" t="s">
        <v>1703</v>
      </c>
      <c r="C20" s="2347"/>
      <c r="D20" s="2348"/>
      <c r="E20" s="1047"/>
      <c r="F20" s="1047"/>
      <c r="G20" s="1047"/>
      <c r="H20" s="1047"/>
      <c r="I20" s="1047"/>
      <c r="J20" s="1837">
        <f>IF(AND(G19&gt;0,J19&gt;0),(((J19-G19)/G19)),"Enter Budget Data")</f>
        <v>3.3199710008955607E-2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T43" sqref="AT4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2109</v>
      </c>
    </row>
    <row r="6" spans="1:2" x14ac:dyDescent="0.2">
      <c r="A6" s="1069">
        <v>2</v>
      </c>
      <c r="B6" s="329" t="s">
        <v>2110</v>
      </c>
    </row>
    <row r="7" spans="1:2" x14ac:dyDescent="0.2">
      <c r="A7" s="1069">
        <v>3</v>
      </c>
      <c r="B7" s="329" t="s">
        <v>2111</v>
      </c>
    </row>
    <row r="8" spans="1:2" x14ac:dyDescent="0.2">
      <c r="A8" s="1069">
        <v>4</v>
      </c>
      <c r="B8" s="329" t="s">
        <v>2112</v>
      </c>
    </row>
    <row r="9" spans="1:2" x14ac:dyDescent="0.2">
      <c r="A9" s="1070">
        <v>5</v>
      </c>
      <c r="B9" s="329" t="s">
        <v>2113</v>
      </c>
    </row>
    <row r="10" spans="1:2" x14ac:dyDescent="0.2">
      <c r="A10" s="1070">
        <v>6</v>
      </c>
      <c r="B10" s="329" t="s">
        <v>2114</v>
      </c>
    </row>
    <row r="11" spans="1:2" x14ac:dyDescent="0.2">
      <c r="A11" s="1070">
        <v>7</v>
      </c>
      <c r="B11" s="329" t="s">
        <v>2116</v>
      </c>
    </row>
    <row r="12" spans="1:2" x14ac:dyDescent="0.2">
      <c r="A12" s="1070">
        <v>8</v>
      </c>
      <c r="B12" s="329" t="s">
        <v>2115</v>
      </c>
    </row>
    <row r="13" spans="1:2" x14ac:dyDescent="0.2">
      <c r="A13" s="1070">
        <v>9</v>
      </c>
      <c r="B13" s="329" t="s">
        <v>2117</v>
      </c>
    </row>
    <row r="14" spans="1:2" x14ac:dyDescent="0.2">
      <c r="A14" s="1070">
        <v>10</v>
      </c>
      <c r="B14" s="329" t="s">
        <v>2118</v>
      </c>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Johnston City Community Unit School District #1</v>
      </c>
    </row>
    <row r="65" spans="2:2" x14ac:dyDescent="0.2">
      <c r="B65" s="1071" t="str">
        <f>COVER!A13</f>
        <v>21-100-0010-26</v>
      </c>
    </row>
  </sheetData>
  <phoneticPr fontId="16"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T43" sqref="AT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T43" sqref="AT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9046081.4000000004</v>
      </c>
      <c r="C8" s="1838">
        <f>'Acct Summary 7-8'!D8</f>
        <v>413929</v>
      </c>
      <c r="D8" s="1838">
        <f>'Acct Summary 7-8'!F8</f>
        <v>432166</v>
      </c>
      <c r="E8" s="1838">
        <f>'Acct Summary 7-8'!I8</f>
        <v>37076</v>
      </c>
      <c r="F8" s="1838">
        <f>SUM(B8:E8)</f>
        <v>9929252.4000000004</v>
      </c>
    </row>
    <row r="9" spans="1:8" s="1080" customFormat="1" ht="14.25" customHeight="1" thickBot="1" x14ac:dyDescent="0.25">
      <c r="A9" s="1079" t="s">
        <v>1436</v>
      </c>
      <c r="B9" s="1839">
        <f>'Acct Summary 7-8'!C17</f>
        <v>8343283</v>
      </c>
      <c r="C9" s="1839">
        <f>'Acct Summary 7-8'!D17</f>
        <v>447774</v>
      </c>
      <c r="D9" s="1839">
        <f>'Acct Summary 7-8'!F17</f>
        <v>385591</v>
      </c>
      <c r="E9" s="1838"/>
      <c r="F9" s="1838">
        <f>SUM(B9:E9)</f>
        <v>9176648</v>
      </c>
    </row>
    <row r="10" spans="1:8" s="1080" customFormat="1" ht="14.25" thickTop="1" thickBot="1" x14ac:dyDescent="0.25">
      <c r="A10" s="1081" t="s">
        <v>1437</v>
      </c>
      <c r="B10" s="1840">
        <f>(B8-B9)</f>
        <v>702798.40000000037</v>
      </c>
      <c r="C10" s="1840">
        <f>(C8-C9)</f>
        <v>-33845</v>
      </c>
      <c r="D10" s="1840">
        <f>(D8-D9)</f>
        <v>46575</v>
      </c>
      <c r="E10" s="1839">
        <f>(E8-E9)</f>
        <v>37076</v>
      </c>
      <c r="F10" s="1841">
        <f>SUM(F8-F9)</f>
        <v>752604.40000000037</v>
      </c>
    </row>
    <row r="11" spans="1:8" s="1080" customFormat="1" ht="14.25" thickTop="1" thickBot="1" x14ac:dyDescent="0.25">
      <c r="A11" s="1082" t="s">
        <v>1785</v>
      </c>
      <c r="B11" s="1842">
        <f>'Acct Summary 7-8'!C81</f>
        <v>1547993.4000000004</v>
      </c>
      <c r="C11" s="1842">
        <f>'Acct Summary 7-8'!D81</f>
        <v>626909</v>
      </c>
      <c r="D11" s="1842">
        <f>'Acct Summary 7-8'!F81</f>
        <v>50897</v>
      </c>
      <c r="E11" s="1842">
        <f>'Acct Summary 7-8'!I81</f>
        <v>1048944</v>
      </c>
      <c r="F11" s="1843">
        <f>SUM(B11:E11)</f>
        <v>3274743.4000000004</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66" sqref="D66"/>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
        <v>2130</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
        <v>2130</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Obykzhg7KRduJq7kf+pyVedYMFy5ge4k0UmDMSntp2d2rQMz32yu58YY2BjwG03pScoAAb6Qw5lrgCOJ02mSuw==" saltValue="venI4HFF8vJtIpkvgCdW8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21-100-0010-26</v>
      </c>
    </row>
    <row r="3" spans="1:2" x14ac:dyDescent="0.2">
      <c r="A3" t="s">
        <v>1013</v>
      </c>
      <c r="B3" s="138" t="str">
        <f>COVER!A15</f>
        <v>Williamson</v>
      </c>
    </row>
    <row r="4" spans="1:2" x14ac:dyDescent="0.2">
      <c r="A4" t="s">
        <v>1064</v>
      </c>
      <c r="B4" s="138" t="str">
        <f>COVER!A17</f>
        <v>Johnston City Community Unit School District #1</v>
      </c>
    </row>
    <row r="5" spans="1:2" x14ac:dyDescent="0.2">
      <c r="A5" t="s">
        <v>728</v>
      </c>
      <c r="B5" s="138" t="str">
        <f>COVER!A38</f>
        <v>Mrs. Kathy Clark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065-022629</v>
      </c>
    </row>
    <row r="16" spans="1:2" x14ac:dyDescent="0.2">
      <c r="A16" t="s">
        <v>442</v>
      </c>
      <c r="B16" s="138" t="str">
        <f>COVER!T13</f>
        <v>Cindy A. Bobell, CPA</v>
      </c>
    </row>
    <row r="17" spans="1:2" x14ac:dyDescent="0.2">
      <c r="A17" t="s">
        <v>939</v>
      </c>
      <c r="B17" s="138" t="str">
        <f>COVER!T15</f>
        <v>Cindy A. Bobell, CPA</v>
      </c>
    </row>
    <row r="18" spans="1:2" x14ac:dyDescent="0.2">
      <c r="A18" t="s">
        <v>1212</v>
      </c>
      <c r="B18" s="138" t="str">
        <f>COVER!T17</f>
        <v>10653 Khoury League Road</v>
      </c>
    </row>
    <row r="19" spans="1:2" x14ac:dyDescent="0.2">
      <c r="A19" t="s">
        <v>941</v>
      </c>
      <c r="B19" s="138">
        <f>COVER!T25</f>
        <v>0</v>
      </c>
    </row>
    <row r="20" spans="1:2" x14ac:dyDescent="0.2">
      <c r="A20" t="s">
        <v>942</v>
      </c>
      <c r="B20" s="138" t="str">
        <f>COVER!T19</f>
        <v>Marion</v>
      </c>
    </row>
    <row r="21" spans="1:2" x14ac:dyDescent="0.2">
      <c r="A21" t="s">
        <v>500</v>
      </c>
      <c r="B21" s="138" t="str">
        <f>COVER!X19</f>
        <v>IL</v>
      </c>
    </row>
    <row r="22" spans="1:2" x14ac:dyDescent="0.2">
      <c r="A22" t="s">
        <v>943</v>
      </c>
      <c r="B22" s="138">
        <f>COVER!Z19</f>
        <v>62959</v>
      </c>
    </row>
    <row r="23" spans="1:2" x14ac:dyDescent="0.2">
      <c r="A23" t="s">
        <v>1214</v>
      </c>
      <c r="B23" s="138" t="str">
        <f>COVER!T21</f>
        <v>618-997-9711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1549789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1796</v>
      </c>
      <c r="C91" s="2" t="s">
        <v>594</v>
      </c>
      <c r="D91" s="2" t="str">
        <f t="shared" si="0"/>
        <v>Error?</v>
      </c>
    </row>
    <row r="92" spans="1:4" x14ac:dyDescent="0.2">
      <c r="A92" s="5">
        <v>31</v>
      </c>
      <c r="B92" s="138">
        <f>'Assets-Liab 5-6'!C39</f>
        <v>1547993</v>
      </c>
      <c r="D92" s="2" t="str">
        <f t="shared" si="0"/>
        <v>Error?</v>
      </c>
    </row>
    <row r="93" spans="1:4" x14ac:dyDescent="0.2">
      <c r="A93" s="5">
        <v>32</v>
      </c>
      <c r="B93" s="138">
        <f>'Assets-Liab 5-6'!C41</f>
        <v>1549789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626909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626909</v>
      </c>
      <c r="D123" s="2" t="str">
        <f t="shared" si="0"/>
        <v>Error?</v>
      </c>
    </row>
    <row r="124" spans="1:4" x14ac:dyDescent="0.2">
      <c r="A124" s="5">
        <v>63</v>
      </c>
      <c r="B124" s="138">
        <f>'Assets-Liab 5-6'!D41</f>
        <v>626909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837025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837025</v>
      </c>
      <c r="D140" s="2" t="str">
        <f t="shared" si="1"/>
        <v>Error?</v>
      </c>
    </row>
    <row r="141" spans="1:4" x14ac:dyDescent="0.2">
      <c r="A141" s="5">
        <v>80</v>
      </c>
      <c r="B141" s="138">
        <f>'Assets-Liab 5-6'!E41</f>
        <v>837025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50897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50897</v>
      </c>
      <c r="D170" s="2" t="str">
        <f t="shared" si="1"/>
        <v>Error?</v>
      </c>
    </row>
    <row r="171" spans="1:4" x14ac:dyDescent="0.2">
      <c r="A171" s="5">
        <v>110</v>
      </c>
      <c r="B171" s="138">
        <f>'Assets-Liab 5-6'!F41</f>
        <v>50897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443605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443605</v>
      </c>
      <c r="D189" s="2" t="str">
        <f t="shared" si="1"/>
        <v>Error?</v>
      </c>
    </row>
    <row r="190" spans="1:4" x14ac:dyDescent="0.2">
      <c r="A190" s="5">
        <v>129</v>
      </c>
      <c r="B190" s="138">
        <f>'Assets-Liab 5-6'!G41</f>
        <v>443605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1693283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1792278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1792278</v>
      </c>
      <c r="D212" s="2" t="str">
        <f t="shared" si="2"/>
        <v>Error?</v>
      </c>
    </row>
    <row r="213" spans="1:4" x14ac:dyDescent="0.2">
      <c r="A213" s="12">
        <v>152</v>
      </c>
      <c r="B213" s="138">
        <f>'Assets-Liab 5-6'!H41</f>
        <v>1792278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81746</v>
      </c>
      <c r="D273" s="2" t="str">
        <f t="shared" si="3"/>
        <v>Error?</v>
      </c>
    </row>
    <row r="274" spans="1:4" x14ac:dyDescent="0.2">
      <c r="A274" s="5">
        <v>213</v>
      </c>
      <c r="B274" s="138">
        <f>'Assets-Liab 5-6'!M17</f>
        <v>12684081</v>
      </c>
      <c r="D274" s="2" t="str">
        <f t="shared" si="3"/>
        <v>Error?</v>
      </c>
    </row>
    <row r="275" spans="1:4" x14ac:dyDescent="0.2">
      <c r="A275" s="5">
        <v>214</v>
      </c>
      <c r="B275" s="138">
        <f>'Assets-Liab 5-6'!M18</f>
        <v>11417574</v>
      </c>
      <c r="D275" s="2" t="str">
        <f t="shared" si="3"/>
        <v>Error?</v>
      </c>
    </row>
    <row r="276" spans="1:4" x14ac:dyDescent="0.2">
      <c r="A276" s="5">
        <v>215</v>
      </c>
      <c r="B276" s="138">
        <f>'Assets-Liab 5-6'!M19</f>
        <v>2637721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26821122</v>
      </c>
      <c r="C279" s="2" t="s">
        <v>594</v>
      </c>
      <c r="D279" s="2" t="str">
        <f t="shared" si="3"/>
        <v>Error?</v>
      </c>
    </row>
    <row r="280" spans="1:4" x14ac:dyDescent="0.2">
      <c r="A280" s="5">
        <v>219</v>
      </c>
      <c r="B280" s="138">
        <f>'Assets-Liab 5-6'!M40</f>
        <v>26821122</v>
      </c>
      <c r="D280" s="2" t="str">
        <f t="shared" si="3"/>
        <v>Error?</v>
      </c>
    </row>
    <row r="281" spans="1:4" x14ac:dyDescent="0.2">
      <c r="A281" s="5">
        <v>220</v>
      </c>
      <c r="B281" s="138">
        <f>'Assets-Liab 5-6'!M41</f>
        <v>26821122</v>
      </c>
      <c r="C281" s="2" t="s">
        <v>594</v>
      </c>
      <c r="D281" s="2" t="str">
        <f t="shared" si="3"/>
        <v>Error?</v>
      </c>
    </row>
    <row r="282" spans="1:4" x14ac:dyDescent="0.2">
      <c r="A282" s="5">
        <v>221</v>
      </c>
      <c r="B282" s="138">
        <f>'Assets-Liab 5-6'!N21</f>
        <v>837025</v>
      </c>
      <c r="D282" s="2" t="str">
        <f t="shared" si="3"/>
        <v>Error?</v>
      </c>
    </row>
    <row r="283" spans="1:4" x14ac:dyDescent="0.2">
      <c r="A283" s="5">
        <v>222</v>
      </c>
      <c r="B283" s="138">
        <f>'Assets-Liab 5-6'!N22</f>
        <v>6067276</v>
      </c>
      <c r="D283" s="2" t="str">
        <f t="shared" si="3"/>
        <v>Error?</v>
      </c>
    </row>
    <row r="284" spans="1:4" x14ac:dyDescent="0.2">
      <c r="A284" s="5">
        <v>223</v>
      </c>
      <c r="B284" s="138">
        <f>'Assets-Liab 5-6'!N23</f>
        <v>6904301</v>
      </c>
      <c r="C284" s="2" t="s">
        <v>594</v>
      </c>
      <c r="D284" s="2" t="str">
        <f t="shared" si="3"/>
        <v>Error?</v>
      </c>
    </row>
    <row r="285" spans="1:4" x14ac:dyDescent="0.2">
      <c r="A285" s="5">
        <v>224</v>
      </c>
      <c r="B285" s="138">
        <f>'Assets-Liab 5-6'!N36</f>
        <v>6904301</v>
      </c>
      <c r="D285" s="2" t="str">
        <f t="shared" si="3"/>
        <v>Error?</v>
      </c>
    </row>
    <row r="286" spans="1:4" x14ac:dyDescent="0.2">
      <c r="A286" s="10">
        <v>225</v>
      </c>
      <c r="D286" s="2" t="str">
        <f t="shared" si="3"/>
        <v>OK</v>
      </c>
    </row>
    <row r="287" spans="1:4" x14ac:dyDescent="0.2">
      <c r="A287" s="5">
        <v>226</v>
      </c>
      <c r="B287" s="138">
        <f>'Assets-Liab 5-6'!N37</f>
        <v>6904301</v>
      </c>
      <c r="C287" s="2" t="s">
        <v>594</v>
      </c>
      <c r="D287" s="2" t="str">
        <f t="shared" si="3"/>
        <v>Error?</v>
      </c>
    </row>
    <row r="288" spans="1:4" x14ac:dyDescent="0.2">
      <c r="A288" s="5">
        <v>227</v>
      </c>
      <c r="B288" s="138">
        <f>'Assets-Liab 5-6'!N41</f>
        <v>6904301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2656948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215049</v>
      </c>
      <c r="D717" s="2" t="str">
        <f t="shared" si="10"/>
        <v>Error?</v>
      </c>
    </row>
    <row r="718" spans="1:4" x14ac:dyDescent="0.2">
      <c r="A718" s="5">
        <v>657</v>
      </c>
      <c r="B718" s="138">
        <f>'Expenditures 15-22'!C14</f>
        <v>137832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3232142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67417</v>
      </c>
      <c r="D722" s="2" t="str">
        <f t="shared" si="10"/>
        <v>Error?</v>
      </c>
    </row>
    <row r="723" spans="1:4" x14ac:dyDescent="0.2">
      <c r="A723" s="5">
        <v>662</v>
      </c>
      <c r="B723" s="138">
        <f>'Expenditures 15-22'!C38</f>
        <v>47950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37608</v>
      </c>
      <c r="D726" s="2" t="str">
        <f t="shared" si="10"/>
        <v>Error?</v>
      </c>
    </row>
    <row r="727" spans="1:4" x14ac:dyDescent="0.2">
      <c r="A727" s="5">
        <v>666</v>
      </c>
      <c r="B727" s="138">
        <f>'Expenditures 15-22'!C42</f>
        <v>152975</v>
      </c>
      <c r="C727" s="2" t="s">
        <v>594</v>
      </c>
      <c r="D727" s="2" t="str">
        <f t="shared" si="10"/>
        <v>Error?</v>
      </c>
    </row>
    <row r="728" spans="1:4" x14ac:dyDescent="0.2">
      <c r="A728" s="5">
        <v>667</v>
      </c>
      <c r="B728" s="138">
        <f>'Expenditures 15-22'!C44</f>
        <v>85092</v>
      </c>
      <c r="D728" s="2" t="str">
        <f t="shared" si="10"/>
        <v>Error?</v>
      </c>
    </row>
    <row r="729" spans="1:4" x14ac:dyDescent="0.2">
      <c r="A729" s="5">
        <v>668</v>
      </c>
      <c r="B729" s="138">
        <f>'Expenditures 15-22'!C45</f>
        <v>25660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110752</v>
      </c>
      <c r="C731" s="2" t="s">
        <v>594</v>
      </c>
      <c r="D731" s="2" t="str">
        <f t="shared" si="10"/>
        <v>Error?</v>
      </c>
    </row>
    <row r="732" spans="1:4" x14ac:dyDescent="0.2">
      <c r="A732" s="5">
        <v>671</v>
      </c>
      <c r="B732" s="138">
        <f>'Expenditures 15-22'!C49</f>
        <v>11597</v>
      </c>
      <c r="D732" s="2" t="str">
        <f t="shared" si="10"/>
        <v>Error?</v>
      </c>
    </row>
    <row r="733" spans="1:4" x14ac:dyDescent="0.2">
      <c r="A733" s="5">
        <v>672</v>
      </c>
      <c r="B733" s="138">
        <f>'Expenditures 15-22'!C50</f>
        <v>108601</v>
      </c>
      <c r="D733" s="2" t="str">
        <f t="shared" si="10"/>
        <v>Error?</v>
      </c>
    </row>
    <row r="734" spans="1:4" x14ac:dyDescent="0.2">
      <c r="A734" s="5">
        <v>673</v>
      </c>
      <c r="B734" s="138">
        <f>'Expenditures 15-22'!C53</f>
        <v>120198</v>
      </c>
      <c r="C734" s="2" t="s">
        <v>594</v>
      </c>
      <c r="D734" s="2" t="str">
        <f t="shared" si="10"/>
        <v>Error?</v>
      </c>
    </row>
    <row r="735" spans="1:4" x14ac:dyDescent="0.2">
      <c r="A735" s="5">
        <v>674</v>
      </c>
      <c r="B735" s="138">
        <f>'Expenditures 15-22'!C55</f>
        <v>423412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423412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135022</v>
      </c>
      <c r="D739" s="2" t="str">
        <f t="shared" si="10"/>
        <v>Error?</v>
      </c>
    </row>
    <row r="740" spans="1:4" x14ac:dyDescent="0.2">
      <c r="A740" s="5">
        <v>679</v>
      </c>
      <c r="B740" s="138">
        <f>'Expenditures 15-22'!C61</f>
        <v>409672</v>
      </c>
      <c r="D740" s="2" t="str">
        <f t="shared" si="10"/>
        <v>Error?</v>
      </c>
    </row>
    <row r="741" spans="1:4" x14ac:dyDescent="0.2">
      <c r="A741" s="5">
        <v>680</v>
      </c>
      <c r="B741" s="138">
        <f>'Expenditures 15-22'!C62</f>
        <v>7161</v>
      </c>
      <c r="D741" s="2" t="str">
        <f t="shared" si="10"/>
        <v>Error?</v>
      </c>
    </row>
    <row r="742" spans="1:4" x14ac:dyDescent="0.2">
      <c r="A742" s="5">
        <v>681</v>
      </c>
      <c r="B742" s="138">
        <f>'Expenditures 15-22'!C63</f>
        <v>22104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573959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1381296</v>
      </c>
      <c r="C755" s="2" t="s">
        <v>594</v>
      </c>
      <c r="D755" s="2" t="str">
        <f t="shared" si="10"/>
        <v>Error?</v>
      </c>
    </row>
    <row r="756" spans="1:4" x14ac:dyDescent="0.2">
      <c r="A756" s="5">
        <v>695</v>
      </c>
      <c r="B756" s="138">
        <f>'Expenditures 15-22'!C75</f>
        <v>32517</v>
      </c>
      <c r="D756" s="2" t="str">
        <f t="shared" si="10"/>
        <v>Error?</v>
      </c>
    </row>
    <row r="757" spans="1:4" x14ac:dyDescent="0.2">
      <c r="A757" s="5">
        <v>696</v>
      </c>
      <c r="B757" s="138">
        <f>'Expenditures 15-22'!C114</f>
        <v>4645955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759579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59419</v>
      </c>
      <c r="D775" s="2" t="str">
        <f t="shared" si="11"/>
        <v>Error?</v>
      </c>
    </row>
    <row r="776" spans="1:4" x14ac:dyDescent="0.2">
      <c r="A776" s="5">
        <v>715</v>
      </c>
      <c r="B776" s="138">
        <f>'Expenditures 15-22'!D14</f>
        <v>23658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891857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17280</v>
      </c>
      <c r="D780" s="2" t="str">
        <f t="shared" si="11"/>
        <v>Error?</v>
      </c>
    </row>
    <row r="781" spans="1:4" x14ac:dyDescent="0.2">
      <c r="A781" s="5">
        <v>720</v>
      </c>
      <c r="B781" s="138">
        <f>'Expenditures 15-22'!D38</f>
        <v>8634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775</v>
      </c>
      <c r="D784" s="2" t="str">
        <f t="shared" si="11"/>
        <v>Error?</v>
      </c>
    </row>
    <row r="785" spans="1:4" x14ac:dyDescent="0.2">
      <c r="A785" s="5">
        <v>724</v>
      </c>
      <c r="B785" s="138">
        <f>'Expenditures 15-22'!D42</f>
        <v>26689</v>
      </c>
      <c r="C785" s="2" t="s">
        <v>594</v>
      </c>
      <c r="D785" s="2" t="str">
        <f t="shared" si="11"/>
        <v>Error?</v>
      </c>
    </row>
    <row r="786" spans="1:4" x14ac:dyDescent="0.2">
      <c r="A786" s="5">
        <v>725</v>
      </c>
      <c r="B786" s="138">
        <f>'Expenditures 15-22'!D44</f>
        <v>11522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11522</v>
      </c>
      <c r="C789" s="2" t="s">
        <v>594</v>
      </c>
      <c r="D789" s="2" t="str">
        <f t="shared" si="11"/>
        <v>Error?</v>
      </c>
    </row>
    <row r="790" spans="1:4" x14ac:dyDescent="0.2">
      <c r="A790" s="5">
        <v>729</v>
      </c>
      <c r="B790" s="138">
        <f>'Expenditures 15-22'!D49</f>
        <v>81284</v>
      </c>
      <c r="D790" s="2" t="str">
        <f t="shared" si="11"/>
        <v>Error?</v>
      </c>
    </row>
    <row r="791" spans="1:4" x14ac:dyDescent="0.2">
      <c r="A791" s="5">
        <v>730</v>
      </c>
      <c r="B791" s="138">
        <f>'Expenditures 15-22'!D50</f>
        <v>20247</v>
      </c>
      <c r="D791" s="2" t="str">
        <f t="shared" si="11"/>
        <v>Error?</v>
      </c>
    </row>
    <row r="792" spans="1:4" x14ac:dyDescent="0.2">
      <c r="A792" s="5">
        <v>731</v>
      </c>
      <c r="B792" s="138">
        <f>'Expenditures 15-22'!D53</f>
        <v>101531</v>
      </c>
      <c r="C792" s="2" t="s">
        <v>594</v>
      </c>
      <c r="D792" s="2" t="str">
        <f t="shared" si="11"/>
        <v>Error?</v>
      </c>
    </row>
    <row r="793" spans="1:4" x14ac:dyDescent="0.2">
      <c r="A793" s="5">
        <v>732</v>
      </c>
      <c r="B793" s="138">
        <f>'Expenditures 15-22'!D55</f>
        <v>123170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123170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23589</v>
      </c>
      <c r="D797" s="2" t="str">
        <f t="shared" si="11"/>
        <v>Error?</v>
      </c>
    </row>
    <row r="798" spans="1:4" x14ac:dyDescent="0.2">
      <c r="A798" s="5">
        <v>737</v>
      </c>
      <c r="B798" s="138">
        <f>'Expenditures 15-22'!D61</f>
        <v>82290</v>
      </c>
      <c r="D798" s="2" t="str">
        <f t="shared" si="11"/>
        <v>Error?</v>
      </c>
    </row>
    <row r="799" spans="1:4" x14ac:dyDescent="0.2">
      <c r="A799" s="5">
        <v>738</v>
      </c>
      <c r="B799" s="138">
        <f>'Expenditures 15-22'!D62</f>
        <v>419</v>
      </c>
      <c r="D799" s="2" t="str">
        <f t="shared" si="11"/>
        <v>Error?</v>
      </c>
    </row>
    <row r="800" spans="1:4" x14ac:dyDescent="0.2">
      <c r="A800" s="5">
        <v>739</v>
      </c>
      <c r="B800" s="138">
        <f>'Expenditures 15-22'!D63</f>
        <v>8634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114932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377844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1269701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120648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1117</v>
      </c>
      <c r="D833" s="2" t="str">
        <f t="shared" si="12"/>
        <v>Error?</v>
      </c>
    </row>
    <row r="834" spans="1:4" x14ac:dyDescent="0.2">
      <c r="A834" s="5">
        <v>773</v>
      </c>
      <c r="B834" s="138">
        <f>'Expenditures 15-22'!E14</f>
        <v>35476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190754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155</v>
      </c>
      <c r="D838" s="2" t="str">
        <f t="shared" si="12"/>
        <v>Error?</v>
      </c>
    </row>
    <row r="839" spans="1:4" x14ac:dyDescent="0.2">
      <c r="A839" s="5">
        <v>778</v>
      </c>
      <c r="B839" s="138">
        <f>'Expenditures 15-22'!E38</f>
        <v>2034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510</v>
      </c>
      <c r="D842" s="2" t="str">
        <f t="shared" si="12"/>
        <v>Error?</v>
      </c>
    </row>
    <row r="843" spans="1:4" x14ac:dyDescent="0.2">
      <c r="A843" s="5">
        <v>782</v>
      </c>
      <c r="B843" s="138">
        <f>'Expenditures 15-22'!E42</f>
        <v>2699</v>
      </c>
      <c r="C843" s="2" t="s">
        <v>594</v>
      </c>
      <c r="D843" s="2" t="str">
        <f t="shared" si="12"/>
        <v>Error?</v>
      </c>
    </row>
    <row r="844" spans="1:4" x14ac:dyDescent="0.2">
      <c r="A844" s="5">
        <v>783</v>
      </c>
      <c r="B844" s="138">
        <f>'Expenditures 15-22'!E44</f>
        <v>7538</v>
      </c>
      <c r="D844" s="2" t="str">
        <f t="shared" si="12"/>
        <v>Error?</v>
      </c>
    </row>
    <row r="845" spans="1:4" x14ac:dyDescent="0.2">
      <c r="A845" s="5">
        <v>784</v>
      </c>
      <c r="B845" s="138">
        <f>'Expenditures 15-22'!E45</f>
        <v>400</v>
      </c>
      <c r="D845" s="2" t="str">
        <f t="shared" si="12"/>
        <v>Error?</v>
      </c>
    </row>
    <row r="846" spans="1:4" x14ac:dyDescent="0.2">
      <c r="A846" s="5">
        <v>785</v>
      </c>
      <c r="B846" s="138">
        <f>'Expenditures 15-22'!E46</f>
        <v>7290</v>
      </c>
      <c r="D846" s="2" t="str">
        <f t="shared" si="12"/>
        <v>Error?</v>
      </c>
    </row>
    <row r="847" spans="1:4" x14ac:dyDescent="0.2">
      <c r="A847" s="5">
        <v>786</v>
      </c>
      <c r="B847" s="138">
        <f>'Expenditures 15-22'!E47</f>
        <v>15228</v>
      </c>
      <c r="C847" s="2" t="s">
        <v>594</v>
      </c>
      <c r="D847" s="2" t="str">
        <f t="shared" si="12"/>
        <v>Error?</v>
      </c>
    </row>
    <row r="848" spans="1:4" x14ac:dyDescent="0.2">
      <c r="A848" s="5">
        <v>787</v>
      </c>
      <c r="B848" s="138">
        <f>'Expenditures 15-22'!E49</f>
        <v>40625</v>
      </c>
      <c r="D848" s="2" t="str">
        <f t="shared" si="12"/>
        <v>Error?</v>
      </c>
    </row>
    <row r="849" spans="1:4" x14ac:dyDescent="0.2">
      <c r="A849" s="5">
        <v>788</v>
      </c>
      <c r="B849" s="138">
        <f>'Expenditures 15-22'!E50</f>
        <v>6498</v>
      </c>
      <c r="D849" s="2" t="str">
        <f t="shared" si="12"/>
        <v>Error?</v>
      </c>
    </row>
    <row r="850" spans="1:4" x14ac:dyDescent="0.2">
      <c r="A850" s="5">
        <v>789</v>
      </c>
      <c r="B850" s="138">
        <f>'Expenditures 15-22'!E53</f>
        <v>48123</v>
      </c>
      <c r="C850" s="2" t="s">
        <v>594</v>
      </c>
      <c r="D850" s="2" t="str">
        <f t="shared" si="12"/>
        <v>Error?</v>
      </c>
    </row>
    <row r="851" spans="1:4" x14ac:dyDescent="0.2">
      <c r="A851" s="5">
        <v>790</v>
      </c>
      <c r="B851" s="138">
        <f>'Expenditures 15-22'!E55</f>
        <v>6746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6746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28973</v>
      </c>
      <c r="D855" s="2" t="str">
        <f t="shared" si="12"/>
        <v>Error?</v>
      </c>
    </row>
    <row r="856" spans="1:4" x14ac:dyDescent="0.2">
      <c r="A856" s="5">
        <v>795</v>
      </c>
      <c r="B856" s="138">
        <f>'Expenditures 15-22'!E61</f>
        <v>11400</v>
      </c>
      <c r="D856" s="2" t="str">
        <f t="shared" si="12"/>
        <v>Error?</v>
      </c>
    </row>
    <row r="857" spans="1:4" x14ac:dyDescent="0.2">
      <c r="A857" s="5">
        <v>796</v>
      </c>
      <c r="B857" s="138">
        <f>'Expenditures 15-22'!E62</f>
        <v>55</v>
      </c>
      <c r="D857" s="2" t="str">
        <f t="shared" si="12"/>
        <v>Error?</v>
      </c>
    </row>
    <row r="858" spans="1:4" x14ac:dyDescent="0.2">
      <c r="A858" s="5">
        <v>797</v>
      </c>
      <c r="B858" s="138">
        <f>'Expenditures 15-22'!E63</f>
        <v>417068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457496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2697</v>
      </c>
      <c r="D867" s="2" t="str">
        <f t="shared" si="12"/>
        <v>Error?</v>
      </c>
    </row>
    <row r="868" spans="1:4" x14ac:dyDescent="0.2">
      <c r="A868" s="10">
        <v>807</v>
      </c>
      <c r="D868" s="2" t="str">
        <f t="shared" si="12"/>
        <v>OK</v>
      </c>
    </row>
    <row r="869" spans="1:4" x14ac:dyDescent="0.2">
      <c r="A869" s="5">
        <v>808</v>
      </c>
      <c r="B869" s="138">
        <f>'Expenditures 15-22'!E72</f>
        <v>2697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532989</v>
      </c>
      <c r="C871" s="2" t="s">
        <v>594</v>
      </c>
      <c r="D871" s="2" t="str">
        <f t="shared" si="12"/>
        <v>Error?</v>
      </c>
    </row>
    <row r="872" spans="1:4" x14ac:dyDescent="0.2">
      <c r="A872" s="5">
        <v>811</v>
      </c>
      <c r="B872" s="138">
        <f>'Expenditures 15-22'!E75</f>
        <v>534</v>
      </c>
      <c r="D872" s="2" t="str">
        <f t="shared" si="12"/>
        <v>Error?</v>
      </c>
    </row>
    <row r="873" spans="1:4" x14ac:dyDescent="0.2">
      <c r="A873" s="5">
        <v>812</v>
      </c>
      <c r="B873" s="138">
        <f>'Expenditures 15-22'!E114</f>
        <v>724277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199086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256</v>
      </c>
      <c r="D891" s="2" t="str">
        <f t="shared" si="12"/>
        <v>Error?</v>
      </c>
    </row>
    <row r="892" spans="1:4" x14ac:dyDescent="0.2">
      <c r="A892" s="5">
        <v>831</v>
      </c>
      <c r="B892" s="138">
        <f>'Expenditures 15-22'!F14</f>
        <v>22735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238682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1126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1126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4483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4483</v>
      </c>
      <c r="C905" s="2" t="s">
        <v>594</v>
      </c>
      <c r="D905" s="2" t="str">
        <f t="shared" si="13"/>
        <v>Error?</v>
      </c>
    </row>
    <row r="906" spans="1:4" x14ac:dyDescent="0.2">
      <c r="A906" s="5">
        <v>845</v>
      </c>
      <c r="B906" s="138">
        <f>'Expenditures 15-22'!F49</f>
        <v>943</v>
      </c>
      <c r="D906" s="2" t="str">
        <f t="shared" si="13"/>
        <v>Error?</v>
      </c>
    </row>
    <row r="907" spans="1:4" x14ac:dyDescent="0.2">
      <c r="A907" s="5">
        <v>846</v>
      </c>
      <c r="B907" s="138">
        <f>'Expenditures 15-22'!F50</f>
        <v>2414</v>
      </c>
      <c r="D907" s="2" t="str">
        <f t="shared" si="13"/>
        <v>Error?</v>
      </c>
    </row>
    <row r="908" spans="1:4" x14ac:dyDescent="0.2">
      <c r="A908" s="5">
        <v>847</v>
      </c>
      <c r="B908" s="138">
        <f>'Expenditures 15-22'!F53</f>
        <v>3357</v>
      </c>
      <c r="C908" s="2" t="s">
        <v>594</v>
      </c>
      <c r="D908" s="2" t="str">
        <f t="shared" si="13"/>
        <v>Error?</v>
      </c>
    </row>
    <row r="909" spans="1:4" x14ac:dyDescent="0.2">
      <c r="A909" s="5">
        <v>848</v>
      </c>
      <c r="B909" s="138">
        <f>'Expenditures 15-22'!F55</f>
        <v>3334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3334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1300</v>
      </c>
      <c r="D913" s="2" t="str">
        <f t="shared" si="13"/>
        <v>Error?</v>
      </c>
    </row>
    <row r="914" spans="1:4" x14ac:dyDescent="0.2">
      <c r="A914" s="5">
        <v>853</v>
      </c>
      <c r="B914" s="138">
        <f>'Expenditures 15-22'!F61</f>
        <v>34513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1285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37098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1000</v>
      </c>
      <c r="D928" s="2" t="str">
        <f t="shared" si="13"/>
        <v>Error?</v>
      </c>
    </row>
    <row r="929" spans="1:4" x14ac:dyDescent="0.2">
      <c r="A929" s="5">
        <v>868</v>
      </c>
      <c r="B929" s="138">
        <f>'Expenditures 15-22'!F74</f>
        <v>50398</v>
      </c>
      <c r="C929" s="2" t="s">
        <v>594</v>
      </c>
      <c r="D929" s="2" t="str">
        <f t="shared" si="13"/>
        <v>Error?</v>
      </c>
    </row>
    <row r="930" spans="1:4" x14ac:dyDescent="0.2">
      <c r="A930" s="5">
        <v>869</v>
      </c>
      <c r="B930" s="138">
        <f>'Expenditures 15-22'!F75</f>
        <v>3245</v>
      </c>
      <c r="D930" s="2" t="str">
        <f t="shared" si="13"/>
        <v>Error?</v>
      </c>
    </row>
    <row r="931" spans="1:4" x14ac:dyDescent="0.2">
      <c r="A931" s="5">
        <v>870</v>
      </c>
      <c r="B931" s="138">
        <f>'Expenditures 15-22'!F114</f>
        <v>292325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17939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748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24862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1200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1200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3822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3822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5022</v>
      </c>
      <c r="C987" s="2" t="s">
        <v>594</v>
      </c>
      <c r="D987" s="2" t="str">
        <f t="shared" si="14"/>
        <v>Error?</v>
      </c>
    </row>
    <row r="988" spans="1:4" x14ac:dyDescent="0.2">
      <c r="A988" s="5">
        <v>927</v>
      </c>
      <c r="B988" s="138">
        <f>'Expenditures 15-22'!G75</f>
        <v>862</v>
      </c>
      <c r="D988" s="2" t="str">
        <f t="shared" si="14"/>
        <v>Error?</v>
      </c>
    </row>
    <row r="989" spans="1:4" x14ac:dyDescent="0.2">
      <c r="A989" s="5">
        <v>928</v>
      </c>
      <c r="B989" s="138">
        <f>'Expenditures 15-22'!G114</f>
        <v>30746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38467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55</v>
      </c>
      <c r="D1007" s="2" t="str">
        <f t="shared" si="14"/>
        <v>Error?</v>
      </c>
    </row>
    <row r="1008" spans="1:4" x14ac:dyDescent="0.2">
      <c r="A1008" s="5">
        <v>947</v>
      </c>
      <c r="B1008" s="138">
        <f>'Expenditures 15-22'!H14</f>
        <v>7861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46393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5382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5382</v>
      </c>
      <c r="C1021" s="2" t="s">
        <v>594</v>
      </c>
      <c r="D1021" s="2" t="str">
        <f t="shared" si="14"/>
        <v>Error?</v>
      </c>
    </row>
    <row r="1022" spans="1:4" x14ac:dyDescent="0.2">
      <c r="A1022" s="5">
        <v>961</v>
      </c>
      <c r="B1022" s="138">
        <f>'Expenditures 15-22'!H49</f>
        <v>15490</v>
      </c>
      <c r="D1022" s="2" t="str">
        <f t="shared" si="14"/>
        <v>Error?</v>
      </c>
    </row>
    <row r="1023" spans="1:4" x14ac:dyDescent="0.2">
      <c r="A1023" s="5">
        <v>962</v>
      </c>
      <c r="B1023" s="138">
        <f>'Expenditures 15-22'!H50</f>
        <v>1934</v>
      </c>
      <c r="D1023" s="2" t="str">
        <f t="shared" ref="D1023:D1086" si="15">IF(ISBLANK(B1023),"OK",IF(A1023-B1023=0,"OK","Error?"))</f>
        <v>Error?</v>
      </c>
    </row>
    <row r="1024" spans="1:4" x14ac:dyDescent="0.2">
      <c r="A1024" s="5">
        <v>963</v>
      </c>
      <c r="B1024" s="138">
        <f>'Expenditures 15-22'!H53</f>
        <v>17424</v>
      </c>
      <c r="C1024" s="2" t="s">
        <v>594</v>
      </c>
      <c r="D1024" s="2" t="str">
        <f t="shared" si="15"/>
        <v>Error?</v>
      </c>
    </row>
    <row r="1025" spans="1:4" x14ac:dyDescent="0.2">
      <c r="A1025" s="5">
        <v>964</v>
      </c>
      <c r="B1025" s="138">
        <f>'Expenditures 15-22'!H55</f>
        <v>1504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1504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605</v>
      </c>
      <c r="D1029" s="2" t="str">
        <f t="shared" si="15"/>
        <v>Error?</v>
      </c>
    </row>
    <row r="1030" spans="1:4" x14ac:dyDescent="0.2">
      <c r="A1030" s="5">
        <v>969</v>
      </c>
      <c r="B1030" s="138">
        <f>'Expenditures 15-22'!H61</f>
        <v>101</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706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25016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1308870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1380279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3792667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275896</v>
      </c>
      <c r="C1105" s="2" t="s">
        <v>594</v>
      </c>
      <c r="D1105" s="2" t="str">
        <f t="shared" si="16"/>
        <v>Error?</v>
      </c>
    </row>
    <row r="1106" spans="1:4" x14ac:dyDescent="0.2">
      <c r="A1106" s="5">
        <v>1045</v>
      </c>
      <c r="B1106" s="138">
        <f>'Expenditures 15-22'!K14</f>
        <v>228310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4624690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84852</v>
      </c>
      <c r="C1110" s="2" t="s">
        <v>594</v>
      </c>
      <c r="D1110" s="2" t="str">
        <f t="shared" si="16"/>
        <v>Error?</v>
      </c>
    </row>
    <row r="1111" spans="1:4" x14ac:dyDescent="0.2">
      <c r="A1111" s="5">
        <v>1050</v>
      </c>
      <c r="B1111" s="138">
        <f>'Expenditures 15-22'!K38</f>
        <v>59744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38893</v>
      </c>
      <c r="C1114" s="2" t="s">
        <v>594</v>
      </c>
      <c r="D1114" s="2" t="str">
        <f t="shared" si="16"/>
        <v>Error?</v>
      </c>
    </row>
    <row r="1115" spans="1:4" x14ac:dyDescent="0.2">
      <c r="A1115" s="5">
        <v>1054</v>
      </c>
      <c r="B1115" s="138">
        <f>'Expenditures 15-22'!K42</f>
        <v>183489</v>
      </c>
      <c r="C1115" s="2" t="s">
        <v>594</v>
      </c>
      <c r="D1115" s="2" t="str">
        <f t="shared" si="16"/>
        <v>Error?</v>
      </c>
    </row>
    <row r="1116" spans="1:4" x14ac:dyDescent="0.2">
      <c r="A1116" s="5">
        <v>1055</v>
      </c>
      <c r="B1116" s="138">
        <f>'Expenditures 15-22'!K44</f>
        <v>104152</v>
      </c>
      <c r="C1116" s="2" t="s">
        <v>594</v>
      </c>
      <c r="D1116" s="2" t="str">
        <f t="shared" si="16"/>
        <v>Error?</v>
      </c>
    </row>
    <row r="1117" spans="1:4" x14ac:dyDescent="0.2">
      <c r="A1117" s="5">
        <v>1056</v>
      </c>
      <c r="B1117" s="138">
        <f>'Expenditures 15-22'!K45</f>
        <v>35925</v>
      </c>
      <c r="C1117" s="2" t="s">
        <v>594</v>
      </c>
      <c r="D1117" s="2" t="str">
        <f t="shared" si="16"/>
        <v>Error?</v>
      </c>
    </row>
    <row r="1118" spans="1:4" x14ac:dyDescent="0.2">
      <c r="A1118" s="5">
        <v>1057</v>
      </c>
      <c r="B1118" s="138">
        <f>'Expenditures 15-22'!K46</f>
        <v>7290</v>
      </c>
      <c r="C1118" s="2" t="s">
        <v>594</v>
      </c>
      <c r="D1118" s="2" t="str">
        <f t="shared" si="16"/>
        <v>Error?</v>
      </c>
    </row>
    <row r="1119" spans="1:4" x14ac:dyDescent="0.2">
      <c r="A1119" s="5">
        <v>1058</v>
      </c>
      <c r="B1119" s="138">
        <f>'Expenditures 15-22'!K47</f>
        <v>147367</v>
      </c>
      <c r="C1119" s="2" t="s">
        <v>594</v>
      </c>
      <c r="D1119" s="2" t="str">
        <f t="shared" si="16"/>
        <v>Error?</v>
      </c>
    </row>
    <row r="1120" spans="1:4" x14ac:dyDescent="0.2">
      <c r="A1120" s="5">
        <v>1059</v>
      </c>
      <c r="B1120" s="138">
        <f>'Expenditures 15-22'!K49</f>
        <v>149939</v>
      </c>
      <c r="C1120" s="2" t="s">
        <v>594</v>
      </c>
      <c r="D1120" s="2" t="str">
        <f t="shared" si="16"/>
        <v>Error?</v>
      </c>
    </row>
    <row r="1121" spans="1:4" x14ac:dyDescent="0.2">
      <c r="A1121" s="5">
        <v>1060</v>
      </c>
      <c r="B1121" s="138">
        <f>'Expenditures 15-22'!K50</f>
        <v>139694</v>
      </c>
      <c r="C1121" s="2" t="s">
        <v>594</v>
      </c>
      <c r="D1121" s="2" t="str">
        <f t="shared" si="16"/>
        <v>Error?</v>
      </c>
    </row>
    <row r="1122" spans="1:4" x14ac:dyDescent="0.2">
      <c r="A1122" s="5">
        <v>1061</v>
      </c>
      <c r="B1122" s="138">
        <f>'Expenditures 15-22'!K53</f>
        <v>290633</v>
      </c>
      <c r="C1122" s="2" t="s">
        <v>594</v>
      </c>
      <c r="D1122" s="2" t="str">
        <f t="shared" si="16"/>
        <v>Error?</v>
      </c>
    </row>
    <row r="1123" spans="1:4" x14ac:dyDescent="0.2">
      <c r="A1123" s="5">
        <v>1062</v>
      </c>
      <c r="B1123" s="138">
        <f>'Expenditures 15-22'!K55</f>
        <v>559366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559366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189489</v>
      </c>
      <c r="C1127" s="2" t="s">
        <v>594</v>
      </c>
      <c r="D1127" s="2" t="str">
        <f t="shared" si="16"/>
        <v>Error?</v>
      </c>
    </row>
    <row r="1128" spans="1:4" x14ac:dyDescent="0.2">
      <c r="A1128" s="5">
        <v>1067</v>
      </c>
      <c r="B1128" s="138">
        <f>'Expenditures 15-22'!K61</f>
        <v>541798</v>
      </c>
      <c r="C1128" s="2" t="s">
        <v>594</v>
      </c>
      <c r="D1128" s="2" t="str">
        <f t="shared" si="16"/>
        <v>Error?</v>
      </c>
    </row>
    <row r="1129" spans="1:4" x14ac:dyDescent="0.2">
      <c r="A1129" s="5">
        <v>1068</v>
      </c>
      <c r="B1129" s="138">
        <f>'Expenditures 15-22'!K62</f>
        <v>7635</v>
      </c>
      <c r="C1129" s="2" t="s">
        <v>594</v>
      </c>
      <c r="D1129" s="2" t="str">
        <f t="shared" si="16"/>
        <v>Error?</v>
      </c>
    </row>
    <row r="1130" spans="1:4" x14ac:dyDescent="0.2">
      <c r="A1130" s="5">
        <v>1069</v>
      </c>
      <c r="B1130" s="138">
        <f>'Expenditures 15-22'!K63</f>
        <v>449091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1188013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2697</v>
      </c>
      <c r="C1139" s="2" t="s">
        <v>594</v>
      </c>
      <c r="D1139" s="2" t="str">
        <f t="shared" si="16"/>
        <v>Error?</v>
      </c>
    </row>
    <row r="1140" spans="1:4" x14ac:dyDescent="0.2">
      <c r="A1140" s="10">
        <v>1079</v>
      </c>
      <c r="D1140" s="2" t="str">
        <f t="shared" si="16"/>
        <v>OK</v>
      </c>
    </row>
    <row r="1141" spans="1:4" x14ac:dyDescent="0.2">
      <c r="A1141" s="5">
        <v>1080</v>
      </c>
      <c r="B1141" s="138">
        <f>'Expenditures 15-22'!K72</f>
        <v>2697</v>
      </c>
      <c r="C1141" s="2" t="s">
        <v>594</v>
      </c>
      <c r="D1141" s="2" t="str">
        <f t="shared" si="16"/>
        <v>Error?</v>
      </c>
    </row>
    <row r="1142" spans="1:4" x14ac:dyDescent="0.2">
      <c r="A1142" s="5">
        <v>1081</v>
      </c>
      <c r="B1142" s="138">
        <f>'Expenditures 15-22'!K73</f>
        <v>1000</v>
      </c>
      <c r="C1142" s="2" t="s">
        <v>594</v>
      </c>
      <c r="D1142" s="2" t="str">
        <f t="shared" si="16"/>
        <v>Error?</v>
      </c>
    </row>
    <row r="1143" spans="1:4" x14ac:dyDescent="0.2">
      <c r="A1143" s="5">
        <v>1082</v>
      </c>
      <c r="B1143" s="138">
        <f>'Expenditures 15-22'!K74</f>
        <v>2372565</v>
      </c>
      <c r="C1143" s="2" t="s">
        <v>594</v>
      </c>
      <c r="D1143" s="2" t="str">
        <f t="shared" si="16"/>
        <v>Error?</v>
      </c>
    </row>
    <row r="1144" spans="1:4" x14ac:dyDescent="0.2">
      <c r="A1144" s="5">
        <v>1083</v>
      </c>
      <c r="B1144" s="138">
        <f>'Expenditures 15-22'!K75</f>
        <v>37158</v>
      </c>
      <c r="C1144" s="2" t="s">
        <v>594</v>
      </c>
      <c r="D1144" s="2" t="str">
        <f t="shared" si="16"/>
        <v>Error?</v>
      </c>
    </row>
    <row r="1145" spans="1:4" x14ac:dyDescent="0.2">
      <c r="A1145" s="5">
        <v>1084</v>
      </c>
      <c r="B1145" s="138">
        <f>'Expenditures 15-22'!K102</f>
        <v>1308870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8343283</v>
      </c>
      <c r="C1152" s="2" t="s">
        <v>594</v>
      </c>
      <c r="D1152" s="2" t="str">
        <f t="shared" si="17"/>
        <v>Error?</v>
      </c>
    </row>
    <row r="1153" spans="1:4" x14ac:dyDescent="0.2">
      <c r="A1153" s="5">
        <v>1092</v>
      </c>
      <c r="B1153" s="138">
        <f>'Expenditures 15-22'!K115</f>
        <v>702798.40000000037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188063</v>
      </c>
      <c r="D1237" s="2" t="str">
        <f t="shared" si="18"/>
        <v>Error?</v>
      </c>
    </row>
    <row r="1238" spans="1:4" x14ac:dyDescent="0.2">
      <c r="A1238" s="10">
        <v>1177</v>
      </c>
      <c r="D1238" s="2" t="str">
        <f t="shared" si="18"/>
        <v>OK</v>
      </c>
    </row>
    <row r="1239" spans="1:4" x14ac:dyDescent="0.2">
      <c r="A1239" s="5">
        <v>1178</v>
      </c>
      <c r="B1239" s="138">
        <f>'Expenditures 15-22'!E127</f>
        <v>188063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188063</v>
      </c>
      <c r="C1241" s="2" t="s">
        <v>594</v>
      </c>
      <c r="D1241" s="2" t="str">
        <f t="shared" si="18"/>
        <v>Error?</v>
      </c>
    </row>
    <row r="1242" spans="1:4" x14ac:dyDescent="0.2">
      <c r="A1242" s="5">
        <v>1181</v>
      </c>
      <c r="B1242" s="138">
        <f>'Expenditures 15-22'!E151</f>
        <v>191872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223569</v>
      </c>
      <c r="D1245" s="2" t="str">
        <f t="shared" si="18"/>
        <v>Error?</v>
      </c>
    </row>
    <row r="1246" spans="1:4" x14ac:dyDescent="0.2">
      <c r="A1246" s="10">
        <v>1185</v>
      </c>
      <c r="D1246" s="2" t="str">
        <f t="shared" si="18"/>
        <v>OK</v>
      </c>
    </row>
    <row r="1247" spans="1:4" x14ac:dyDescent="0.2">
      <c r="A1247" s="5">
        <v>1186</v>
      </c>
      <c r="B1247" s="138">
        <f>'Expenditures 15-22'!F127</f>
        <v>223569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223569</v>
      </c>
      <c r="C1249" s="2" t="s">
        <v>594</v>
      </c>
      <c r="D1249" s="2" t="str">
        <f t="shared" si="18"/>
        <v>Error?</v>
      </c>
    </row>
    <row r="1250" spans="1:4" x14ac:dyDescent="0.2">
      <c r="A1250" s="5">
        <v>1189</v>
      </c>
      <c r="B1250" s="138">
        <f>'Expenditures 15-22'!F151</f>
        <v>223569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31699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31699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31699</v>
      </c>
      <c r="C1258" s="2" t="s">
        <v>594</v>
      </c>
      <c r="D1258" s="2" t="str">
        <f t="shared" si="18"/>
        <v>Error?</v>
      </c>
    </row>
    <row r="1259" spans="1:4" x14ac:dyDescent="0.2">
      <c r="A1259" s="5">
        <v>1198</v>
      </c>
      <c r="B1259" s="138">
        <f>'Expenditures 15-22'!G151</f>
        <v>31699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634</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634</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443331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443331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443331</v>
      </c>
      <c r="C1281" s="2" t="s">
        <v>594</v>
      </c>
      <c r="D1281" s="2" t="str">
        <f t="shared" si="19"/>
        <v>Error?</v>
      </c>
    </row>
    <row r="1282" spans="1:4" x14ac:dyDescent="0.2">
      <c r="A1282" s="5">
        <v>1221</v>
      </c>
      <c r="B1282" s="138">
        <f>'Expenditures 15-22'!K139</f>
        <v>634</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447774</v>
      </c>
      <c r="C1288" s="2" t="s">
        <v>594</v>
      </c>
      <c r="D1288" s="2" t="str">
        <f t="shared" si="19"/>
        <v>Error?</v>
      </c>
    </row>
    <row r="1289" spans="1:4" x14ac:dyDescent="0.2">
      <c r="A1289" s="5">
        <v>1228</v>
      </c>
      <c r="B1289" s="138">
        <f>'Expenditures 15-22'!K152</f>
        <v>-33845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249417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1027854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1277271</v>
      </c>
      <c r="C1317" s="2" t="s">
        <v>594</v>
      </c>
      <c r="D1317" s="2" t="str">
        <f t="shared" si="19"/>
        <v>Error?</v>
      </c>
    </row>
    <row r="1318" spans="1:4" x14ac:dyDescent="0.2">
      <c r="A1318" s="5">
        <v>1257</v>
      </c>
      <c r="B1318" s="138">
        <f>'Expenditures 15-22'!H174</f>
        <v>1277271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249417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1027854</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1277271</v>
      </c>
      <c r="C1331" s="2" t="s">
        <v>594</v>
      </c>
      <c r="D1331" s="2" t="str">
        <f t="shared" si="19"/>
        <v>Error?</v>
      </c>
    </row>
    <row r="1332" spans="1:4" x14ac:dyDescent="0.2">
      <c r="A1332" s="5">
        <v>1271</v>
      </c>
      <c r="B1332" s="138">
        <f>'Expenditures 15-22'!K174</f>
        <v>1277271</v>
      </c>
      <c r="C1332" s="2" t="s">
        <v>594</v>
      </c>
      <c r="D1332" s="2" t="str">
        <f t="shared" si="19"/>
        <v>Error?</v>
      </c>
    </row>
    <row r="1333" spans="1:4" x14ac:dyDescent="0.2">
      <c r="A1333" s="5">
        <v>1272</v>
      </c>
      <c r="B1333" s="138">
        <f>'Expenditures 15-22'!K175</f>
        <v>-132760</v>
      </c>
      <c r="C1333" s="2" t="s">
        <v>594</v>
      </c>
      <c r="D1333" s="2" t="str">
        <f t="shared" si="19"/>
        <v>Error?</v>
      </c>
    </row>
    <row r="1334" spans="1:4" x14ac:dyDescent="0.2">
      <c r="A1334" s="10">
        <v>1273</v>
      </c>
      <c r="D1334" s="2" t="str">
        <f t="shared" si="19"/>
        <v>OK</v>
      </c>
    </row>
    <row r="1335" spans="1:4" x14ac:dyDescent="0.2">
      <c r="A1335" s="5">
        <v>1274</v>
      </c>
      <c r="B1335" s="138">
        <f>'Expenditures 15-22'!C182</f>
        <v>5123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5123</v>
      </c>
      <c r="C1339" s="2" t="s">
        <v>594</v>
      </c>
      <c r="D1339" s="2" t="str">
        <f t="shared" si="19"/>
        <v>Error?</v>
      </c>
    </row>
    <row r="1340" spans="1:4" x14ac:dyDescent="0.2">
      <c r="A1340" s="5">
        <v>1279</v>
      </c>
      <c r="B1340" s="138">
        <f>'Expenditures 15-22'!C210</f>
        <v>5123</v>
      </c>
      <c r="C1340" s="2" t="s">
        <v>594</v>
      </c>
      <c r="D1340" s="2" t="str">
        <f t="shared" si="19"/>
        <v>Error?</v>
      </c>
    </row>
    <row r="1341" spans="1:4" x14ac:dyDescent="0.2">
      <c r="A1341" s="5">
        <v>1280</v>
      </c>
      <c r="B1341" s="138">
        <f>'Expenditures 15-22'!D182</f>
        <v>731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731</v>
      </c>
      <c r="C1345" s="2" t="s">
        <v>594</v>
      </c>
      <c r="D1345" s="2" t="str">
        <f t="shared" si="20"/>
        <v>Error?</v>
      </c>
    </row>
    <row r="1346" spans="1:4" x14ac:dyDescent="0.2">
      <c r="A1346" s="5">
        <v>1285</v>
      </c>
      <c r="B1346" s="138">
        <f>'Expenditures 15-22'!D210</f>
        <v>731</v>
      </c>
      <c r="C1346" s="2" t="s">
        <v>594</v>
      </c>
      <c r="D1346" s="2" t="str">
        <f t="shared" si="20"/>
        <v>Error?</v>
      </c>
    </row>
    <row r="1347" spans="1:4" x14ac:dyDescent="0.2">
      <c r="A1347" s="5">
        <v>1286</v>
      </c>
      <c r="B1347" s="138">
        <f>'Expenditures 15-22'!E182</f>
        <v>289718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20161</v>
      </c>
      <c r="D1350" s="2" t="str">
        <f t="shared" si="20"/>
        <v>Error?</v>
      </c>
    </row>
    <row r="1351" spans="1:4" x14ac:dyDescent="0.2">
      <c r="A1351" s="5">
        <v>1290</v>
      </c>
      <c r="B1351" s="138">
        <f>'Expenditures 15-22'!E184</f>
        <v>309879</v>
      </c>
      <c r="C1351" s="2" t="s">
        <v>594</v>
      </c>
      <c r="D1351" s="2" t="str">
        <f t="shared" si="20"/>
        <v>Error?</v>
      </c>
    </row>
    <row r="1352" spans="1:4" x14ac:dyDescent="0.2">
      <c r="A1352" s="5">
        <v>1291</v>
      </c>
      <c r="B1352" s="138">
        <f>'Expenditures 15-22'!E196</f>
        <v>58604</v>
      </c>
      <c r="C1352" s="2" t="s">
        <v>594</v>
      </c>
      <c r="D1352" s="2" t="str">
        <f t="shared" si="20"/>
        <v>Error?</v>
      </c>
    </row>
    <row r="1353" spans="1:4" x14ac:dyDescent="0.2">
      <c r="A1353" s="5">
        <v>1292</v>
      </c>
      <c r="B1353" s="138">
        <f>'Expenditures 15-22'!E210</f>
        <v>368483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11254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11254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11254</v>
      </c>
      <c r="C1376" s="2" t="s">
        <v>594</v>
      </c>
      <c r="D1376" s="2" t="str">
        <f t="shared" si="20"/>
        <v>Error?</v>
      </c>
    </row>
    <row r="1377" spans="1:4" x14ac:dyDescent="0.2">
      <c r="A1377" s="5">
        <v>1316</v>
      </c>
      <c r="B1377" s="138">
        <f>'Expenditures 15-22'!K182</f>
        <v>306826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20161</v>
      </c>
      <c r="C1380" s="2" t="s">
        <v>594</v>
      </c>
      <c r="D1380" s="2" t="str">
        <f t="shared" si="20"/>
        <v>Error?</v>
      </c>
    </row>
    <row r="1381" spans="1:4" x14ac:dyDescent="0.2">
      <c r="A1381" s="5">
        <v>1320</v>
      </c>
      <c r="B1381" s="138">
        <f>'Expenditures 15-22'!K184</f>
        <v>326987</v>
      </c>
      <c r="C1381" s="2" t="s">
        <v>594</v>
      </c>
      <c r="D1381" s="2" t="str">
        <f t="shared" si="20"/>
        <v>Error?</v>
      </c>
    </row>
    <row r="1382" spans="1:4" x14ac:dyDescent="0.2">
      <c r="A1382" s="5">
        <v>1321</v>
      </c>
      <c r="B1382" s="138">
        <f>'Expenditures 15-22'!K196</f>
        <v>58604</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385591</v>
      </c>
      <c r="C1388" s="2" t="s">
        <v>594</v>
      </c>
      <c r="D1388" s="2" t="str">
        <f t="shared" si="20"/>
        <v>Error?</v>
      </c>
    </row>
    <row r="1389" spans="1:4" x14ac:dyDescent="0.2">
      <c r="A1389" s="5">
        <v>1328</v>
      </c>
      <c r="B1389" s="138">
        <f>'Expenditures 15-22'!K211</f>
        <v>46575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2934</v>
      </c>
      <c r="D1407" s="2" t="str">
        <f t="shared" ref="D1407:D1470" si="21">IF(ISBLANK(B1407),"OK",IF(A1407-B1407=0,"OK","Error?"))</f>
        <v>Error?</v>
      </c>
    </row>
    <row r="1408" spans="1:4" x14ac:dyDescent="0.2">
      <c r="A1408" s="5">
        <v>1347</v>
      </c>
      <c r="B1408" s="138">
        <f>'Expenditures 15-22'!D223</f>
        <v>4763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62531.43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972</v>
      </c>
      <c r="D1412" s="2" t="str">
        <f t="shared" si="21"/>
        <v>Error?</v>
      </c>
    </row>
    <row r="1413" spans="1:4" x14ac:dyDescent="0.2">
      <c r="A1413" s="5">
        <v>1352</v>
      </c>
      <c r="B1413" s="138">
        <f>'Expenditures 15-22'!D234</f>
        <v>8534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3920</v>
      </c>
      <c r="D1416" s="2" t="str">
        <f t="shared" si="21"/>
        <v>Error?</v>
      </c>
    </row>
    <row r="1417" spans="1:4" x14ac:dyDescent="0.2">
      <c r="A1417" s="5">
        <v>1356</v>
      </c>
      <c r="B1417" s="138">
        <f>'Expenditures 15-22'!D238</f>
        <v>13426</v>
      </c>
      <c r="C1417" s="2" t="s">
        <v>594</v>
      </c>
      <c r="D1417" s="2" t="str">
        <f t="shared" si="21"/>
        <v>Error?</v>
      </c>
    </row>
    <row r="1418" spans="1:4" x14ac:dyDescent="0.2">
      <c r="A1418" s="5">
        <v>1357</v>
      </c>
      <c r="B1418" s="138">
        <f>'Expenditures 15-22'!D240</f>
        <v>1233</v>
      </c>
      <c r="D1418" s="2" t="str">
        <f t="shared" si="21"/>
        <v>Error?</v>
      </c>
    </row>
    <row r="1419" spans="1:4" x14ac:dyDescent="0.2">
      <c r="A1419" s="5">
        <v>1358</v>
      </c>
      <c r="B1419" s="138">
        <f>'Expenditures 15-22'!D241</f>
        <v>4788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6021</v>
      </c>
      <c r="C1421" s="2" t="s">
        <v>594</v>
      </c>
      <c r="D1421" s="2" t="str">
        <f t="shared" si="21"/>
        <v>Error?</v>
      </c>
    </row>
    <row r="1422" spans="1:4" x14ac:dyDescent="0.2">
      <c r="A1422" s="5">
        <v>1361</v>
      </c>
      <c r="B1422" s="138">
        <f>'Expenditures 15-22'!D245</f>
        <v>2735</v>
      </c>
      <c r="D1422" s="2" t="str">
        <f t="shared" si="21"/>
        <v>Error?</v>
      </c>
    </row>
    <row r="1423" spans="1:4" x14ac:dyDescent="0.2">
      <c r="A1423" s="5">
        <v>1362</v>
      </c>
      <c r="B1423" s="138">
        <f>'Expenditures 15-22'!D246</f>
        <v>4563</v>
      </c>
      <c r="D1423" s="2" t="str">
        <f t="shared" si="21"/>
        <v>Error?</v>
      </c>
    </row>
    <row r="1424" spans="1:4" x14ac:dyDescent="0.2">
      <c r="A1424" s="5">
        <v>1363</v>
      </c>
      <c r="B1424" s="138">
        <f>'Expenditures 15-22'!D257</f>
        <v>7298</v>
      </c>
      <c r="C1424" s="2" t="s">
        <v>594</v>
      </c>
      <c r="D1424" s="2" t="str">
        <f t="shared" si="21"/>
        <v>Error?</v>
      </c>
    </row>
    <row r="1425" spans="1:4" x14ac:dyDescent="0.2">
      <c r="A1425" s="5">
        <v>1364</v>
      </c>
      <c r="B1425" s="138">
        <f>'Expenditures 15-22'!D259</f>
        <v>28817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28817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25023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74695</v>
      </c>
      <c r="D1431" s="2" t="str">
        <f t="shared" si="21"/>
        <v>Error?</v>
      </c>
    </row>
    <row r="1432" spans="1:4" x14ac:dyDescent="0.2">
      <c r="A1432" s="5">
        <v>1371</v>
      </c>
      <c r="B1432" s="138">
        <f>'Expenditures 15-22'!D267</f>
        <v>611</v>
      </c>
      <c r="D1432" s="2" t="str">
        <f t="shared" si="21"/>
        <v>Error?</v>
      </c>
    </row>
    <row r="1433" spans="1:4" x14ac:dyDescent="0.2">
      <c r="A1433" s="5">
        <v>1372</v>
      </c>
      <c r="B1433" s="138">
        <f>'Expenditures 15-22'!D268</f>
        <v>3879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104208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159770</v>
      </c>
      <c r="C1446" s="2" t="s">
        <v>594</v>
      </c>
      <c r="D1446" s="2" t="str">
        <f t="shared" si="21"/>
        <v>Error?</v>
      </c>
    </row>
    <row r="1447" spans="1:4" x14ac:dyDescent="0.2">
      <c r="A1447" s="5">
        <v>1386</v>
      </c>
      <c r="B1447" s="138">
        <f>'Expenditures 15-22'!D280</f>
        <v>5254</v>
      </c>
      <c r="D1447" s="2" t="str">
        <f t="shared" si="21"/>
        <v>Error?</v>
      </c>
    </row>
    <row r="1448" spans="1:4" x14ac:dyDescent="0.2">
      <c r="A1448" s="5">
        <v>1387</v>
      </c>
      <c r="B1448" s="138">
        <f>'Expenditures 15-22'!D295</f>
        <v>227555.43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2934</v>
      </c>
      <c r="C1471" s="2" t="s">
        <v>594</v>
      </c>
      <c r="D1471" s="2" t="str">
        <f t="shared" ref="D1471:D1534" si="22">IF(ISBLANK(B1471),"OK",IF(A1471-B1471=0,"OK","Error?"))</f>
        <v>Error?</v>
      </c>
    </row>
    <row r="1472" spans="1:4" x14ac:dyDescent="0.2">
      <c r="A1472" s="5">
        <v>1411</v>
      </c>
      <c r="B1472" s="138">
        <f>'Expenditures 15-22'!K223</f>
        <v>4763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62531.43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972</v>
      </c>
      <c r="C1476" s="2" t="s">
        <v>594</v>
      </c>
      <c r="D1476" s="2" t="str">
        <f t="shared" si="22"/>
        <v>Error?</v>
      </c>
    </row>
    <row r="1477" spans="1:4" x14ac:dyDescent="0.2">
      <c r="A1477" s="5">
        <v>1416</v>
      </c>
      <c r="B1477" s="138">
        <f>'Expenditures 15-22'!K234</f>
        <v>8534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3920</v>
      </c>
      <c r="C1480" s="2" t="s">
        <v>594</v>
      </c>
      <c r="D1480" s="2" t="str">
        <f t="shared" si="22"/>
        <v>Error?</v>
      </c>
    </row>
    <row r="1481" spans="1:4" x14ac:dyDescent="0.2">
      <c r="A1481" s="5">
        <v>1420</v>
      </c>
      <c r="B1481" s="138">
        <f>'Expenditures 15-22'!K238</f>
        <v>13426</v>
      </c>
      <c r="C1481" s="2" t="s">
        <v>594</v>
      </c>
      <c r="D1481" s="2" t="str">
        <f t="shared" si="22"/>
        <v>Error?</v>
      </c>
    </row>
    <row r="1482" spans="1:4" x14ac:dyDescent="0.2">
      <c r="A1482" s="5">
        <v>1421</v>
      </c>
      <c r="B1482" s="138">
        <f>'Expenditures 15-22'!K240</f>
        <v>1233</v>
      </c>
      <c r="C1482" s="2" t="s">
        <v>594</v>
      </c>
      <c r="D1482" s="2" t="str">
        <f t="shared" si="22"/>
        <v>Error?</v>
      </c>
    </row>
    <row r="1483" spans="1:4" x14ac:dyDescent="0.2">
      <c r="A1483" s="5">
        <v>1422</v>
      </c>
      <c r="B1483" s="138">
        <f>'Expenditures 15-22'!K241</f>
        <v>4788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6021</v>
      </c>
      <c r="C1485" s="2" t="s">
        <v>594</v>
      </c>
      <c r="D1485" s="2" t="str">
        <f t="shared" si="22"/>
        <v>Error?</v>
      </c>
    </row>
    <row r="1486" spans="1:4" x14ac:dyDescent="0.2">
      <c r="A1486" s="5">
        <v>1425</v>
      </c>
      <c r="B1486" s="138">
        <f>'Expenditures 15-22'!K245</f>
        <v>2735</v>
      </c>
      <c r="C1486" s="2" t="s">
        <v>594</v>
      </c>
      <c r="D1486" s="2" t="str">
        <f t="shared" si="22"/>
        <v>Error?</v>
      </c>
    </row>
    <row r="1487" spans="1:4" x14ac:dyDescent="0.2">
      <c r="A1487" s="5">
        <v>1426</v>
      </c>
      <c r="B1487" s="138">
        <f>'Expenditures 15-22'!K246</f>
        <v>4563</v>
      </c>
      <c r="C1487" s="2" t="s">
        <v>594</v>
      </c>
      <c r="D1487" s="2" t="str">
        <f t="shared" si="22"/>
        <v>Error?</v>
      </c>
    </row>
    <row r="1488" spans="1:4" x14ac:dyDescent="0.2">
      <c r="A1488" s="5">
        <v>1427</v>
      </c>
      <c r="B1488" s="138">
        <f>'Expenditures 15-22'!K257</f>
        <v>7298</v>
      </c>
      <c r="C1488" s="2" t="s">
        <v>594</v>
      </c>
      <c r="D1488" s="2" t="str">
        <f t="shared" si="22"/>
        <v>Error?</v>
      </c>
    </row>
    <row r="1489" spans="1:4" x14ac:dyDescent="0.2">
      <c r="A1489" s="5">
        <v>1428</v>
      </c>
      <c r="B1489" s="138">
        <f>'Expenditures 15-22'!K259</f>
        <v>28817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28817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25023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74695</v>
      </c>
      <c r="C1495" s="2" t="s">
        <v>594</v>
      </c>
      <c r="D1495" s="2" t="str">
        <f t="shared" si="22"/>
        <v>Error?</v>
      </c>
    </row>
    <row r="1496" spans="1:4" x14ac:dyDescent="0.2">
      <c r="A1496" s="5">
        <v>1435</v>
      </c>
      <c r="B1496" s="138">
        <f>'Expenditures 15-22'!K267</f>
        <v>611</v>
      </c>
      <c r="C1496" s="2" t="s">
        <v>594</v>
      </c>
      <c r="D1496" s="2" t="str">
        <f t="shared" si="22"/>
        <v>Error?</v>
      </c>
    </row>
    <row r="1497" spans="1:4" x14ac:dyDescent="0.2">
      <c r="A1497" s="5">
        <v>1436</v>
      </c>
      <c r="B1497" s="138">
        <f>'Expenditures 15-22'!K268</f>
        <v>3879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104208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159770</v>
      </c>
      <c r="C1510" s="2" t="s">
        <v>594</v>
      </c>
      <c r="D1510" s="2" t="str">
        <f t="shared" si="22"/>
        <v>Error?</v>
      </c>
    </row>
    <row r="1511" spans="1:4" x14ac:dyDescent="0.2">
      <c r="A1511" s="5">
        <v>1450</v>
      </c>
      <c r="B1511" s="138">
        <f>'Expenditures 15-22'!K280</f>
        <v>5254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227555.43</v>
      </c>
      <c r="C1517" s="2" t="s">
        <v>594</v>
      </c>
      <c r="D1517" s="2" t="str">
        <f t="shared" si="22"/>
        <v>Error?</v>
      </c>
    </row>
    <row r="1518" spans="1:4" x14ac:dyDescent="0.2">
      <c r="A1518" s="5">
        <v>1457</v>
      </c>
      <c r="B1518" s="138">
        <f>'Expenditures 15-22'!K296</f>
        <v>13094.570000000007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29133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29133</v>
      </c>
      <c r="C1535" s="2" t="s">
        <v>594</v>
      </c>
      <c r="D1535" s="2" t="str">
        <f t="shared" ref="D1535:D1598" si="23">IF(ISBLANK(B1535),"OK",IF(A1535-B1535=0,"OK","Error?"))</f>
        <v>Error?</v>
      </c>
    </row>
    <row r="1536" spans="1:4" x14ac:dyDescent="0.2">
      <c r="A1536" s="5">
        <v>1475</v>
      </c>
      <c r="B1536" s="138">
        <f>'Expenditures 15-22'!E312</f>
        <v>29133</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1595071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1595071</v>
      </c>
      <c r="C1547" s="2" t="s">
        <v>594</v>
      </c>
      <c r="D1547" s="2" t="str">
        <f t="shared" si="23"/>
        <v>Error?</v>
      </c>
    </row>
    <row r="1548" spans="1:4" x14ac:dyDescent="0.2">
      <c r="A1548" s="5">
        <v>1487</v>
      </c>
      <c r="B1548" s="138">
        <f>'Expenditures 15-22'!G312</f>
        <v>1595071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1624204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1624204</v>
      </c>
      <c r="C1559" s="2" t="s">
        <v>594</v>
      </c>
      <c r="D1559" s="2" t="str">
        <f t="shared" si="23"/>
        <v>Error?</v>
      </c>
    </row>
    <row r="1560" spans="1:4" x14ac:dyDescent="0.2">
      <c r="A1560" s="5">
        <v>1499</v>
      </c>
      <c r="B1560" s="138">
        <f>'Expenditures 15-22'!K312</f>
        <v>1624204</v>
      </c>
      <c r="C1560" s="2" t="s">
        <v>594</v>
      </c>
      <c r="D1560" s="2" t="str">
        <f t="shared" si="23"/>
        <v>Error?</v>
      </c>
    </row>
    <row r="1561" spans="1:4" x14ac:dyDescent="0.2">
      <c r="A1561" s="5">
        <v>1500</v>
      </c>
      <c r="B1561" s="138">
        <f>'Expenditures 15-22'!K313</f>
        <v>-1298488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845195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1547993.4000000004</v>
      </c>
      <c r="C1630" s="2" t="s">
        <v>594</v>
      </c>
      <c r="D1630" s="2" t="str">
        <f t="shared" si="24"/>
        <v>Error?</v>
      </c>
    </row>
    <row r="1631" spans="1:4" x14ac:dyDescent="0.2">
      <c r="A1631" s="5">
        <v>1570</v>
      </c>
      <c r="B1631" s="138">
        <f>'Acct Summary 7-8'!D79</f>
        <v>660754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626909</v>
      </c>
      <c r="C1644" s="2" t="s">
        <v>594</v>
      </c>
      <c r="D1644" s="2" t="str">
        <f t="shared" si="24"/>
        <v>Error?</v>
      </c>
    </row>
    <row r="1645" spans="1:4" x14ac:dyDescent="0.2">
      <c r="A1645" s="5">
        <v>1584</v>
      </c>
      <c r="B1645" s="138">
        <f>'Acct Summary 7-8'!E79</f>
        <v>969785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837025</v>
      </c>
      <c r="C1658" s="2" t="s">
        <v>594</v>
      </c>
      <c r="D1658" s="2" t="str">
        <f t="shared" si="24"/>
        <v>Error?</v>
      </c>
    </row>
    <row r="1659" spans="1:4" x14ac:dyDescent="0.2">
      <c r="A1659" s="5">
        <v>1598</v>
      </c>
      <c r="B1659" s="138">
        <f>'Acct Summary 7-8'!F79</f>
        <v>4322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50897</v>
      </c>
      <c r="C1672" s="2" t="s">
        <v>594</v>
      </c>
      <c r="D1672" s="2" t="str">
        <f t="shared" si="25"/>
        <v>Error?</v>
      </c>
    </row>
    <row r="1673" spans="1:4" x14ac:dyDescent="0.2">
      <c r="A1673" s="5">
        <v>1612</v>
      </c>
      <c r="B1673" s="138">
        <f>'Acct Summary 7-8'!G79</f>
        <v>430510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443604.57</v>
      </c>
      <c r="C1686" s="2" t="s">
        <v>594</v>
      </c>
      <c r="D1686" s="2" t="str">
        <f t="shared" si="25"/>
        <v>Error?</v>
      </c>
    </row>
    <row r="1687" spans="1:4" x14ac:dyDescent="0.2">
      <c r="A1687" s="5">
        <v>1626</v>
      </c>
      <c r="B1687" s="138">
        <f>'Acct Summary 7-8'!H79</f>
        <v>3090766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1792278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1785562</v>
      </c>
      <c r="C1744" s="2" t="s">
        <v>594</v>
      </c>
      <c r="D1744" s="2" t="str">
        <f t="shared" si="26"/>
        <v>Error?</v>
      </c>
    </row>
    <row r="1745" spans="1:5" x14ac:dyDescent="0.2">
      <c r="A1745" s="5">
        <v>1684</v>
      </c>
      <c r="B1745" s="138">
        <f>'Tax Sched 23'!B5</f>
        <v>336398</v>
      </c>
      <c r="C1745" s="2" t="s">
        <v>594</v>
      </c>
      <c r="D1745" s="2" t="str">
        <f t="shared" si="26"/>
        <v>Error?</v>
      </c>
    </row>
    <row r="1746" spans="1:5" x14ac:dyDescent="0.2">
      <c r="A1746" s="5">
        <v>1685</v>
      </c>
      <c r="B1746" s="138">
        <f>'Tax Sched 23'!B6</f>
        <v>686099</v>
      </c>
      <c r="C1746" s="2" t="s">
        <v>594</v>
      </c>
      <c r="D1746" s="2" t="str">
        <f t="shared" si="26"/>
        <v>Error?</v>
      </c>
    </row>
    <row r="1747" spans="1:5" x14ac:dyDescent="0.2">
      <c r="A1747" s="5">
        <v>1686</v>
      </c>
      <c r="B1747" s="138">
        <f>'Tax Sched 23'!B7</f>
        <v>173549</v>
      </c>
      <c r="C1747" s="2" t="s">
        <v>594</v>
      </c>
      <c r="D1747" s="2" t="str">
        <f t="shared" si="26"/>
        <v>Error?</v>
      </c>
    </row>
    <row r="1748" spans="1:5" x14ac:dyDescent="0.2">
      <c r="A1748" s="5">
        <v>1687</v>
      </c>
      <c r="B1748" s="138">
        <f>'Tax Sched 23'!B8</f>
        <v>197292</v>
      </c>
      <c r="C1748" s="2" t="s">
        <v>594</v>
      </c>
      <c r="D1748" s="2" t="str">
        <f t="shared" si="26"/>
        <v>Error?</v>
      </c>
    </row>
    <row r="1749" spans="1:5" x14ac:dyDescent="0.2">
      <c r="A1749" s="5">
        <v>1688</v>
      </c>
      <c r="B1749" s="138">
        <f>'Tax Sched 23'!B10</f>
        <v>31195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155982</v>
      </c>
      <c r="C1752" s="2" t="s">
        <v>594</v>
      </c>
      <c r="D1752" s="2" t="str">
        <f t="shared" si="26"/>
        <v>Error?</v>
      </c>
    </row>
    <row r="1753" spans="1:5" x14ac:dyDescent="0.2">
      <c r="A1753" s="5">
        <v>1692</v>
      </c>
      <c r="B1753" s="138">
        <f>'Tax Sched 23'!B12</f>
        <v>31195</v>
      </c>
      <c r="C1753" s="2" t="s">
        <v>594</v>
      </c>
      <c r="D1753" s="2" t="str">
        <f t="shared" si="26"/>
        <v>Error?</v>
      </c>
    </row>
    <row r="1754" spans="1:5" x14ac:dyDescent="0.2">
      <c r="A1754" s="5">
        <v>1693</v>
      </c>
      <c r="B1754" s="138">
        <f>'Tax Sched 23'!B14</f>
        <v>31195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3436230</v>
      </c>
      <c r="C1759" s="2" t="s">
        <v>594</v>
      </c>
      <c r="D1759" s="2" t="str">
        <f t="shared" si="26"/>
        <v>Error?</v>
      </c>
    </row>
    <row r="1760" spans="1:5" x14ac:dyDescent="0.2">
      <c r="A1760" s="5">
        <v>1699</v>
      </c>
      <c r="B1760" s="138">
        <f>'Tax Sched 23'!D4</f>
        <v>1785562</v>
      </c>
      <c r="C1760" s="2" t="s">
        <v>594</v>
      </c>
      <c r="D1760" s="2" t="str">
        <f t="shared" si="26"/>
        <v>Error?</v>
      </c>
    </row>
    <row r="1761" spans="1:5" x14ac:dyDescent="0.2">
      <c r="A1761" s="5">
        <v>1700</v>
      </c>
      <c r="B1761" s="138">
        <f>'Tax Sched 23'!D5</f>
        <v>336398</v>
      </c>
      <c r="C1761" s="2" t="s">
        <v>594</v>
      </c>
      <c r="D1761" s="2" t="str">
        <f t="shared" si="26"/>
        <v>Error?</v>
      </c>
    </row>
    <row r="1762" spans="1:5" s="8" customFormat="1" x14ac:dyDescent="0.2">
      <c r="A1762" s="5">
        <v>1701</v>
      </c>
      <c r="B1762" s="138">
        <f>'Tax Sched 23'!D6</f>
        <v>686099</v>
      </c>
      <c r="C1762" s="2" t="s">
        <v>594</v>
      </c>
      <c r="D1762" s="2" t="str">
        <f t="shared" si="26"/>
        <v>Error?</v>
      </c>
      <c r="E1762" s="9"/>
    </row>
    <row r="1763" spans="1:5" x14ac:dyDescent="0.2">
      <c r="A1763" s="5">
        <v>1702</v>
      </c>
      <c r="B1763" s="138">
        <f>'Tax Sched 23'!D7</f>
        <v>173549</v>
      </c>
      <c r="C1763" s="2" t="s">
        <v>594</v>
      </c>
      <c r="D1763" s="2" t="str">
        <f t="shared" si="26"/>
        <v>Error?</v>
      </c>
    </row>
    <row r="1764" spans="1:5" x14ac:dyDescent="0.2">
      <c r="A1764" s="5">
        <v>1703</v>
      </c>
      <c r="B1764" s="138">
        <f>'Tax Sched 23'!D8</f>
        <v>197292</v>
      </c>
      <c r="C1764" s="2" t="s">
        <v>594</v>
      </c>
      <c r="D1764" s="2" t="str">
        <f t="shared" si="26"/>
        <v>Error?</v>
      </c>
    </row>
    <row r="1765" spans="1:5" x14ac:dyDescent="0.2">
      <c r="A1765" s="5">
        <v>1704</v>
      </c>
      <c r="B1765" s="138">
        <f>'Tax Sched 23'!D10</f>
        <v>31195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155982</v>
      </c>
      <c r="C1768" s="2" t="s">
        <v>594</v>
      </c>
      <c r="D1768" s="2" t="str">
        <f t="shared" si="26"/>
        <v>Error?</v>
      </c>
    </row>
    <row r="1769" spans="1:5" x14ac:dyDescent="0.2">
      <c r="A1769" s="5">
        <v>1708</v>
      </c>
      <c r="B1769" s="138">
        <f>'Tax Sched 23'!D12</f>
        <v>31195</v>
      </c>
      <c r="C1769" s="2" t="s">
        <v>594</v>
      </c>
      <c r="D1769" s="2" t="str">
        <f t="shared" si="26"/>
        <v>Error?</v>
      </c>
    </row>
    <row r="1770" spans="1:5" x14ac:dyDescent="0.2">
      <c r="A1770" s="5">
        <v>1709</v>
      </c>
      <c r="B1770" s="138">
        <f>'Tax Sched 23'!D14</f>
        <v>31195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3436230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7932155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31195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31195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31195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81746</v>
      </c>
      <c r="D2008" s="2" t="str">
        <f t="shared" si="30"/>
        <v>Error?</v>
      </c>
    </row>
    <row r="2009" spans="1:4" x14ac:dyDescent="0.2">
      <c r="A2009" s="5">
        <v>1948</v>
      </c>
      <c r="B2009" s="138">
        <f>'Cap Outlay Deprec 26'!C8</f>
        <v>12684081</v>
      </c>
      <c r="D2009" s="2" t="str">
        <f t="shared" si="30"/>
        <v>Error?</v>
      </c>
    </row>
    <row r="2010" spans="1:4" x14ac:dyDescent="0.2">
      <c r="A2010" s="5">
        <v>1949</v>
      </c>
      <c r="B2010" s="138">
        <f>'Cap Outlay Deprec 26'!C10</f>
        <v>9714931</v>
      </c>
      <c r="D2010" s="2" t="str">
        <f t="shared" si="30"/>
        <v>Error?</v>
      </c>
    </row>
    <row r="2011" spans="1:4" x14ac:dyDescent="0.2">
      <c r="A2011" s="5">
        <v>1950</v>
      </c>
      <c r="B2011" s="138">
        <f>'Cap Outlay Deprec 26'!C12</f>
        <v>2517349</v>
      </c>
      <c r="D2011" s="2" t="str">
        <f t="shared" si="30"/>
        <v>Error?</v>
      </c>
    </row>
    <row r="2012" spans="1:4" x14ac:dyDescent="0.2">
      <c r="A2012" s="5">
        <v>1951</v>
      </c>
      <c r="B2012" s="138">
        <f>'Cap Outlay Deprec 26'!C13</f>
        <v>89626</v>
      </c>
      <c r="D2012" s="2" t="str">
        <f t="shared" si="30"/>
        <v>Error?</v>
      </c>
    </row>
    <row r="2013" spans="1:4" x14ac:dyDescent="0.2">
      <c r="A2013" s="5">
        <v>1952</v>
      </c>
      <c r="B2013" s="138">
        <f>'Cap Outlay Deprec 26'!C16</f>
        <v>25220763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1702643</v>
      </c>
      <c r="D2016" s="2" t="str">
        <f t="shared" si="30"/>
        <v>Error?</v>
      </c>
    </row>
    <row r="2017" spans="1:4" x14ac:dyDescent="0.2">
      <c r="A2017" s="5">
        <v>1956</v>
      </c>
      <c r="B2017" s="138">
        <f>'Cap Outlay Deprec 26'!D12</f>
        <v>30746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1733389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133030</v>
      </c>
      <c r="C2025" s="2" t="s">
        <v>594</v>
      </c>
      <c r="D2025" s="2" t="str">
        <f t="shared" si="30"/>
        <v>Error?</v>
      </c>
    </row>
    <row r="2026" spans="1:4" x14ac:dyDescent="0.2">
      <c r="A2026" s="5">
        <v>1965</v>
      </c>
      <c r="B2026" s="138">
        <f>'Cap Outlay Deprec 26'!F5</f>
        <v>81746</v>
      </c>
      <c r="C2026" s="2" t="s">
        <v>594</v>
      </c>
      <c r="D2026" s="2" t="str">
        <f t="shared" si="30"/>
        <v>Error?</v>
      </c>
    </row>
    <row r="2027" spans="1:4" x14ac:dyDescent="0.2">
      <c r="A2027" s="5">
        <v>1966</v>
      </c>
      <c r="B2027" s="138">
        <f>'Cap Outlay Deprec 26'!F8</f>
        <v>12684081</v>
      </c>
      <c r="C2027" s="2" t="s">
        <v>594</v>
      </c>
      <c r="D2027" s="2" t="str">
        <f t="shared" si="30"/>
        <v>Error?</v>
      </c>
    </row>
    <row r="2028" spans="1:4" x14ac:dyDescent="0.2">
      <c r="A2028" s="5">
        <v>1967</v>
      </c>
      <c r="B2028" s="138">
        <f>'Cap Outlay Deprec 26'!F10</f>
        <v>11417574</v>
      </c>
      <c r="C2028" s="2" t="s">
        <v>594</v>
      </c>
      <c r="D2028" s="2" t="str">
        <f t="shared" si="30"/>
        <v>Error?</v>
      </c>
    </row>
    <row r="2029" spans="1:4" x14ac:dyDescent="0.2">
      <c r="A2029" s="5">
        <v>1968</v>
      </c>
      <c r="B2029" s="138">
        <f>'Cap Outlay Deprec 26'!F12</f>
        <v>2548095</v>
      </c>
      <c r="C2029" s="2" t="s">
        <v>594</v>
      </c>
      <c r="D2029" s="2" t="str">
        <f t="shared" si="30"/>
        <v>Error?</v>
      </c>
    </row>
    <row r="2030" spans="1:4" x14ac:dyDescent="0.2">
      <c r="A2030" s="5">
        <v>1969</v>
      </c>
      <c r="B2030" s="138">
        <f>'Cap Outlay Deprec 26'!F13</f>
        <v>89626</v>
      </c>
      <c r="C2030" s="2" t="s">
        <v>594</v>
      </c>
      <c r="D2030" s="2" t="str">
        <f t="shared" si="30"/>
        <v>Error?</v>
      </c>
    </row>
    <row r="2031" spans="1:4" x14ac:dyDescent="0.2">
      <c r="A2031" s="5">
        <v>1970</v>
      </c>
      <c r="B2031" s="138">
        <f>'Cap Outlay Deprec 26'!F16</f>
        <v>26821122</v>
      </c>
      <c r="C2031" s="2" t="s">
        <v>594</v>
      </c>
      <c r="D2031" s="2" t="str">
        <f t="shared" si="30"/>
        <v>Error?</v>
      </c>
    </row>
    <row r="2032" spans="1:4" x14ac:dyDescent="0.2">
      <c r="A2032" s="10">
        <v>1971</v>
      </c>
      <c r="D2032" s="2" t="str">
        <f t="shared" si="30"/>
        <v>OK</v>
      </c>
    </row>
    <row r="2033" spans="1:4" x14ac:dyDescent="0.2">
      <c r="A2033" s="5">
        <v>1972</v>
      </c>
      <c r="B2033" s="138">
        <f>'Cap Outlay Deprec 26'!H8</f>
        <v>6190413</v>
      </c>
      <c r="D2033" s="2" t="str">
        <f t="shared" si="30"/>
        <v>Error?</v>
      </c>
    </row>
    <row r="2034" spans="1:4" x14ac:dyDescent="0.2">
      <c r="A2034" s="5">
        <v>1973</v>
      </c>
      <c r="B2034" s="138">
        <f>'Cap Outlay Deprec 26'!H10</f>
        <v>2783066</v>
      </c>
      <c r="D2034" s="2" t="str">
        <f t="shared" si="30"/>
        <v>Error?</v>
      </c>
    </row>
    <row r="2035" spans="1:4" x14ac:dyDescent="0.2">
      <c r="A2035" s="5">
        <v>1974</v>
      </c>
      <c r="B2035" s="138">
        <f>'Cap Outlay Deprec 26'!H12</f>
        <v>2234982</v>
      </c>
      <c r="D2035" s="2" t="str">
        <f t="shared" si="30"/>
        <v>Error?</v>
      </c>
    </row>
    <row r="2036" spans="1:4" x14ac:dyDescent="0.2">
      <c r="A2036" s="5">
        <v>1975</v>
      </c>
      <c r="B2036" s="138">
        <f>'Cap Outlay Deprec 26'!H13</f>
        <v>89626</v>
      </c>
      <c r="D2036" s="2" t="str">
        <f t="shared" si="30"/>
        <v>Error?</v>
      </c>
    </row>
    <row r="2037" spans="1:4" x14ac:dyDescent="0.2">
      <c r="A2037" s="5">
        <v>1976</v>
      </c>
      <c r="B2037" s="138">
        <f>'Cap Outlay Deprec 26'!H16</f>
        <v>11298087</v>
      </c>
      <c r="C2037" s="2" t="s">
        <v>594</v>
      </c>
      <c r="D2037" s="2" t="str">
        <f t="shared" si="30"/>
        <v>Error?</v>
      </c>
    </row>
    <row r="2038" spans="1:4" x14ac:dyDescent="0.2">
      <c r="A2038" s="10">
        <v>1977</v>
      </c>
      <c r="D2038" s="2" t="str">
        <f t="shared" si="30"/>
        <v>OK</v>
      </c>
    </row>
    <row r="2039" spans="1:4" x14ac:dyDescent="0.2">
      <c r="A2039" s="5">
        <v>1978</v>
      </c>
      <c r="B2039" s="138">
        <f>'Cap Outlay Deprec 26'!I8</f>
        <v>269277</v>
      </c>
      <c r="D2039" s="2" t="str">
        <f t="shared" si="30"/>
        <v>Error?</v>
      </c>
    </row>
    <row r="2040" spans="1:4" x14ac:dyDescent="0.2">
      <c r="A2040" s="5">
        <v>1979</v>
      </c>
      <c r="B2040" s="138">
        <f>'Cap Outlay Deprec 26'!I10</f>
        <v>544154.39</v>
      </c>
      <c r="D2040" s="2" t="str">
        <f t="shared" si="30"/>
        <v>Error?</v>
      </c>
    </row>
    <row r="2041" spans="1:4" x14ac:dyDescent="0.2">
      <c r="A2041" s="5">
        <v>1980</v>
      </c>
      <c r="B2041" s="138">
        <f>'Cap Outlay Deprec 26'!I12</f>
        <v>81102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894533.39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6459690</v>
      </c>
      <c r="C2051" s="2" t="s">
        <v>594</v>
      </c>
      <c r="D2051" s="2" t="str">
        <f t="shared" si="31"/>
        <v>Error?</v>
      </c>
    </row>
    <row r="2052" spans="1:4" x14ac:dyDescent="0.2">
      <c r="A2052" s="5">
        <v>1991</v>
      </c>
      <c r="B2052" s="138">
        <f>'Cap Outlay Deprec 26'!K10</f>
        <v>3327220.39</v>
      </c>
      <c r="C2052" s="2" t="s">
        <v>594</v>
      </c>
      <c r="D2052" s="2" t="str">
        <f t="shared" si="31"/>
        <v>Error?</v>
      </c>
    </row>
    <row r="2053" spans="1:4" x14ac:dyDescent="0.2">
      <c r="A2053" s="5">
        <v>1992</v>
      </c>
      <c r="B2053" s="138">
        <f>'Cap Outlay Deprec 26'!K12</f>
        <v>2316084</v>
      </c>
      <c r="C2053" s="2" t="s">
        <v>594</v>
      </c>
      <c r="D2053" s="2" t="str">
        <f t="shared" si="31"/>
        <v>Error?</v>
      </c>
    </row>
    <row r="2054" spans="1:4" x14ac:dyDescent="0.2">
      <c r="A2054" s="5">
        <v>1993</v>
      </c>
      <c r="B2054" s="138">
        <f>'Cap Outlay Deprec 26'!K13</f>
        <v>89626</v>
      </c>
      <c r="C2054" s="2" t="s">
        <v>594</v>
      </c>
      <c r="D2054" s="2" t="str">
        <f t="shared" si="31"/>
        <v>Error?</v>
      </c>
    </row>
    <row r="2055" spans="1:4" x14ac:dyDescent="0.2">
      <c r="A2055" s="5">
        <v>1994</v>
      </c>
      <c r="B2055" s="138">
        <f>'Cap Outlay Deprec 26'!K16</f>
        <v>12192620.390000001</v>
      </c>
      <c r="C2055" s="2" t="s">
        <v>594</v>
      </c>
      <c r="D2055" s="2" t="str">
        <f t="shared" si="31"/>
        <v>Error?</v>
      </c>
    </row>
    <row r="2056" spans="1:4" x14ac:dyDescent="0.2">
      <c r="A2056" s="5">
        <v>1995</v>
      </c>
      <c r="B2056" s="138">
        <f>'Cap Outlay Deprec 26'!L5</f>
        <v>81746</v>
      </c>
      <c r="C2056" s="2" t="s">
        <v>594</v>
      </c>
      <c r="D2056" s="2" t="str">
        <f t="shared" si="31"/>
        <v>Error?</v>
      </c>
    </row>
    <row r="2057" spans="1:4" x14ac:dyDescent="0.2">
      <c r="A2057" s="5">
        <v>1996</v>
      </c>
      <c r="B2057" s="138">
        <f>'Cap Outlay Deprec 26'!L8</f>
        <v>6224391</v>
      </c>
      <c r="C2057" s="2" t="s">
        <v>594</v>
      </c>
      <c r="D2057" s="2" t="str">
        <f t="shared" si="31"/>
        <v>Error?</v>
      </c>
    </row>
    <row r="2058" spans="1:4" x14ac:dyDescent="0.2">
      <c r="A2058" s="5">
        <v>1997</v>
      </c>
      <c r="B2058" s="138">
        <f>'Cap Outlay Deprec 26'!L10</f>
        <v>8090353.6099999994</v>
      </c>
      <c r="C2058" s="2" t="s">
        <v>594</v>
      </c>
      <c r="D2058" s="2" t="str">
        <f t="shared" si="31"/>
        <v>Error?</v>
      </c>
    </row>
    <row r="2059" spans="1:4" x14ac:dyDescent="0.2">
      <c r="A2059" s="5">
        <v>1998</v>
      </c>
      <c r="B2059" s="138">
        <f>'Cap Outlay Deprec 26'!L12</f>
        <v>232011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14628501.609999999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1303326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1303326</v>
      </c>
      <c r="C2088" s="2" t="s">
        <v>594</v>
      </c>
      <c r="D2088" s="2" t="str">
        <f t="shared" si="31"/>
        <v>Error?</v>
      </c>
    </row>
    <row r="2089" spans="1:4" x14ac:dyDescent="0.2">
      <c r="A2089" s="5">
        <v>2028</v>
      </c>
      <c r="B2089" s="138">
        <f>'Expenditures 15-22'!K92</f>
        <v>5544</v>
      </c>
      <c r="C2089" s="2" t="s">
        <v>594</v>
      </c>
      <c r="D2089" s="2" t="str">
        <f t="shared" si="31"/>
        <v>Error?</v>
      </c>
    </row>
    <row r="2090" spans="1:4" x14ac:dyDescent="0.2">
      <c r="A2090" s="10">
        <v>2029</v>
      </c>
      <c r="D2090" s="2" t="str">
        <f t="shared" si="31"/>
        <v>OK</v>
      </c>
    </row>
    <row r="2091" spans="1:4" x14ac:dyDescent="0.2">
      <c r="A2091" s="5">
        <v>2030</v>
      </c>
      <c r="B2091" s="138">
        <f>'Expenditures 15-22'!H137</f>
        <v>634</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634</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2428427</v>
      </c>
      <c r="C2551" s="2" t="s">
        <v>594</v>
      </c>
      <c r="D2551" s="2" t="str">
        <f t="shared" si="38"/>
        <v>Error?</v>
      </c>
    </row>
    <row r="2552" spans="1:4" x14ac:dyDescent="0.2">
      <c r="A2552" s="10">
        <v>2491</v>
      </c>
      <c r="D2552" s="2" t="str">
        <f t="shared" si="38"/>
        <v>OK</v>
      </c>
    </row>
    <row r="2553" spans="1:4" x14ac:dyDescent="0.2">
      <c r="A2553" s="5">
        <v>2492</v>
      </c>
      <c r="B2553" s="138">
        <f>'Acct Summary 7-8'!C6</f>
        <v>5900948.4000000004</v>
      </c>
      <c r="C2553" s="2" t="s">
        <v>594</v>
      </c>
      <c r="D2553" s="2" t="str">
        <f t="shared" si="38"/>
        <v>Error?</v>
      </c>
    </row>
    <row r="2554" spans="1:4" x14ac:dyDescent="0.2">
      <c r="A2554" s="5">
        <v>2493</v>
      </c>
      <c r="B2554" s="138">
        <f>'Acct Summary 7-8'!C7</f>
        <v>716706</v>
      </c>
      <c r="C2554" s="2" t="s">
        <v>594</v>
      </c>
      <c r="D2554" s="2" t="str">
        <f t="shared" si="38"/>
        <v>Error?</v>
      </c>
    </row>
    <row r="2555" spans="1:4" x14ac:dyDescent="0.2">
      <c r="A2555" s="5">
        <v>2494</v>
      </c>
      <c r="B2555" s="138">
        <f>'Acct Summary 7-8'!C8</f>
        <v>9046081.4000000004</v>
      </c>
      <c r="C2555" s="2" t="s">
        <v>594</v>
      </c>
      <c r="D2555" s="2" t="str">
        <f t="shared" si="38"/>
        <v>Error?</v>
      </c>
    </row>
    <row r="2556" spans="1:4" x14ac:dyDescent="0.2">
      <c r="A2556" s="5">
        <v>2495</v>
      </c>
      <c r="B2556" s="138">
        <f>'Acct Summary 7-8'!C12</f>
        <v>4624690</v>
      </c>
      <c r="C2556" s="2" t="s">
        <v>594</v>
      </c>
      <c r="D2556" s="2" t="str">
        <f t="shared" si="38"/>
        <v>Error?</v>
      </c>
    </row>
    <row r="2557" spans="1:4" x14ac:dyDescent="0.2">
      <c r="A2557" s="5">
        <v>2496</v>
      </c>
      <c r="B2557" s="138">
        <f>'Acct Summary 7-8'!C13</f>
        <v>2372565</v>
      </c>
      <c r="C2557" s="2" t="s">
        <v>594</v>
      </c>
      <c r="D2557" s="2" t="str">
        <f t="shared" si="38"/>
        <v>Error?</v>
      </c>
    </row>
    <row r="2558" spans="1:4" x14ac:dyDescent="0.2">
      <c r="A2558" s="5">
        <v>2497</v>
      </c>
      <c r="B2558" s="138">
        <f>'Acct Summary 7-8'!C14</f>
        <v>37158</v>
      </c>
      <c r="C2558" s="2" t="s">
        <v>594</v>
      </c>
      <c r="D2558" s="2" t="str">
        <f t="shared" si="38"/>
        <v>Error?</v>
      </c>
    </row>
    <row r="2559" spans="1:4" x14ac:dyDescent="0.2">
      <c r="A2559" s="5">
        <v>2498</v>
      </c>
      <c r="B2559" s="138">
        <f>'Acct Summary 7-8'!C15</f>
        <v>1308870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8343283</v>
      </c>
      <c r="C2561" s="2" t="s">
        <v>594</v>
      </c>
      <c r="D2561" s="2" t="str">
        <f t="shared" si="39"/>
        <v>Error?</v>
      </c>
    </row>
    <row r="2562" spans="1:4" x14ac:dyDescent="0.2">
      <c r="A2562" s="5">
        <v>2501</v>
      </c>
      <c r="B2562" s="138">
        <f>'Acct Summary 7-8'!C20</f>
        <v>702798.40000000037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413929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413929</v>
      </c>
      <c r="C2568" s="2" t="s">
        <v>594</v>
      </c>
      <c r="D2568" s="2" t="str">
        <f t="shared" si="39"/>
        <v>Error?</v>
      </c>
    </row>
    <row r="2569" spans="1:4" x14ac:dyDescent="0.2">
      <c r="A2569" s="5">
        <v>2508</v>
      </c>
      <c r="B2569" s="138">
        <f>'Acct Summary 7-8'!D13</f>
        <v>443331</v>
      </c>
      <c r="C2569" s="2" t="s">
        <v>594</v>
      </c>
      <c r="D2569" s="2" t="str">
        <f t="shared" si="39"/>
        <v>Error?</v>
      </c>
    </row>
    <row r="2570" spans="1:4" x14ac:dyDescent="0.2">
      <c r="A2570" s="5">
        <v>2509</v>
      </c>
      <c r="B2570" s="138">
        <f>'Acct Summary 7-8'!D14</f>
        <v>3809</v>
      </c>
      <c r="C2570" s="2" t="s">
        <v>594</v>
      </c>
      <c r="D2570" s="2" t="str">
        <f t="shared" si="39"/>
        <v>Error?</v>
      </c>
    </row>
    <row r="2571" spans="1:4" x14ac:dyDescent="0.2">
      <c r="A2571" s="5">
        <v>2510</v>
      </c>
      <c r="B2571" s="138">
        <f>'Acct Summary 7-8'!D15</f>
        <v>634</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447774</v>
      </c>
      <c r="C2573" s="2" t="s">
        <v>594</v>
      </c>
      <c r="D2573" s="2" t="str">
        <f t="shared" si="39"/>
        <v>Error?</v>
      </c>
    </row>
    <row r="2574" spans="1:4" x14ac:dyDescent="0.2">
      <c r="A2574" s="5">
        <v>2513</v>
      </c>
      <c r="B2574" s="138">
        <f>'Acct Summary 7-8'!D20</f>
        <v>-33845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188812</v>
      </c>
      <c r="C2591" s="2" t="s">
        <v>594</v>
      </c>
      <c r="D2591" s="2" t="str">
        <f t="shared" si="39"/>
        <v>Error?</v>
      </c>
    </row>
    <row r="2592" spans="1:4" x14ac:dyDescent="0.2">
      <c r="A2592" s="10">
        <v>2531</v>
      </c>
      <c r="D2592" s="2" t="str">
        <f t="shared" si="39"/>
        <v>OK</v>
      </c>
    </row>
    <row r="2593" spans="1:4" x14ac:dyDescent="0.2">
      <c r="A2593" s="5">
        <v>2532</v>
      </c>
      <c r="B2593" s="138">
        <f>'Acct Summary 7-8'!F6</f>
        <v>241349</v>
      </c>
      <c r="C2593" s="2" t="s">
        <v>594</v>
      </c>
      <c r="D2593" s="2" t="str">
        <f t="shared" si="39"/>
        <v>Error?</v>
      </c>
    </row>
    <row r="2594" spans="1:4" x14ac:dyDescent="0.2">
      <c r="A2594" s="5">
        <v>2533</v>
      </c>
      <c r="B2594" s="138">
        <f>'Acct Summary 7-8'!F7</f>
        <v>2005</v>
      </c>
      <c r="C2594" s="2" t="s">
        <v>594</v>
      </c>
      <c r="D2594" s="2" t="str">
        <f t="shared" si="39"/>
        <v>Error?</v>
      </c>
    </row>
    <row r="2595" spans="1:4" x14ac:dyDescent="0.2">
      <c r="A2595" s="5">
        <v>2534</v>
      </c>
      <c r="B2595" s="138">
        <f>'Acct Summary 7-8'!F8</f>
        <v>432166</v>
      </c>
      <c r="C2595" s="2" t="s">
        <v>594</v>
      </c>
      <c r="D2595" s="2" t="str">
        <f t="shared" si="39"/>
        <v>Error?</v>
      </c>
    </row>
    <row r="2596" spans="1:4" x14ac:dyDescent="0.2">
      <c r="A2596" s="5">
        <v>2535</v>
      </c>
      <c r="B2596" s="138">
        <f>'Acct Summary 7-8'!F13</f>
        <v>326987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58604</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385591</v>
      </c>
      <c r="C2600" s="2" t="s">
        <v>594</v>
      </c>
      <c r="D2600" s="2" t="str">
        <f t="shared" si="39"/>
        <v>Error?</v>
      </c>
    </row>
    <row r="2601" spans="1:4" x14ac:dyDescent="0.2">
      <c r="A2601" s="5">
        <v>2540</v>
      </c>
      <c r="B2601" s="138">
        <f>'Acct Summary 7-8'!F20</f>
        <v>46575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215359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25291</v>
      </c>
      <c r="C2605" s="2" t="s">
        <v>594</v>
      </c>
      <c r="D2605" s="2" t="str">
        <f t="shared" si="39"/>
        <v>Error?</v>
      </c>
    </row>
    <row r="2606" spans="1:4" x14ac:dyDescent="0.2">
      <c r="A2606" s="5">
        <v>2545</v>
      </c>
      <c r="B2606" s="138">
        <f>'Acct Summary 7-8'!G8</f>
        <v>240650</v>
      </c>
      <c r="C2606" s="2" t="s">
        <v>594</v>
      </c>
      <c r="D2606" s="2" t="str">
        <f t="shared" si="39"/>
        <v>Error?</v>
      </c>
    </row>
    <row r="2607" spans="1:4" x14ac:dyDescent="0.2">
      <c r="A2607" s="5">
        <v>2546</v>
      </c>
      <c r="B2607" s="138">
        <f>'Acct Summary 7-8'!G12</f>
        <v>62531.43</v>
      </c>
      <c r="C2607" s="2" t="s">
        <v>594</v>
      </c>
      <c r="D2607" s="2" t="str">
        <f t="shared" si="39"/>
        <v>Error?</v>
      </c>
    </row>
    <row r="2608" spans="1:4" x14ac:dyDescent="0.2">
      <c r="A2608" s="5">
        <v>2547</v>
      </c>
      <c r="B2608" s="138">
        <f>'Acct Summary 7-8'!G13</f>
        <v>159770</v>
      </c>
      <c r="C2608" s="2" t="s">
        <v>594</v>
      </c>
      <c r="D2608" s="2" t="str">
        <f t="shared" si="39"/>
        <v>Error?</v>
      </c>
    </row>
    <row r="2609" spans="1:4" x14ac:dyDescent="0.2">
      <c r="A2609" s="5">
        <v>2548</v>
      </c>
      <c r="B2609" s="138">
        <f>'Acct Summary 7-8'!G14</f>
        <v>5254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227555.43</v>
      </c>
      <c r="C2612" s="2" t="s">
        <v>594</v>
      </c>
      <c r="D2612" s="2" t="str">
        <f t="shared" si="39"/>
        <v>Error?</v>
      </c>
    </row>
    <row r="2613" spans="1:4" x14ac:dyDescent="0.2">
      <c r="A2613" s="5">
        <v>2552</v>
      </c>
      <c r="B2613" s="138">
        <f>'Acct Summary 7-8'!G20</f>
        <v>13094.570000000007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1144511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1144511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1277271</v>
      </c>
      <c r="C2634" s="2" t="s">
        <v>594</v>
      </c>
      <c r="D2634" s="2" t="str">
        <f t="shared" si="40"/>
        <v>Error?</v>
      </c>
    </row>
    <row r="2635" spans="1:4" x14ac:dyDescent="0.2">
      <c r="A2635" s="5">
        <v>2574</v>
      </c>
      <c r="B2635" s="138">
        <f>'Acct Summary 7-8'!E17</f>
        <v>1277271</v>
      </c>
      <c r="C2635" s="2" t="s">
        <v>594</v>
      </c>
      <c r="D2635" s="2" t="str">
        <f t="shared" si="40"/>
        <v>Error?</v>
      </c>
    </row>
    <row r="2636" spans="1:4" x14ac:dyDescent="0.2">
      <c r="A2636" s="5">
        <v>2575</v>
      </c>
      <c r="B2636" s="138">
        <f>'Acct Summary 7-8'!E20</f>
        <v>-132760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325716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325716</v>
      </c>
      <c r="C2658" s="2" t="s">
        <v>594</v>
      </c>
      <c r="D2658" s="2" t="str">
        <f t="shared" si="40"/>
        <v>Error?</v>
      </c>
    </row>
    <row r="2659" spans="1:4" x14ac:dyDescent="0.2">
      <c r="A2659" s="5">
        <v>2598</v>
      </c>
      <c r="B2659" s="138">
        <f>'Acct Summary 7-8'!H13</f>
        <v>1624204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1624204</v>
      </c>
      <c r="C2661" s="2" t="s">
        <v>594</v>
      </c>
      <c r="D2661" s="2" t="str">
        <f t="shared" si="40"/>
        <v>Error?</v>
      </c>
    </row>
    <row r="2662" spans="1:4" x14ac:dyDescent="0.2">
      <c r="A2662" s="5">
        <v>2601</v>
      </c>
      <c r="B2662" s="138">
        <f>'Acct Summary 7-8'!H20</f>
        <v>-1298488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1000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1000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3809</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3809</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58604</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58604</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1048944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226029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1048944</v>
      </c>
      <c r="D2912" s="2" t="str">
        <f t="shared" si="44"/>
        <v>Error?</v>
      </c>
    </row>
    <row r="2913" spans="1:4" x14ac:dyDescent="0.2">
      <c r="A2913" s="5">
        <v>2852</v>
      </c>
      <c r="B2913" s="138">
        <f>'Assets-Liab 5-6'!I41</f>
        <v>1048944</v>
      </c>
      <c r="C2913" s="2" t="s">
        <v>594</v>
      </c>
      <c r="D2913" s="2" t="str">
        <f t="shared" si="44"/>
        <v>Error?</v>
      </c>
    </row>
    <row r="2914" spans="1:4" x14ac:dyDescent="0.2">
      <c r="A2914" s="5">
        <v>2853</v>
      </c>
      <c r="B2914" s="138">
        <f>'Assets-Liab 5-6'!L33</f>
        <v>226029</v>
      </c>
      <c r="D2914" s="2" t="str">
        <f t="shared" si="44"/>
        <v>Error?</v>
      </c>
    </row>
    <row r="2915" spans="1:4" x14ac:dyDescent="0.2">
      <c r="A2915" s="10">
        <v>2854</v>
      </c>
      <c r="D2915" s="2" t="str">
        <f t="shared" si="44"/>
        <v>OK</v>
      </c>
    </row>
    <row r="2916" spans="1:4" x14ac:dyDescent="0.2">
      <c r="A2916" s="5">
        <v>2855</v>
      </c>
      <c r="B2916" s="138">
        <f>'Assets-Liab 5-6'!L34</f>
        <v>226029</v>
      </c>
      <c r="C2916" s="2" t="s">
        <v>594</v>
      </c>
      <c r="D2916" s="2" t="str">
        <f t="shared" si="44"/>
        <v>Error?</v>
      </c>
    </row>
    <row r="2917" spans="1:4" x14ac:dyDescent="0.2">
      <c r="A2917" s="5">
        <v>2856</v>
      </c>
      <c r="B2917" s="138">
        <f>'Assets-Liab 5-6'!L41</f>
        <v>226029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1303326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1303326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634</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634</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58604</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58604</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184623</v>
      </c>
      <c r="D3055" s="2" t="str">
        <f t="shared" si="46"/>
        <v>Error?</v>
      </c>
    </row>
    <row r="3056" spans="1:4" x14ac:dyDescent="0.2">
      <c r="A3056" s="5">
        <v>2995</v>
      </c>
      <c r="B3056" s="138">
        <f>'Expenditures 15-22'!D10</f>
        <v>39448</v>
      </c>
      <c r="D3056" s="2" t="str">
        <f t="shared" si="46"/>
        <v>Error?</v>
      </c>
    </row>
    <row r="3057" spans="1:4" x14ac:dyDescent="0.2">
      <c r="A3057" s="5">
        <v>2996</v>
      </c>
      <c r="B3057" s="138">
        <f>'Expenditures 15-22'!E10</f>
        <v>28155</v>
      </c>
      <c r="D3057" s="2" t="str">
        <f t="shared" si="46"/>
        <v>Error?</v>
      </c>
    </row>
    <row r="3058" spans="1:4" x14ac:dyDescent="0.2">
      <c r="A3058" s="5">
        <v>2997</v>
      </c>
      <c r="B3058" s="138">
        <f>'Expenditures 15-22'!F10</f>
        <v>15538</v>
      </c>
      <c r="D3058" s="2" t="str">
        <f t="shared" si="46"/>
        <v>Error?</v>
      </c>
    </row>
    <row r="3059" spans="1:4" x14ac:dyDescent="0.2">
      <c r="A3059" s="5">
        <v>2998</v>
      </c>
      <c r="B3059" s="138">
        <f>'Expenditures 15-22'!G10</f>
        <v>6175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273939</v>
      </c>
      <c r="C3062" s="2" t="s">
        <v>594</v>
      </c>
      <c r="D3062" s="2" t="str">
        <f t="shared" si="46"/>
        <v>Error?</v>
      </c>
    </row>
    <row r="3063" spans="1:4" x14ac:dyDescent="0.2">
      <c r="A3063" s="10">
        <v>3002</v>
      </c>
      <c r="D3063" s="2" t="str">
        <f t="shared" si="46"/>
        <v>OK</v>
      </c>
    </row>
    <row r="3064" spans="1:4" x14ac:dyDescent="0.2">
      <c r="A3064" s="5">
        <v>3003</v>
      </c>
      <c r="B3064" s="138">
        <f>'Expenditures 15-22'!D219</f>
        <v>17259</v>
      </c>
      <c r="D3064" s="2" t="str">
        <f t="shared" si="46"/>
        <v>Error?</v>
      </c>
    </row>
    <row r="3065" spans="1:4" x14ac:dyDescent="0.2">
      <c r="A3065" s="5">
        <v>3004</v>
      </c>
      <c r="B3065" s="138">
        <f>'Expenditures 15-22'!K219</f>
        <v>17259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37076</v>
      </c>
      <c r="C3225" s="2" t="s">
        <v>594</v>
      </c>
      <c r="D3225" s="2" t="str">
        <f t="shared" si="49"/>
        <v>Error?</v>
      </c>
    </row>
    <row r="3226" spans="1:4" x14ac:dyDescent="0.2">
      <c r="A3226" s="5">
        <v>3165</v>
      </c>
      <c r="B3226" s="138">
        <f>'Acct Summary 7-8'!I8</f>
        <v>37076</v>
      </c>
      <c r="C3226" s="2" t="s">
        <v>594</v>
      </c>
      <c r="D3226" s="2" t="str">
        <f t="shared" si="49"/>
        <v>Error?</v>
      </c>
    </row>
    <row r="3227" spans="1:4" x14ac:dyDescent="0.2">
      <c r="A3227" s="5">
        <v>3166</v>
      </c>
      <c r="B3227" s="138">
        <f>'Acct Summary 7-8'!I20</f>
        <v>37076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702798.40000000037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-33845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46575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13094.570000000007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-132760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-1298488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37076</v>
      </c>
      <c r="C3320" s="2" t="s">
        <v>594</v>
      </c>
      <c r="D3320" s="2" t="str">
        <f t="shared" si="50"/>
        <v>Error?</v>
      </c>
    </row>
    <row r="3321" spans="1:4" x14ac:dyDescent="0.2">
      <c r="A3321" s="5">
        <v>3260</v>
      </c>
      <c r="B3321" s="138">
        <f>'Acct Summary 7-8'!I79</f>
        <v>1011868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1048944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37032.43</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37032.43</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1549789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626909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837025</v>
      </c>
      <c r="D3417" s="2" t="str">
        <f t="shared" si="52"/>
        <v>Error?</v>
      </c>
    </row>
    <row r="3418" spans="1:4" x14ac:dyDescent="0.2">
      <c r="A3418" s="10">
        <v>3357</v>
      </c>
      <c r="D3418" s="2" t="str">
        <f t="shared" si="52"/>
        <v>OK</v>
      </c>
    </row>
    <row r="3419" spans="1:4" x14ac:dyDescent="0.2">
      <c r="A3419" s="5">
        <v>3358</v>
      </c>
      <c r="B3419" s="138">
        <f>'Assets-Liab 5-6'!F4</f>
        <v>50897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443605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98995</v>
      </c>
      <c r="D3425" s="2" t="str">
        <f t="shared" si="52"/>
        <v>Error?</v>
      </c>
    </row>
    <row r="3426" spans="1:4" x14ac:dyDescent="0.2">
      <c r="A3426" s="10">
        <v>3365</v>
      </c>
      <c r="D3426" s="2" t="str">
        <f t="shared" si="52"/>
        <v>OK</v>
      </c>
    </row>
    <row r="3427" spans="1:4" x14ac:dyDescent="0.2">
      <c r="A3427" s="5">
        <v>3366</v>
      </c>
      <c r="B3427" s="138">
        <f>'Assets-Liab 5-6'!I4</f>
        <v>1048944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226029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133030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133030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60367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60367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60367</v>
      </c>
      <c r="D3567" s="2" t="str">
        <f t="shared" si="54"/>
        <v>Error?</v>
      </c>
    </row>
    <row r="3568" spans="1:4" x14ac:dyDescent="0.2">
      <c r="A3568" s="5">
        <v>3507</v>
      </c>
      <c r="B3568" s="138">
        <f>'Assets-Liab 5-6'!K41</f>
        <v>60367</v>
      </c>
      <c r="C3568" s="2" t="s">
        <v>594</v>
      </c>
      <c r="D3568" s="2" t="str">
        <f t="shared" si="54"/>
        <v>Error?</v>
      </c>
    </row>
    <row r="3569" spans="1:4" x14ac:dyDescent="0.2">
      <c r="A3569" s="5">
        <v>3508</v>
      </c>
      <c r="B3569" s="138">
        <f>'Acct Summary 7-8'!K4</f>
        <v>33268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33268</v>
      </c>
      <c r="C3571" s="2" t="s">
        <v>594</v>
      </c>
      <c r="D3571" s="2" t="str">
        <f t="shared" si="54"/>
        <v>Error?</v>
      </c>
    </row>
    <row r="3572" spans="1:4" x14ac:dyDescent="0.2">
      <c r="A3572" s="5">
        <v>3511</v>
      </c>
      <c r="B3572" s="138">
        <f>'Acct Summary 7-8'!K13</f>
        <v>96436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96436</v>
      </c>
      <c r="C3575" s="2" t="s">
        <v>594</v>
      </c>
      <c r="D3575" s="2" t="str">
        <f t="shared" si="54"/>
        <v>Error?</v>
      </c>
    </row>
    <row r="3576" spans="1:4" x14ac:dyDescent="0.2">
      <c r="A3576" s="5">
        <v>3515</v>
      </c>
      <c r="B3576" s="138">
        <f>'Acct Summary 7-8'!K20</f>
        <v>-63168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-63168</v>
      </c>
      <c r="C3588" s="2" t="s">
        <v>594</v>
      </c>
      <c r="D3588" s="2" t="str">
        <f t="shared" si="55"/>
        <v>Error?</v>
      </c>
    </row>
    <row r="3589" spans="1:4" x14ac:dyDescent="0.2">
      <c r="A3589" s="5">
        <v>3528</v>
      </c>
      <c r="B3589" s="138">
        <f>'Acct Summary 7-8'!K79</f>
        <v>123535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60367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96436</v>
      </c>
      <c r="D3632" s="2" t="str">
        <f t="shared" si="55"/>
        <v>Error?</v>
      </c>
    </row>
    <row r="3633" spans="1:4" x14ac:dyDescent="0.2">
      <c r="A3633" s="5">
        <v>3572</v>
      </c>
      <c r="B3633" s="138">
        <f>'Expenditures 15-22'!E350</f>
        <v>96436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96436</v>
      </c>
      <c r="C3635" s="2" t="s">
        <v>594</v>
      </c>
      <c r="D3635" s="2" t="str">
        <f t="shared" si="55"/>
        <v>Error?</v>
      </c>
    </row>
    <row r="3636" spans="1:4" x14ac:dyDescent="0.2">
      <c r="A3636" s="5">
        <v>3575</v>
      </c>
      <c r="B3636" s="138">
        <f>'Expenditures 15-22'!E367</f>
        <v>96436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96436</v>
      </c>
      <c r="C3669" s="2" t="s">
        <v>594</v>
      </c>
      <c r="D3669" s="2" t="str">
        <f t="shared" si="56"/>
        <v>Error?</v>
      </c>
    </row>
    <row r="3670" spans="1:4" x14ac:dyDescent="0.2">
      <c r="A3670" s="5">
        <v>3609</v>
      </c>
      <c r="B3670" s="138">
        <f>'Expenditures 15-22'!K350</f>
        <v>96436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96436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96436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-63168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7763</v>
      </c>
      <c r="C3725" s="2" t="s">
        <v>594</v>
      </c>
      <c r="D3725" s="2" t="str">
        <f t="shared" si="57"/>
        <v>Error?</v>
      </c>
    </row>
    <row r="3726" spans="1:4" x14ac:dyDescent="0.2">
      <c r="A3726" s="5">
        <v>3665</v>
      </c>
      <c r="B3726" s="138">
        <f>'Tax Sched 23'!D13</f>
        <v>7763</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346220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2916954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11963035.4</v>
      </c>
      <c r="C4122" s="2" t="s">
        <v>594</v>
      </c>
      <c r="D4122" s="2" t="str">
        <f t="shared" si="63"/>
        <v>Error?</v>
      </c>
    </row>
    <row r="4123" spans="1:4" x14ac:dyDescent="0.2">
      <c r="A4123" s="5">
        <v>4062</v>
      </c>
      <c r="B4123" s="138">
        <f>'Acct Summary 7-8'!D10</f>
        <v>413929</v>
      </c>
      <c r="C4123" s="2" t="s">
        <v>594</v>
      </c>
      <c r="D4123" s="2" t="str">
        <f t="shared" si="63"/>
        <v>Error?</v>
      </c>
    </row>
    <row r="4124" spans="1:4" x14ac:dyDescent="0.2">
      <c r="A4124" s="5">
        <v>4063</v>
      </c>
      <c r="B4124" s="138">
        <f>'Acct Summary 7-8'!E10</f>
        <v>1144511</v>
      </c>
      <c r="C4124" s="2" t="s">
        <v>594</v>
      </c>
      <c r="D4124" s="2" t="str">
        <f t="shared" si="63"/>
        <v>Error?</v>
      </c>
    </row>
    <row r="4125" spans="1:4" x14ac:dyDescent="0.2">
      <c r="A4125" s="5">
        <v>4064</v>
      </c>
      <c r="B4125" s="138">
        <f>'Acct Summary 7-8'!F10</f>
        <v>432166</v>
      </c>
      <c r="C4125" s="2" t="s">
        <v>594</v>
      </c>
      <c r="D4125" s="2" t="str">
        <f t="shared" si="63"/>
        <v>Error?</v>
      </c>
    </row>
    <row r="4126" spans="1:4" x14ac:dyDescent="0.2">
      <c r="A4126" s="5">
        <v>4065</v>
      </c>
      <c r="B4126" s="138">
        <f>'Acct Summary 7-8'!G10</f>
        <v>240650</v>
      </c>
      <c r="C4126" s="2" t="s">
        <v>594</v>
      </c>
      <c r="D4126" s="2" t="str">
        <f t="shared" si="63"/>
        <v>Error?</v>
      </c>
    </row>
    <row r="4127" spans="1:4" x14ac:dyDescent="0.2">
      <c r="A4127" s="5">
        <v>4066</v>
      </c>
      <c r="B4127" s="138">
        <f>'Acct Summary 7-8'!H10</f>
        <v>325716</v>
      </c>
      <c r="C4127" s="2" t="s">
        <v>594</v>
      </c>
      <c r="D4127" s="2" t="str">
        <f t="shared" si="63"/>
        <v>Error?</v>
      </c>
    </row>
    <row r="4128" spans="1:4" x14ac:dyDescent="0.2">
      <c r="A4128" s="5">
        <v>4067</v>
      </c>
      <c r="B4128" s="138">
        <f>'Acct Summary 7-8'!I10</f>
        <v>37076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33268</v>
      </c>
      <c r="C4130" s="2" t="s">
        <v>594</v>
      </c>
      <c r="D4130" s="2" t="str">
        <f t="shared" si="63"/>
        <v>Error?</v>
      </c>
    </row>
    <row r="4131" spans="1:4" x14ac:dyDescent="0.2">
      <c r="A4131" s="5">
        <v>4070</v>
      </c>
      <c r="B4131" s="138">
        <f>'Acct Summary 7-8'!C18</f>
        <v>2916954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11260237</v>
      </c>
      <c r="C4136" s="2" t="s">
        <v>594</v>
      </c>
      <c r="D4136" s="2" t="str">
        <f t="shared" si="63"/>
        <v>Error?</v>
      </c>
    </row>
    <row r="4137" spans="1:4" x14ac:dyDescent="0.2">
      <c r="A4137" s="5">
        <v>4076</v>
      </c>
      <c r="B4137" s="138">
        <f>'Acct Summary 7-8'!D19</f>
        <v>447774</v>
      </c>
      <c r="C4137" s="2" t="s">
        <v>594</v>
      </c>
      <c r="D4137" s="2" t="str">
        <f t="shared" si="63"/>
        <v>Error?</v>
      </c>
    </row>
    <row r="4138" spans="1:4" x14ac:dyDescent="0.2">
      <c r="A4138" s="5">
        <v>4077</v>
      </c>
      <c r="B4138" s="138">
        <f>'Acct Summary 7-8'!E19</f>
        <v>1277271</v>
      </c>
      <c r="C4138" s="2" t="s">
        <v>594</v>
      </c>
      <c r="D4138" s="2" t="str">
        <f t="shared" si="63"/>
        <v>Error?</v>
      </c>
    </row>
    <row r="4139" spans="1:4" x14ac:dyDescent="0.2">
      <c r="A4139" s="5">
        <v>4078</v>
      </c>
      <c r="B4139" s="138">
        <f>'Acct Summary 7-8'!F19</f>
        <v>385591</v>
      </c>
      <c r="C4139" s="2" t="s">
        <v>594</v>
      </c>
      <c r="D4139" s="2" t="str">
        <f t="shared" si="63"/>
        <v>Error?</v>
      </c>
    </row>
    <row r="4140" spans="1:4" x14ac:dyDescent="0.2">
      <c r="A4140" s="5">
        <v>4079</v>
      </c>
      <c r="B4140" s="138">
        <f>'Acct Summary 7-8'!G19</f>
        <v>227555.43</v>
      </c>
      <c r="C4140" s="2" t="s">
        <v>594</v>
      </c>
      <c r="D4140" s="2" t="str">
        <f t="shared" si="63"/>
        <v>Error?</v>
      </c>
    </row>
    <row r="4141" spans="1:4" x14ac:dyDescent="0.2">
      <c r="A4141" s="5">
        <v>4080</v>
      </c>
      <c r="B4141" s="138">
        <f>'Acct Summary 7-8'!H19</f>
        <v>1624204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96436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6904301</v>
      </c>
      <c r="C4171" s="2" t="s">
        <v>594</v>
      </c>
      <c r="D4171" s="2" t="str">
        <f t="shared" si="64"/>
        <v>Error?</v>
      </c>
    </row>
    <row r="4172" spans="1:4" x14ac:dyDescent="0.2">
      <c r="A4172" s="5">
        <v>4111</v>
      </c>
      <c r="B4172" s="138">
        <f>'Short-Term Long-Term Debt 24'!J49</f>
        <v>6067276</v>
      </c>
      <c r="C4172" s="2" t="s">
        <v>594</v>
      </c>
      <c r="D4172" s="2" t="str">
        <f t="shared" si="64"/>
        <v>Error?</v>
      </c>
    </row>
    <row r="4173" spans="1:4" x14ac:dyDescent="0.2">
      <c r="A4173" s="5">
        <v>4112</v>
      </c>
      <c r="B4173" s="138">
        <f>'Short-Term Long-Term Debt 24'!H49</f>
        <v>1027854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2467.17</v>
      </c>
      <c r="C4265" s="2" t="s">
        <v>594</v>
      </c>
      <c r="D4265" s="2" t="str">
        <f t="shared" si="65"/>
        <v>Error?</v>
      </c>
      <c r="E4265" s="128"/>
    </row>
    <row r="4266" spans="1:5" x14ac:dyDescent="0.2">
      <c r="A4266" s="12">
        <v>4205</v>
      </c>
      <c r="B4266" s="138">
        <f>('FP Info 3'!F10)*100000</f>
        <v>435.34999999999997</v>
      </c>
      <c r="C4266" s="2" t="s">
        <v>594</v>
      </c>
      <c r="D4266" s="2" t="str">
        <f t="shared" si="65"/>
        <v>Error?</v>
      </c>
      <c r="E4266" s="128"/>
    </row>
    <row r="4267" spans="1:5" x14ac:dyDescent="0.2">
      <c r="A4267" s="12">
        <v>4206</v>
      </c>
      <c r="B4267" s="138">
        <f>('FP Info 3'!H10)*100000</f>
        <v>224.59</v>
      </c>
      <c r="C4267" s="2" t="s">
        <v>594</v>
      </c>
      <c r="D4267" s="2" t="str">
        <f t="shared" si="65"/>
        <v>Error?</v>
      </c>
      <c r="E4267" s="128"/>
    </row>
    <row r="4268" spans="1:5" x14ac:dyDescent="0.2">
      <c r="A4268" s="12">
        <v>4207</v>
      </c>
      <c r="B4268" s="138">
        <f>('FP Info 3'!J10)*100000</f>
        <v>3127</v>
      </c>
      <c r="C4268" s="2" t="s">
        <v>594</v>
      </c>
      <c r="D4268" s="2" t="str">
        <f t="shared" si="65"/>
        <v>Error?</v>
      </c>
    </row>
    <row r="4269" spans="1:5" x14ac:dyDescent="0.2">
      <c r="A4269" s="12">
        <v>4208</v>
      </c>
      <c r="B4269" s="138">
        <f>'FP Info 3'!J16</f>
        <v>3274743.4000000004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5707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9506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40.369999999999997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1544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76747547</v>
      </c>
      <c r="D4995" s="2" t="str">
        <f t="shared" si="77"/>
        <v>Error?</v>
      </c>
    </row>
    <row r="4996" spans="1:4" x14ac:dyDescent="0.2">
      <c r="A4996" s="12">
        <v>4935</v>
      </c>
      <c r="B4996" s="138">
        <f>'FP Info 3'!H31</f>
        <v>10591161.486000001</v>
      </c>
      <c r="D4996" s="2" t="str">
        <f t="shared" si="77"/>
        <v>Error?</v>
      </c>
    </row>
    <row r="4997" spans="1:4" x14ac:dyDescent="0.2">
      <c r="A4997" s="12">
        <v>4936</v>
      </c>
      <c r="B4997" s="138">
        <f>'FP Info 3'!H37</f>
        <v>6904301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1785562</v>
      </c>
      <c r="D5061" s="2" t="str">
        <f t="shared" si="78"/>
        <v>Error?</v>
      </c>
    </row>
    <row r="5062" spans="1:4" x14ac:dyDescent="0.2">
      <c r="A5062" s="10">
        <v>5001</v>
      </c>
      <c r="D5062" s="2" t="str">
        <f t="shared" si="78"/>
        <v>OK</v>
      </c>
    </row>
    <row r="5063" spans="1:4" x14ac:dyDescent="0.2">
      <c r="A5063" s="5">
        <v>5002</v>
      </c>
      <c r="B5063" s="138">
        <f>'Revenues 9-14'!C7</f>
        <v>31195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1816757</v>
      </c>
      <c r="C5066" s="2" t="s">
        <v>594</v>
      </c>
      <c r="D5066" s="2" t="str">
        <f t="shared" si="78"/>
        <v>Error?</v>
      </c>
    </row>
    <row r="5067" spans="1:4" x14ac:dyDescent="0.2">
      <c r="A5067" s="5">
        <v>5006</v>
      </c>
      <c r="B5067" s="138">
        <f>'Revenues 9-14'!C14</f>
        <v>3500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213169</v>
      </c>
      <c r="D5069" s="2" t="str">
        <f t="shared" si="78"/>
        <v>Error?</v>
      </c>
    </row>
    <row r="5070" spans="1:4" x14ac:dyDescent="0.2">
      <c r="A5070" s="5">
        <v>5009</v>
      </c>
      <c r="B5070" s="138">
        <f>'Revenues 9-14'!C17</f>
        <v>3836</v>
      </c>
      <c r="D5070" s="2" t="str">
        <f t="shared" si="78"/>
        <v>Error?</v>
      </c>
    </row>
    <row r="5071" spans="1:4" x14ac:dyDescent="0.2">
      <c r="A5071" s="5">
        <v>5010</v>
      </c>
      <c r="B5071" s="138">
        <f>'Revenues 9-14'!C18</f>
        <v>220505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7989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7989</v>
      </c>
      <c r="C5090" s="2" t="s">
        <v>594</v>
      </c>
      <c r="D5090" s="2" t="str">
        <f t="shared" si="78"/>
        <v>Error?</v>
      </c>
    </row>
    <row r="5091" spans="1:4" x14ac:dyDescent="0.2">
      <c r="A5091" s="5">
        <v>5030</v>
      </c>
      <c r="B5091" s="138">
        <f>'Revenues 9-14'!C70</f>
        <v>18263</v>
      </c>
      <c r="D5091" s="2" t="str">
        <f t="shared" si="78"/>
        <v>Error?</v>
      </c>
    </row>
    <row r="5092" spans="1:4" x14ac:dyDescent="0.2">
      <c r="A5092" s="5">
        <v>5031</v>
      </c>
      <c r="B5092" s="138">
        <f>'Revenues 9-14'!C71</f>
        <v>47585</v>
      </c>
      <c r="D5092" s="2" t="str">
        <f t="shared" si="78"/>
        <v>Error?</v>
      </c>
    </row>
    <row r="5093" spans="1:4" x14ac:dyDescent="0.2">
      <c r="A5093" s="5">
        <v>5032</v>
      </c>
      <c r="B5093" s="138">
        <f>'Revenues 9-14'!C72</f>
        <v>33333</v>
      </c>
      <c r="D5093" s="2" t="str">
        <f t="shared" si="78"/>
        <v>Error?</v>
      </c>
    </row>
    <row r="5094" spans="1:4" x14ac:dyDescent="0.2">
      <c r="A5094" s="5">
        <v>5033</v>
      </c>
      <c r="B5094" s="138">
        <f>'Revenues 9-14'!C73</f>
        <v>3627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179841</v>
      </c>
      <c r="C5096" s="2" t="s">
        <v>594</v>
      </c>
      <c r="D5096" s="2" t="str">
        <f t="shared" si="78"/>
        <v>Error?</v>
      </c>
    </row>
    <row r="5097" spans="1:4" x14ac:dyDescent="0.2">
      <c r="A5097" s="5">
        <v>5036</v>
      </c>
      <c r="B5097" s="138">
        <f>'Revenues 9-14'!C77</f>
        <v>29129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15520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44649</v>
      </c>
      <c r="C5102" s="2" t="s">
        <v>594</v>
      </c>
      <c r="D5102" s="2" t="str">
        <f t="shared" si="78"/>
        <v>Error?</v>
      </c>
    </row>
    <row r="5103" spans="1:4" x14ac:dyDescent="0.2">
      <c r="A5103" s="5">
        <v>5042</v>
      </c>
      <c r="B5103" s="138">
        <f>'Revenues 9-14'!C84</f>
        <v>22646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22646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1758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24653</v>
      </c>
      <c r="D5118" s="2" t="str">
        <f t="shared" si="78"/>
        <v>Error?</v>
      </c>
    </row>
    <row r="5119" spans="1:4" x14ac:dyDescent="0.2">
      <c r="A5119" s="5">
        <v>5058</v>
      </c>
      <c r="B5119" s="138">
        <f>'Revenues 9-14'!C107</f>
        <v>9536</v>
      </c>
      <c r="D5119" s="2" t="str">
        <f t="shared" ref="D5119:D5182" si="79">IF(ISBLANK(B5119),"OK",IF(A5119-B5119=0,"OK","Error?"))</f>
        <v>Error?</v>
      </c>
    </row>
    <row r="5120" spans="1:4" x14ac:dyDescent="0.2">
      <c r="A5120" s="5">
        <v>5059</v>
      </c>
      <c r="B5120" s="138">
        <f>'Revenues 9-14'!C108</f>
        <v>136040</v>
      </c>
      <c r="C5120" s="2" t="s">
        <v>594</v>
      </c>
      <c r="D5120" s="2" t="str">
        <f t="shared" si="79"/>
        <v>Error?</v>
      </c>
    </row>
    <row r="5121" spans="1:4" x14ac:dyDescent="0.2">
      <c r="A5121" s="5">
        <v>5060</v>
      </c>
      <c r="B5121" s="138">
        <f>'Revenues 9-14'!C109</f>
        <v>2428427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5742114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5742114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78533</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31501.4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110034.4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24074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28253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4887</v>
      </c>
      <c r="D5167" s="2" t="str">
        <f t="shared" si="79"/>
        <v>Error?</v>
      </c>
    </row>
    <row r="5168" spans="1:4" x14ac:dyDescent="0.2">
      <c r="A5168" s="5">
        <v>5107</v>
      </c>
      <c r="B5168" s="138">
        <f>'Revenues 9-14'!C147</f>
        <v>14116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158834.4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5900948.4000000004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261543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84678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346221</v>
      </c>
      <c r="C5246" s="2" t="s">
        <v>594</v>
      </c>
      <c r="D5246" s="2" t="str">
        <f t="shared" si="80"/>
        <v>Error?</v>
      </c>
    </row>
    <row r="5247" spans="1:4" x14ac:dyDescent="0.2">
      <c r="A5247" s="5">
        <v>5186</v>
      </c>
      <c r="B5247" s="138">
        <f>'Revenues 9-14'!C203</f>
        <v>355272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355272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716706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716706</v>
      </c>
      <c r="C5326" s="2" t="s">
        <v>594</v>
      </c>
      <c r="D5326" s="2" t="str">
        <f t="shared" si="82"/>
        <v>Error?</v>
      </c>
    </row>
    <row r="5327" spans="1:4" x14ac:dyDescent="0.2">
      <c r="A5327" s="5">
        <v>5266</v>
      </c>
      <c r="B5327" s="138">
        <f>'Revenues 9-14'!C275</f>
        <v>9046081.4000000004</v>
      </c>
      <c r="C5327" s="2" t="s">
        <v>594</v>
      </c>
      <c r="D5327" s="2" t="str">
        <f t="shared" si="82"/>
        <v>Error?</v>
      </c>
    </row>
    <row r="5328" spans="1:4" x14ac:dyDescent="0.2">
      <c r="A5328" s="5">
        <v>5267</v>
      </c>
      <c r="B5328" s="138">
        <f>'Revenues 9-14'!D5</f>
        <v>336398</v>
      </c>
      <c r="D5328" s="2" t="str">
        <f t="shared" si="82"/>
        <v>Error?</v>
      </c>
    </row>
    <row r="5329" spans="1:4" x14ac:dyDescent="0.2">
      <c r="A5329" s="10">
        <v>5268</v>
      </c>
      <c r="D5329" s="2" t="str">
        <f t="shared" si="82"/>
        <v>OK</v>
      </c>
    </row>
    <row r="5330" spans="1:4" x14ac:dyDescent="0.2">
      <c r="A5330" s="5">
        <v>5269</v>
      </c>
      <c r="B5330" s="138">
        <f>'Revenues 9-14'!D6</f>
        <v>7763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344161</v>
      </c>
      <c r="C5334" s="2" t="s">
        <v>594</v>
      </c>
      <c r="D5334" s="2" t="str">
        <f t="shared" si="82"/>
        <v>Error?</v>
      </c>
    </row>
    <row r="5335" spans="1:4" x14ac:dyDescent="0.2">
      <c r="A5335" s="5">
        <v>5274</v>
      </c>
      <c r="B5335" s="138">
        <f>'Revenues 9-14'!D14</f>
        <v>2666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7000</v>
      </c>
      <c r="D5337" s="2" t="str">
        <f t="shared" si="82"/>
        <v>Error?</v>
      </c>
    </row>
    <row r="5338" spans="1:4" x14ac:dyDescent="0.2">
      <c r="A5338" s="5">
        <v>5277</v>
      </c>
      <c r="B5338" s="138">
        <f>'Revenues 9-14'!D17</f>
        <v>727</v>
      </c>
      <c r="D5338" s="2" t="str">
        <f t="shared" si="82"/>
        <v>Error?</v>
      </c>
    </row>
    <row r="5339" spans="1:4" x14ac:dyDescent="0.2">
      <c r="A5339" s="5">
        <v>5278</v>
      </c>
      <c r="B5339" s="138">
        <f>'Revenues 9-14'!D18</f>
        <v>10393</v>
      </c>
      <c r="C5339" s="2" t="s">
        <v>594</v>
      </c>
      <c r="D5339" s="2" t="str">
        <f t="shared" si="82"/>
        <v>Error?</v>
      </c>
    </row>
    <row r="5340" spans="1:4" x14ac:dyDescent="0.2">
      <c r="A5340" s="5">
        <v>5279</v>
      </c>
      <c r="B5340" s="138">
        <f>'Revenues 9-14'!D65</f>
        <v>3945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3945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55430</v>
      </c>
      <c r="D5354" s="2" t="str">
        <f t="shared" si="82"/>
        <v>Error?</v>
      </c>
    </row>
    <row r="5355" spans="1:4" x14ac:dyDescent="0.2">
      <c r="A5355" s="5">
        <v>5294</v>
      </c>
      <c r="B5355" s="138">
        <f>'Revenues 9-14'!D108</f>
        <v>55430</v>
      </c>
      <c r="C5355" s="2" t="s">
        <v>594</v>
      </c>
      <c r="D5355" s="2" t="str">
        <f t="shared" si="82"/>
        <v>Error?</v>
      </c>
    </row>
    <row r="5356" spans="1:4" x14ac:dyDescent="0.2">
      <c r="A5356" s="5">
        <v>5295</v>
      </c>
      <c r="B5356" s="138">
        <f>'Revenues 9-14'!D109</f>
        <v>413929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413929</v>
      </c>
      <c r="C5508" s="2" t="s">
        <v>594</v>
      </c>
      <c r="D5508" s="2" t="str">
        <f t="shared" si="85"/>
        <v>Error?</v>
      </c>
    </row>
    <row r="5509" spans="1:4" x14ac:dyDescent="0.2">
      <c r="A5509" s="5">
        <v>5448</v>
      </c>
      <c r="B5509" s="138">
        <f>'Revenues 9-14'!E5</f>
        <v>686099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686099</v>
      </c>
      <c r="C5513" s="2" t="s">
        <v>594</v>
      </c>
      <c r="D5513" s="2" t="str">
        <f t="shared" si="85"/>
        <v>Error?</v>
      </c>
    </row>
    <row r="5514" spans="1:4" x14ac:dyDescent="0.2">
      <c r="A5514" s="5">
        <v>5453</v>
      </c>
      <c r="B5514" s="138">
        <f>'Revenues 9-14'!E14</f>
        <v>5800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1449</v>
      </c>
      <c r="D5517" s="2" t="str">
        <f t="shared" si="85"/>
        <v>Error?</v>
      </c>
    </row>
    <row r="5518" spans="1:4" x14ac:dyDescent="0.2">
      <c r="A5518" s="5">
        <v>5457</v>
      </c>
      <c r="B5518" s="138">
        <f>'Revenues 9-14'!E18</f>
        <v>7249</v>
      </c>
      <c r="C5518" s="2" t="s">
        <v>594</v>
      </c>
      <c r="D5518" s="2" t="str">
        <f t="shared" si="85"/>
        <v>Error?</v>
      </c>
    </row>
    <row r="5519" spans="1:4" x14ac:dyDescent="0.2">
      <c r="A5519" s="5">
        <v>5458</v>
      </c>
      <c r="B5519" s="138">
        <f>'Revenues 9-14'!E65</f>
        <v>4536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4536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446627</v>
      </c>
      <c r="C5526" s="2" t="s">
        <v>594</v>
      </c>
      <c r="D5526" s="2" t="str">
        <f t="shared" si="85"/>
        <v>Error?</v>
      </c>
    </row>
    <row r="5527" spans="1:4" x14ac:dyDescent="0.2">
      <c r="A5527" s="5">
        <v>5466</v>
      </c>
      <c r="B5527" s="138">
        <f>'Revenues 9-14'!E109</f>
        <v>1144511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1144511</v>
      </c>
      <c r="C5552" s="2" t="s">
        <v>594</v>
      </c>
      <c r="D5552" s="2" t="str">
        <f t="shared" si="85"/>
        <v>Error?</v>
      </c>
    </row>
    <row r="5553" spans="1:4" x14ac:dyDescent="0.2">
      <c r="A5553" s="5">
        <v>5492</v>
      </c>
      <c r="B5553" s="138">
        <f>'Revenues 9-14'!F5</f>
        <v>173549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173549</v>
      </c>
      <c r="C5557" s="2" t="s">
        <v>594</v>
      </c>
      <c r="D5557" s="2" t="str">
        <f t="shared" si="85"/>
        <v>Error?</v>
      </c>
    </row>
    <row r="5558" spans="1:4" x14ac:dyDescent="0.2">
      <c r="A5558" s="5">
        <v>5497</v>
      </c>
      <c r="B5558" s="138">
        <f>'Revenues 9-14'!F14</f>
        <v>1500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7000</v>
      </c>
      <c r="D5560" s="2" t="str">
        <f t="shared" si="85"/>
        <v>Error?</v>
      </c>
    </row>
    <row r="5561" spans="1:4" x14ac:dyDescent="0.2">
      <c r="A5561" s="5">
        <v>5500</v>
      </c>
      <c r="B5561" s="138">
        <f>'Revenues 9-14'!F17</f>
        <v>366</v>
      </c>
      <c r="D5561" s="2" t="str">
        <f t="shared" si="85"/>
        <v>Error?</v>
      </c>
    </row>
    <row r="5562" spans="1:4" x14ac:dyDescent="0.2">
      <c r="A5562" s="5">
        <v>5501</v>
      </c>
      <c r="B5562" s="138">
        <f>'Revenues 9-14'!F18</f>
        <v>8866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5910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5910</v>
      </c>
      <c r="C5579" s="2" t="s">
        <v>594</v>
      </c>
      <c r="D5579" s="2" t="str">
        <f t="shared" si="86"/>
        <v>Error?</v>
      </c>
    </row>
    <row r="5580" spans="1:4" x14ac:dyDescent="0.2">
      <c r="A5580" s="5">
        <v>5519</v>
      </c>
      <c r="B5580" s="138">
        <f>'Revenues 9-14'!F65</f>
        <v>487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487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188812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241349</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241349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241349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241349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2005</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2005</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2005</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2005</v>
      </c>
      <c r="C5719" s="2" t="s">
        <v>594</v>
      </c>
      <c r="D5719" s="2" t="str">
        <f t="shared" si="88"/>
        <v>Error?</v>
      </c>
    </row>
    <row r="5720" spans="1:4" x14ac:dyDescent="0.2">
      <c r="A5720" s="5">
        <v>5659</v>
      </c>
      <c r="B5720" s="138">
        <f>'Revenues 9-14'!F275</f>
        <v>432166</v>
      </c>
      <c r="C5720" s="2" t="s">
        <v>594</v>
      </c>
      <c r="D5720" s="2" t="str">
        <f t="shared" si="88"/>
        <v>Error?</v>
      </c>
    </row>
    <row r="5721" spans="1:4" x14ac:dyDescent="0.2">
      <c r="A5721" s="5">
        <v>5660</v>
      </c>
      <c r="B5721" s="138">
        <f>'Revenues 9-14'!G5</f>
        <v>197292</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197292</v>
      </c>
      <c r="C5725" s="2" t="s">
        <v>594</v>
      </c>
      <c r="D5725" s="2" t="str">
        <f t="shared" si="88"/>
        <v>Error?</v>
      </c>
    </row>
    <row r="5726" spans="1:4" x14ac:dyDescent="0.2">
      <c r="A5726" s="5">
        <v>5665</v>
      </c>
      <c r="B5726" s="138">
        <f>'Revenues 9-14'!G14</f>
        <v>3000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12000</v>
      </c>
      <c r="D5728" s="2" t="str">
        <f t="shared" si="88"/>
        <v>Error?</v>
      </c>
    </row>
    <row r="5729" spans="1:4" x14ac:dyDescent="0.2">
      <c r="A5729" s="5">
        <v>5668</v>
      </c>
      <c r="B5729" s="138">
        <f>'Revenues 9-14'!G17</f>
        <v>416</v>
      </c>
      <c r="D5729" s="2" t="str">
        <f t="shared" si="88"/>
        <v>Error?</v>
      </c>
    </row>
    <row r="5730" spans="1:4" x14ac:dyDescent="0.2">
      <c r="A5730" s="5">
        <v>5669</v>
      </c>
      <c r="B5730" s="138">
        <f>'Revenues 9-14'!G18</f>
        <v>15416</v>
      </c>
      <c r="C5730" s="2" t="s">
        <v>594</v>
      </c>
      <c r="D5730" s="2" t="str">
        <f t="shared" si="88"/>
        <v>Error?</v>
      </c>
    </row>
    <row r="5731" spans="1:4" x14ac:dyDescent="0.2">
      <c r="A5731" s="5">
        <v>5670</v>
      </c>
      <c r="B5731" s="138">
        <f>'Revenues 9-14'!G65</f>
        <v>2651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2651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25291</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25291</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25291</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25291</v>
      </c>
      <c r="C5869" s="2" t="s">
        <v>594</v>
      </c>
      <c r="D5869" s="2" t="str">
        <f t="shared" si="90"/>
        <v>Error?</v>
      </c>
    </row>
    <row r="5870" spans="1:4" x14ac:dyDescent="0.2">
      <c r="A5870" s="5">
        <v>5809</v>
      </c>
      <c r="B5870" s="138">
        <f>'Revenues 9-14'!G275</f>
        <v>240650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22013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22013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303703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325716</v>
      </c>
      <c r="C5915" s="2" t="s">
        <v>594</v>
      </c>
      <c r="D5915" s="2" t="str">
        <f t="shared" si="91"/>
        <v>Error?</v>
      </c>
    </row>
    <row r="5916" spans="1:4" x14ac:dyDescent="0.2">
      <c r="A5916" s="5">
        <v>5855</v>
      </c>
      <c r="B5916" s="138">
        <f>'Revenues 9-14'!I5</f>
        <v>31195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31195</v>
      </c>
      <c r="C5918" s="2" t="s">
        <v>594</v>
      </c>
      <c r="D5918" s="2" t="str">
        <f t="shared" si="91"/>
        <v>Error?</v>
      </c>
    </row>
    <row r="5919" spans="1:4" x14ac:dyDescent="0.2">
      <c r="A5919" s="5">
        <v>5858</v>
      </c>
      <c r="B5919" s="138">
        <f>'Revenues 9-14'!I14</f>
        <v>300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66</v>
      </c>
      <c r="D5922" s="2" t="str">
        <f t="shared" si="91"/>
        <v>Error?</v>
      </c>
    </row>
    <row r="5923" spans="1:4" x14ac:dyDescent="0.2">
      <c r="A5923" s="5">
        <v>5862</v>
      </c>
      <c r="B5923" s="138">
        <f>'Revenues 9-14'!I18</f>
        <v>366</v>
      </c>
      <c r="C5923" s="2" t="s">
        <v>594</v>
      </c>
      <c r="D5923" s="2" t="str">
        <f t="shared" si="91"/>
        <v>Error?</v>
      </c>
    </row>
    <row r="5924" spans="1:4" x14ac:dyDescent="0.2">
      <c r="A5924" s="5">
        <v>5863</v>
      </c>
      <c r="B5924" s="138">
        <f>'Revenues 9-14'!I65</f>
        <v>5515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5515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37076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31195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31195</v>
      </c>
      <c r="C5987" s="2" t="s">
        <v>594</v>
      </c>
      <c r="D5987" s="2" t="str">
        <f t="shared" si="92"/>
        <v>Error?</v>
      </c>
    </row>
    <row r="5988" spans="1:4" x14ac:dyDescent="0.2">
      <c r="A5988" s="5">
        <v>5927</v>
      </c>
      <c r="B5988" s="138">
        <f>'Revenues 9-14'!K14</f>
        <v>1500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66</v>
      </c>
      <c r="D5991" s="2" t="str">
        <f t="shared" si="92"/>
        <v>Error?</v>
      </c>
    </row>
    <row r="5992" spans="1:4" x14ac:dyDescent="0.2">
      <c r="A5992" s="5">
        <v>5931</v>
      </c>
      <c r="B5992" s="138">
        <f>'Revenues 9-14'!K18</f>
        <v>1566</v>
      </c>
      <c r="C5992" s="2" t="s">
        <v>594</v>
      </c>
      <c r="D5992" s="2" t="str">
        <f t="shared" si="92"/>
        <v>Error?</v>
      </c>
    </row>
    <row r="5993" spans="1:4" x14ac:dyDescent="0.2">
      <c r="A5993" s="5">
        <v>5932</v>
      </c>
      <c r="B5993" s="138">
        <f>'Revenues 9-14'!K65</f>
        <v>507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507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33268</v>
      </c>
      <c r="C6023" s="2" t="s">
        <v>594</v>
      </c>
      <c r="D6023" s="2" t="str">
        <f t="shared" si="93"/>
        <v>Error?</v>
      </c>
    </row>
    <row r="6024" spans="1:5" x14ac:dyDescent="0.2">
      <c r="A6024" s="5">
        <v>5963</v>
      </c>
      <c r="B6024" s="138">
        <f>'Revenues 9-14'!G109</f>
        <v>215359</v>
      </c>
      <c r="C6024" s="2" t="s">
        <v>594</v>
      </c>
      <c r="D6024" s="2" t="str">
        <f t="shared" si="93"/>
        <v>Error?</v>
      </c>
    </row>
    <row r="6025" spans="1:5" x14ac:dyDescent="0.2">
      <c r="A6025" s="5">
        <v>5964</v>
      </c>
      <c r="B6025" s="138">
        <f>'Revenues 9-14'!H109</f>
        <v>325716</v>
      </c>
      <c r="C6025" s="2" t="s">
        <v>594</v>
      </c>
      <c r="D6025" s="2" t="str">
        <f t="shared" si="93"/>
        <v>Error?</v>
      </c>
    </row>
    <row r="6026" spans="1:5" x14ac:dyDescent="0.2">
      <c r="A6026" s="5">
        <v>5965</v>
      </c>
      <c r="B6026" s="138">
        <f>'Revenues 9-14'!I109</f>
        <v>37076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33268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77033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38857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965.72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409874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1409</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409874</v>
      </c>
      <c r="D6215" s="2" t="str">
        <f t="shared" si="96"/>
        <v>Error?</v>
      </c>
      <c r="E6215" s="2" t="s">
        <v>199</v>
      </c>
    </row>
    <row r="6216" spans="1:5" x14ac:dyDescent="0.2">
      <c r="A6216">
        <v>6155</v>
      </c>
      <c r="B6216" s="138">
        <f>'Assets-Liab 5-6'!J41</f>
        <v>409874</v>
      </c>
      <c r="D6216" s="2" t="str">
        <f t="shared" si="96"/>
        <v>Error?</v>
      </c>
      <c r="E6216" s="2" t="s">
        <v>199</v>
      </c>
    </row>
    <row r="6217" spans="1:5" x14ac:dyDescent="0.2">
      <c r="A6217">
        <v>6156</v>
      </c>
      <c r="B6217" s="138">
        <f>'Assets-Liab 5-6'!J4</f>
        <v>409874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160009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160009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160009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158823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158823</v>
      </c>
      <c r="D6229" s="2" t="str">
        <f t="shared" si="96"/>
        <v>Error?</v>
      </c>
      <c r="E6229" s="2" t="s">
        <v>199</v>
      </c>
    </row>
    <row r="6230" spans="1:5" x14ac:dyDescent="0.2">
      <c r="A6230">
        <v>6169</v>
      </c>
      <c r="B6230" s="138">
        <f>'Acct Summary 7-8'!J20</f>
        <v>1186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1186</v>
      </c>
      <c r="D6263" s="2" t="str">
        <f t="shared" si="96"/>
        <v>Error?</v>
      </c>
      <c r="E6263" s="2" t="s">
        <v>199</v>
      </c>
    </row>
    <row r="6264" spans="1:5" x14ac:dyDescent="0.2">
      <c r="A6264">
        <v>6203</v>
      </c>
      <c r="B6264" s="138">
        <f>'Acct Summary 7-8'!J79</f>
        <v>408688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409874</v>
      </c>
      <c r="D6266" s="2" t="str">
        <f t="shared" si="96"/>
        <v>Error?</v>
      </c>
      <c r="E6266" s="2" t="s">
        <v>199</v>
      </c>
    </row>
    <row r="6267" spans="1:5" x14ac:dyDescent="0.2">
      <c r="A6267">
        <v>6206</v>
      </c>
      <c r="B6267" s="138">
        <f>'Acct Summary 7-8'!C82</f>
        <v>702798.40000000037</v>
      </c>
      <c r="D6267" s="2" t="str">
        <f t="shared" si="96"/>
        <v>Error?</v>
      </c>
      <c r="E6267" s="2" t="s">
        <v>199</v>
      </c>
    </row>
    <row r="6268" spans="1:5" x14ac:dyDescent="0.2">
      <c r="A6268">
        <v>6207</v>
      </c>
      <c r="B6268" s="138">
        <f>'Acct Summary 7-8'!D82</f>
        <v>-33845</v>
      </c>
      <c r="D6268" s="2" t="str">
        <f t="shared" si="96"/>
        <v>Error?</v>
      </c>
      <c r="E6268" s="2" t="s">
        <v>199</v>
      </c>
    </row>
    <row r="6269" spans="1:5" x14ac:dyDescent="0.2">
      <c r="A6269">
        <v>6208</v>
      </c>
      <c r="B6269" s="138">
        <f>'Acct Summary 7-8'!E82</f>
        <v>-132760</v>
      </c>
      <c r="D6269" s="2" t="str">
        <f t="shared" si="96"/>
        <v>Error?</v>
      </c>
      <c r="E6269" s="2" t="s">
        <v>199</v>
      </c>
    </row>
    <row r="6270" spans="1:5" x14ac:dyDescent="0.2">
      <c r="A6270">
        <v>6209</v>
      </c>
      <c r="B6270" s="138">
        <f>'Acct Summary 7-8'!F82</f>
        <v>46575</v>
      </c>
      <c r="D6270" s="2" t="str">
        <f t="shared" si="96"/>
        <v>Error?</v>
      </c>
      <c r="E6270" s="2" t="s">
        <v>199</v>
      </c>
    </row>
    <row r="6271" spans="1:5" x14ac:dyDescent="0.2">
      <c r="A6271">
        <v>6210</v>
      </c>
      <c r="B6271" s="138">
        <f>'Acct Summary 7-8'!G82</f>
        <v>13094.570000000007</v>
      </c>
      <c r="D6271" s="2" t="str">
        <f t="shared" ref="D6271:D6334" si="97">IF(ISBLANK(B6271),"OK",IF(A6271-B6271=0,"OK","Error?"))</f>
        <v>Error?</v>
      </c>
      <c r="E6271" s="2" t="s">
        <v>199</v>
      </c>
    </row>
    <row r="6272" spans="1:5" x14ac:dyDescent="0.2">
      <c r="A6272">
        <v>6211</v>
      </c>
      <c r="B6272" s="138">
        <f>'Acct Summary 7-8'!H82</f>
        <v>-1298488</v>
      </c>
      <c r="D6272" s="2" t="str">
        <f t="shared" si="97"/>
        <v>Error?</v>
      </c>
      <c r="E6272" s="2" t="s">
        <v>199</v>
      </c>
    </row>
    <row r="6273" spans="1:5" x14ac:dyDescent="0.2">
      <c r="A6273">
        <v>6212</v>
      </c>
      <c r="B6273" s="138">
        <f>'Acct Summary 7-8'!I82</f>
        <v>37076</v>
      </c>
      <c r="D6273" s="2" t="str">
        <f t="shared" si="97"/>
        <v>Error?</v>
      </c>
      <c r="E6273" s="2" t="s">
        <v>199</v>
      </c>
    </row>
    <row r="6274" spans="1:5" x14ac:dyDescent="0.2">
      <c r="A6274">
        <v>6213</v>
      </c>
      <c r="B6274" s="138">
        <f>'Acct Summary 7-8'!J82</f>
        <v>1186</v>
      </c>
      <c r="D6274" s="2" t="str">
        <f t="shared" si="97"/>
        <v>Error?</v>
      </c>
      <c r="E6274" s="2" t="s">
        <v>199</v>
      </c>
    </row>
    <row r="6275" spans="1:5" x14ac:dyDescent="0.2">
      <c r="A6275">
        <v>6214</v>
      </c>
      <c r="B6275" s="138">
        <f>'Acct Summary 7-8'!K82</f>
        <v>-63168</v>
      </c>
      <c r="D6275" s="2" t="str">
        <f t="shared" si="97"/>
        <v>Error?</v>
      </c>
      <c r="E6275" s="2" t="s">
        <v>199</v>
      </c>
    </row>
    <row r="6276" spans="1:5" x14ac:dyDescent="0.2">
      <c r="A6276">
        <v>6215</v>
      </c>
      <c r="B6276" s="138">
        <f>'Acct Summary 7-8'!C83</f>
        <v>0.45400607005172</v>
      </c>
      <c r="D6276" s="2" t="str">
        <f t="shared" si="97"/>
        <v>Error?</v>
      </c>
      <c r="E6276" s="2" t="s">
        <v>199</v>
      </c>
    </row>
    <row r="6277" spans="1:5" x14ac:dyDescent="0.2">
      <c r="A6277">
        <v>6216</v>
      </c>
      <c r="B6277" s="138">
        <f>'Acct Summary 7-8'!D83</f>
        <v>-5.398710179627346E-2</v>
      </c>
      <c r="D6277" s="2" t="str">
        <f t="shared" si="97"/>
        <v>Error?</v>
      </c>
      <c r="E6277" s="2" t="s">
        <v>199</v>
      </c>
    </row>
    <row r="6278" spans="1:5" x14ac:dyDescent="0.2">
      <c r="A6278">
        <v>6217</v>
      </c>
      <c r="B6278" s="138">
        <f>'Acct Summary 7-8'!E83</f>
        <v>-0.15860936053283953</v>
      </c>
      <c r="D6278" s="2" t="str">
        <f t="shared" si="97"/>
        <v>Error?</v>
      </c>
      <c r="E6278" s="2" t="s">
        <v>199</v>
      </c>
    </row>
    <row r="6279" spans="1:5" x14ac:dyDescent="0.2">
      <c r="A6279">
        <v>6218</v>
      </c>
      <c r="B6279" s="138">
        <f>'Acct Summary 7-8'!F83</f>
        <v>0.91508340373695896</v>
      </c>
      <c r="D6279" s="2" t="str">
        <f t="shared" si="97"/>
        <v>Error?</v>
      </c>
      <c r="E6279" s="2" t="s">
        <v>199</v>
      </c>
    </row>
    <row r="6280" spans="1:5" x14ac:dyDescent="0.2">
      <c r="A6280">
        <v>6219</v>
      </c>
      <c r="B6280" s="138">
        <f>'Acct Summary 7-8'!G83</f>
        <v>2.9518564247433265E-2</v>
      </c>
      <c r="D6280" s="2" t="str">
        <f t="shared" si="97"/>
        <v>Error?</v>
      </c>
      <c r="E6280" s="2" t="s">
        <v>199</v>
      </c>
    </row>
    <row r="6281" spans="1:5" x14ac:dyDescent="0.2">
      <c r="A6281">
        <v>6220</v>
      </c>
      <c r="B6281" s="138">
        <f>'Acct Summary 7-8'!H83</f>
        <v>-0.72449028554721984</v>
      </c>
      <c r="D6281" s="2" t="str">
        <f t="shared" si="97"/>
        <v>Error?</v>
      </c>
      <c r="E6281" s="2" t="s">
        <v>199</v>
      </c>
    </row>
    <row r="6282" spans="1:5" x14ac:dyDescent="0.2">
      <c r="A6282">
        <v>6221</v>
      </c>
      <c r="B6282" s="138">
        <f>'Acct Summary 7-8'!I83</f>
        <v>3.5346024191949238E-2</v>
      </c>
      <c r="D6282" s="2" t="str">
        <f t="shared" si="97"/>
        <v>Error?</v>
      </c>
      <c r="E6282" s="2" t="s">
        <v>199</v>
      </c>
    </row>
    <row r="6283" spans="1:5" x14ac:dyDescent="0.2">
      <c r="A6283">
        <v>6222</v>
      </c>
      <c r="B6283" s="138">
        <f>'Acct Summary 7-8'!J83</f>
        <v>2.8935721709598562E-3</v>
      </c>
      <c r="D6283" s="2" t="str">
        <f t="shared" si="97"/>
        <v>Error?</v>
      </c>
      <c r="E6283" s="2" t="s">
        <v>199</v>
      </c>
    </row>
    <row r="6284" spans="1:5" x14ac:dyDescent="0.2">
      <c r="A6284">
        <v>6223</v>
      </c>
      <c r="B6284" s="138">
        <f>'Acct Summary 7-8'!K83</f>
        <v>-1.0463995229181506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155982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155982</v>
      </c>
      <c r="D6301" s="2" t="str">
        <f t="shared" si="97"/>
        <v>Error?</v>
      </c>
      <c r="E6301" s="2" t="s">
        <v>199</v>
      </c>
    </row>
    <row r="6302" spans="1:5" x14ac:dyDescent="0.2">
      <c r="A6302">
        <v>6241</v>
      </c>
      <c r="B6302" s="138">
        <f>'Revenues 9-14'!J14</f>
        <v>1500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329</v>
      </c>
      <c r="D6305" s="2" t="str">
        <f t="shared" si="97"/>
        <v>Error?</v>
      </c>
      <c r="E6305" s="2" t="s">
        <v>199</v>
      </c>
    </row>
    <row r="6306" spans="1:5" x14ac:dyDescent="0.2">
      <c r="A6306">
        <v>6245</v>
      </c>
      <c r="B6306" s="138">
        <f>'Revenues 9-14'!J18</f>
        <v>1829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2198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2198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88343</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11750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160009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4179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53878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5544</v>
      </c>
      <c r="D6991" s="2" t="str">
        <f t="shared" si="108"/>
        <v>Error?</v>
      </c>
    </row>
    <row r="6992" spans="1:4" x14ac:dyDescent="0.2">
      <c r="A6992">
        <v>6931</v>
      </c>
      <c r="B6992" s="138">
        <f>'Expenditures 15-22'!K90</f>
        <v>5544</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5544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158823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160009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543</v>
      </c>
      <c r="D7079" s="2" t="str">
        <f t="shared" si="109"/>
        <v>Error?</v>
      </c>
    </row>
    <row r="7080" spans="1:4" x14ac:dyDescent="0.2">
      <c r="A7080">
        <v>7019</v>
      </c>
      <c r="B7080" s="138">
        <f>'Expenditures 15-22'!K226</f>
        <v>543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118010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118010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40813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40813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158823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158823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158823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158823</v>
      </c>
      <c r="D7224" s="2" t="str">
        <f t="shared" si="111"/>
        <v>Error?</v>
      </c>
    </row>
    <row r="7225" spans="1:4" x14ac:dyDescent="0.2">
      <c r="A7225">
        <v>7164</v>
      </c>
      <c r="B7225" s="138">
        <f>'Expenditures 15-22'!K343</f>
        <v>1186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37690</v>
      </c>
      <c r="D7263" s="2" t="str">
        <f t="shared" si="112"/>
        <v>Error?</v>
      </c>
    </row>
    <row r="7264" spans="1:4" x14ac:dyDescent="0.2">
      <c r="A7264">
        <f t="shared" si="113"/>
        <v>7203</v>
      </c>
      <c r="B7264" s="138">
        <f>'Expenditures 15-22'!D17</f>
        <v>9753</v>
      </c>
      <c r="D7264" s="2" t="str">
        <f t="shared" si="112"/>
        <v>Error?</v>
      </c>
    </row>
    <row r="7265" spans="1:5" x14ac:dyDescent="0.2">
      <c r="A7265">
        <f t="shared" si="113"/>
        <v>7204</v>
      </c>
      <c r="B7265" s="138">
        <f>'Expenditures 15-22'!E17</f>
        <v>5358</v>
      </c>
      <c r="D7265" s="2" t="str">
        <f t="shared" si="112"/>
        <v>Error?</v>
      </c>
    </row>
    <row r="7266" spans="1:5" x14ac:dyDescent="0.2">
      <c r="A7266">
        <f t="shared" si="113"/>
        <v>7205</v>
      </c>
      <c r="B7266" s="138">
        <f>'Expenditures 15-22'!F17</f>
        <v>1067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894533.39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750330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11750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750330</v>
      </c>
      <c r="D7718" s="2" t="str">
        <f t="shared" si="126"/>
        <v>Error?</v>
      </c>
      <c r="E7718" s="2" t="s">
        <v>881</v>
      </c>
    </row>
    <row r="7719" spans="1:6" x14ac:dyDescent="0.2">
      <c r="A7719">
        <v>7658</v>
      </c>
      <c r="B7719" s="138">
        <f>'Rest Tax Levies-Tort Im 25'!K12</f>
        <v>11750</v>
      </c>
      <c r="D7719" s="2" t="str">
        <f t="shared" si="126"/>
        <v>Error?</v>
      </c>
      <c r="E7719" s="2" t="s">
        <v>881</v>
      </c>
    </row>
    <row r="7720" spans="1:6" x14ac:dyDescent="0.2">
      <c r="A7720">
        <v>7659</v>
      </c>
      <c r="B7720" s="138">
        <f>'Rest Tax Levies-Tort Im 25'!H14</f>
        <v>31195</v>
      </c>
      <c r="D7720" s="2" t="str">
        <f t="shared" si="126"/>
        <v>Error?</v>
      </c>
      <c r="E7720" s="2" t="s">
        <v>881</v>
      </c>
    </row>
    <row r="7721" spans="1:6" x14ac:dyDescent="0.2">
      <c r="A7721">
        <v>7660</v>
      </c>
      <c r="B7721" s="138">
        <f>'Rest Tax Levies-Tort Im 25'!K14</f>
        <v>11750</v>
      </c>
      <c r="D7721" s="2" t="str">
        <f t="shared" si="126"/>
        <v>Error?</v>
      </c>
      <c r="E7721" s="2" t="s">
        <v>881</v>
      </c>
    </row>
    <row r="7722" spans="1:6" x14ac:dyDescent="0.2">
      <c r="A7722">
        <v>7661</v>
      </c>
      <c r="B7722" s="138">
        <f>'Rest Tax Levies-Tort Im 25'!J15</f>
        <v>446627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303703</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303703</v>
      </c>
      <c r="D7727" s="2" t="str">
        <f t="shared" si="126"/>
        <v>Error?</v>
      </c>
      <c r="E7727" s="2" t="s">
        <v>881</v>
      </c>
    </row>
    <row r="7728" spans="1:6" x14ac:dyDescent="0.2">
      <c r="A7728">
        <v>7667</v>
      </c>
      <c r="B7728" s="138">
        <f>'Revenues 9-14'!E103</f>
        <v>446627</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750330</v>
      </c>
      <c r="D7730" s="2" t="str">
        <f t="shared" si="126"/>
        <v>Error?</v>
      </c>
      <c r="E7730" s="2" t="s">
        <v>881</v>
      </c>
    </row>
    <row r="7731" spans="1:6" x14ac:dyDescent="0.2">
      <c r="A7731">
        <v>7670</v>
      </c>
      <c r="B7731" s="138">
        <f>'Revenues 9-14'!H103</f>
        <v>303703</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738777</v>
      </c>
      <c r="D7797" s="2" t="str">
        <f t="shared" si="127"/>
        <v>Error?</v>
      </c>
      <c r="E7797" s="4" t="s">
        <v>2019</v>
      </c>
    </row>
    <row r="7798" spans="1:5" x14ac:dyDescent="0.2">
      <c r="A7798">
        <v>7737</v>
      </c>
      <c r="B7798" s="138">
        <f>'Contracts Paid in CY 29'!F141</f>
        <v>50000</v>
      </c>
      <c r="D7798" s="2" t="str">
        <f t="shared" si="127"/>
        <v>Error?</v>
      </c>
      <c r="E7798" s="4" t="s">
        <v>2019</v>
      </c>
    </row>
    <row r="7799" spans="1:5" x14ac:dyDescent="0.2">
      <c r="A7799">
        <v>7738</v>
      </c>
      <c r="B7799" s="138">
        <f>'Contracts Paid in CY 29'!G141</f>
        <v>656935</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T43" sqref="AT4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Johnston City Community Unit School District #1</v>
      </c>
      <c r="B7" s="2403"/>
      <c r="C7" s="2403"/>
      <c r="D7" s="2440"/>
      <c r="E7" s="2441" t="str">
        <f>COVER!A13</f>
        <v>21-100-0010-26</v>
      </c>
      <c r="F7" s="2442"/>
      <c r="G7" s="2409" t="str">
        <f>COVER!T23</f>
        <v>065-022629</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Cindy A. Bobell, CPA</v>
      </c>
      <c r="H9" s="2416"/>
      <c r="I9" s="2416"/>
      <c r="J9" s="2416"/>
      <c r="K9" s="2416"/>
      <c r="L9" s="2417"/>
    </row>
    <row r="10" spans="1:29" ht="13.5" customHeight="1" x14ac:dyDescent="0.2">
      <c r="A10" s="2399" t="str">
        <f>COVER!A38</f>
        <v>Mrs. Kathy Clark</v>
      </c>
      <c r="B10" s="2400"/>
      <c r="C10" s="2400"/>
      <c r="D10" s="2400"/>
      <c r="E10" s="2400"/>
      <c r="F10" s="2401"/>
      <c r="G10" s="2415" t="str">
        <f>COVER!T17</f>
        <v>10653 Khoury League Road</v>
      </c>
      <c r="H10" s="2428"/>
      <c r="I10" s="2428"/>
      <c r="J10" s="2428"/>
      <c r="K10" s="2428"/>
      <c r="L10" s="2429"/>
    </row>
    <row r="11" spans="1:29" ht="13.5" customHeight="1" x14ac:dyDescent="0.2">
      <c r="A11" s="1185" t="s">
        <v>1599</v>
      </c>
      <c r="B11" s="1186"/>
      <c r="C11" s="1187"/>
      <c r="D11" s="1192"/>
      <c r="E11" s="1187"/>
      <c r="F11" s="1191"/>
      <c r="G11" s="2415" t="str">
        <f>COVER!T19</f>
        <v>Marion</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f>COVER!T25</f>
        <v>0</v>
      </c>
      <c r="J13" s="2437"/>
      <c r="K13" s="2437"/>
      <c r="L13" s="2438"/>
    </row>
    <row r="14" spans="1:29" ht="13.5" customHeight="1" x14ac:dyDescent="0.2">
      <c r="A14" s="2415" t="str">
        <f>COVER!A19</f>
        <v>200 East 12th Street</v>
      </c>
      <c r="B14" s="2428"/>
      <c r="C14" s="2428"/>
      <c r="D14" s="2428"/>
      <c r="E14" s="2428"/>
      <c r="F14" s="2429"/>
      <c r="G14" s="1196" t="s">
        <v>1247</v>
      </c>
      <c r="H14" s="1194"/>
      <c r="I14" s="1194"/>
      <c r="J14" s="1194"/>
      <c r="K14" s="1194"/>
      <c r="L14" s="1195"/>
    </row>
    <row r="15" spans="1:29" ht="13.5" customHeight="1" x14ac:dyDescent="0.2">
      <c r="A15" s="2415" t="str">
        <f>COVER!A21</f>
        <v xml:space="preserve">Johnston City </v>
      </c>
      <c r="B15" s="2428"/>
      <c r="C15" s="2428"/>
      <c r="D15" s="2428"/>
      <c r="E15" s="2428"/>
      <c r="F15" s="2429"/>
      <c r="G15" s="2425" t="str">
        <f>COVER!T15</f>
        <v>Cindy A. Bobell, CPA</v>
      </c>
      <c r="H15" s="2426"/>
      <c r="I15" s="2426"/>
      <c r="J15" s="2426"/>
      <c r="K15" s="2426"/>
      <c r="L15" s="2427"/>
    </row>
    <row r="16" spans="1:29" ht="12.2" customHeight="1" x14ac:dyDescent="0.2">
      <c r="A16" s="2405">
        <f>COVER!A25</f>
        <v>62951</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618-997-9711</v>
      </c>
      <c r="H18" s="2403"/>
      <c r="I18" s="2403"/>
      <c r="J18" s="2403"/>
      <c r="K18" s="2402" t="str">
        <f>COVER!X21</f>
        <v>618-997-8014</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T43" sqref="AT4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Johnston City Community Unit School District #1</v>
      </c>
      <c r="B1" s="2439"/>
      <c r="C1" s="2439"/>
      <c r="D1" s="2439"/>
    </row>
    <row r="2" spans="1:11" s="1215" customFormat="1" ht="12.75" x14ac:dyDescent="0.2">
      <c r="A2" s="2444" t="str">
        <f>'Single Audit Cover'!E7</f>
        <v>21-100-0010-26</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0" zoomScale="110" zoomScaleNormal="110" zoomScaleSheetLayoutView="100" workbookViewId="0">
      <selection activeCell="AT43" sqref="AT43"/>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Johnston City Community Unit School District #1</v>
      </c>
      <c r="B1" s="2447"/>
      <c r="C1" s="2447"/>
      <c r="D1" s="2447"/>
      <c r="E1" s="2447"/>
    </row>
    <row r="2" spans="1:5" x14ac:dyDescent="0.2">
      <c r="A2" s="2448" t="str">
        <f>'Single Audit Cover'!E7</f>
        <v>21-100-0010-26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744002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38857</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-9506</v>
      </c>
    </row>
    <row r="19" spans="1:4" ht="13.5" thickBot="1" x14ac:dyDescent="0.25">
      <c r="A19" s="1265" t="s">
        <v>1297</v>
      </c>
      <c r="D19" s="1266">
        <f>SUM(D10:D17)</f>
        <v>773353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773353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773353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T43" sqref="AT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Johnston City Community Unit School District #1</v>
      </c>
      <c r="B1" s="2452"/>
      <c r="C1" s="2452"/>
      <c r="D1" s="2452"/>
      <c r="E1" s="2452"/>
      <c r="F1" s="2452"/>
    </row>
    <row r="2" spans="1:7" ht="13.5" customHeight="1" x14ac:dyDescent="0.2">
      <c r="A2" s="2453" t="str">
        <f>'Single Audit Cover'!E7</f>
        <v>21-100-0010-26</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0" t="s">
        <v>1332</v>
      </c>
      <c r="D15" s="2457" t="s">
        <v>1331</v>
      </c>
      <c r="E15" s="2457"/>
      <c r="F15" s="2457"/>
    </row>
    <row r="16" spans="1:7" ht="13.5" customHeight="1" x14ac:dyDescent="0.2">
      <c r="A16" s="1282"/>
      <c r="B16" s="1276" t="s">
        <v>1330</v>
      </c>
      <c r="C16" s="1870"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7"/>
      <c r="E33" s="1286"/>
    </row>
    <row r="34" spans="1:6" ht="13.5" customHeight="1" x14ac:dyDescent="0.2">
      <c r="A34" s="328" t="s">
        <v>1948</v>
      </c>
      <c r="B34" s="328"/>
      <c r="C34" s="1289">
        <v>0</v>
      </c>
      <c r="D34" s="1927" t="s">
        <v>1671</v>
      </c>
      <c r="E34" s="2461">
        <f>+C33+C34</f>
        <v>0</v>
      </c>
      <c r="F34" s="2462"/>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69"/>
      <c r="C50" s="1869"/>
      <c r="D50" s="1869"/>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T43" sqref="AT4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Johnston City Community Unit School District #1</v>
      </c>
      <c r="C1" s="2464"/>
      <c r="D1" s="2464"/>
      <c r="E1" s="2464"/>
      <c r="F1" s="2464"/>
      <c r="G1" s="2464"/>
      <c r="H1" s="2464"/>
      <c r="I1" s="2464"/>
      <c r="J1" s="2464"/>
      <c r="K1" s="2464"/>
      <c r="L1" s="2464"/>
      <c r="M1" s="2464"/>
    </row>
    <row r="2" spans="2:14" ht="15" x14ac:dyDescent="0.2">
      <c r="B2" s="2453" t="str">
        <f>'Single Audit Cover'!E7</f>
        <v>21-100-0010-26</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T43" sqref="AT4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Johnston City Community Unit School District #1</v>
      </c>
      <c r="C1" s="2472"/>
      <c r="D1" s="2472"/>
      <c r="E1" s="2472"/>
      <c r="F1" s="2472"/>
      <c r="G1" s="2472"/>
      <c r="H1" s="2472"/>
      <c r="I1" s="2472"/>
      <c r="J1" s="1422"/>
    </row>
    <row r="2" spans="2:10" s="317" customFormat="1" ht="12.75" customHeight="1" x14ac:dyDescent="0.2">
      <c r="B2" s="2473" t="str">
        <f>'Single Audit Cover'!E7</f>
        <v>21-100-0010-26</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zoomScaleNormal="110" workbookViewId="0">
      <selection activeCell="AT43" sqref="AT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Johnston City Community Unit School District #1</v>
      </c>
      <c r="C1" s="2471"/>
      <c r="D1" s="2471"/>
      <c r="E1" s="2471"/>
      <c r="F1" s="2471"/>
      <c r="G1" s="2471"/>
      <c r="H1" s="2471"/>
      <c r="I1" s="2471"/>
      <c r="J1" s="2471"/>
      <c r="K1" s="2471"/>
      <c r="L1" s="1374"/>
      <c r="M1" s="1374"/>
    </row>
    <row r="2" spans="1:13" ht="12" customHeight="1" x14ac:dyDescent="0.2">
      <c r="B2" s="2473" t="str">
        <f>'Single Audit Cover'!E7</f>
        <v>21-100-0010-26</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t="s">
        <v>2119</v>
      </c>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t="s">
        <v>2100</v>
      </c>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t="s">
        <v>2101</v>
      </c>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t="s">
        <v>2102</v>
      </c>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t="s">
        <v>2103</v>
      </c>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t="s">
        <v>2104</v>
      </c>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oddFooter>&amp;RC - 1</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T43" sqref="AT4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Johnston City Community Unit School District #1</v>
      </c>
      <c r="C1" s="2498"/>
      <c r="D1" s="2498"/>
      <c r="E1" s="2498"/>
      <c r="F1" s="2498"/>
      <c r="G1" s="2498"/>
      <c r="H1" s="2498"/>
      <c r="I1" s="2498"/>
      <c r="J1" s="2498"/>
      <c r="K1" s="2498"/>
      <c r="L1" s="1465"/>
    </row>
    <row r="2" spans="1:12" ht="12.75" customHeight="1" x14ac:dyDescent="0.2">
      <c r="B2" s="2499" t="str">
        <f>'Single Audit Cover'!E7</f>
        <v>21-100-0010-26</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view="pageLayout" zoomScaleNormal="110" workbookViewId="0">
      <selection activeCell="AT43" sqref="AT4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Johnston City Community Unit School District #1</v>
      </c>
      <c r="C1" s="2471"/>
      <c r="D1" s="2471"/>
      <c r="E1" s="1491"/>
    </row>
    <row r="2" spans="2:5" s="1282" customFormat="1" ht="12.75" customHeight="1" x14ac:dyDescent="0.2">
      <c r="B2" s="2473" t="str">
        <f>'Single Audit Cover'!E7</f>
        <v>21-100-0010-26</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t="s">
        <v>2105</v>
      </c>
      <c r="C8" s="324" t="s">
        <v>2107</v>
      </c>
      <c r="D8" s="324" t="s">
        <v>2106</v>
      </c>
      <c r="E8" s="324"/>
    </row>
    <row r="9" spans="2:5" ht="13.5" customHeight="1" x14ac:dyDescent="0.2">
      <c r="B9" s="1497"/>
      <c r="C9" s="323" t="s">
        <v>2108</v>
      </c>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oddFooter>&amp;RC - 2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www.w3.org/XML/1998/namespace"/>
    <ds:schemaRef ds:uri="4d435f69-8686-490b-bd6d-b153bf22ab50"/>
    <ds:schemaRef ds:uri="http://purl.org/dc/terms/"/>
    <ds:schemaRef ds:uri="d21dc803-237d-4c68-8692-8d731fd29118"/>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2018-09-24T17:45:54Z</cp:lastPrinted>
  <dcterms:created xsi:type="dcterms:W3CDTF">2003-10-29T19:06:34Z</dcterms:created>
  <dcterms:modified xsi:type="dcterms:W3CDTF">2018-10-11T19:31:57Z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