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F18" i="181" l="1"/>
  <c r="G18" i="181" s="1"/>
  <c r="E18" i="181"/>
  <c r="F17" i="181"/>
  <c r="G17" i="181" s="1"/>
  <c r="E17" i="181"/>
  <c r="B4" i="185" l="1"/>
  <c r="B4" i="184"/>
  <c r="B4" i="183"/>
  <c r="J21" i="127" l="1"/>
  <c r="J13"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D141" i="181" l="1"/>
  <c r="D80" i="36" l="1"/>
  <c r="B7797" i="106"/>
  <c r="E141" i="181"/>
  <c r="E16" i="181"/>
  <c r="F16" i="181" s="1"/>
  <c r="G16" i="181" s="1"/>
  <c r="G141" i="181" l="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1" i="183" l="1"/>
  <c r="B1" i="184"/>
  <c r="B1" i="185"/>
  <c r="B2" i="179"/>
  <c r="B2" i="184"/>
  <c r="B2" i="183"/>
  <c r="B2" i="185"/>
  <c r="A2" i="170"/>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D7762" i="106" s="1"/>
  <c r="K12" i="12"/>
  <c r="B7719" i="106" s="1"/>
  <c r="D7719" i="106" s="1"/>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B5286" i="106" s="1"/>
  <c r="D5286" i="106" s="1"/>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B6997" i="106" s="1"/>
  <c r="D6997" i="106" s="1"/>
  <c r="K94" i="29"/>
  <c r="B6999" i="106" s="1"/>
  <c r="D6999" i="106" s="1"/>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1" i="106"/>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8" i="127"/>
  <c r="B69" i="127"/>
  <c r="D26" i="108"/>
  <c r="E26" i="108"/>
  <c r="D27" i="108"/>
  <c r="E27" i="108"/>
  <c r="G27" i="108"/>
  <c r="F31" i="108"/>
  <c r="F37" i="108"/>
  <c r="G28" i="108"/>
  <c r="G29" i="108"/>
  <c r="E30" i="108"/>
  <c r="D31"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D22" i="37"/>
  <c r="J22" i="37"/>
  <c r="L22" i="37"/>
  <c r="D24" i="37"/>
  <c r="B4270" i="106" s="1"/>
  <c r="D4270" i="106" s="1"/>
  <c r="B1746" i="106"/>
  <c r="D1746" i="106" s="1"/>
  <c r="H173" i="5" l="1"/>
  <c r="B5906" i="106" s="1"/>
  <c r="D5906" i="106" s="1"/>
  <c r="D36" i="108"/>
  <c r="D41" i="108" s="1"/>
  <c r="E43" i="108" s="1"/>
  <c r="H342" i="29"/>
  <c r="F77" i="4"/>
  <c r="B3255" i="106" s="1"/>
  <c r="D3255" i="106" s="1"/>
  <c r="D13" i="7"/>
  <c r="B3726" i="106" s="1"/>
  <c r="D3726" i="106" s="1"/>
  <c r="F68" i="34"/>
  <c r="D15" i="7"/>
  <c r="B1772" i="106" s="1"/>
  <c r="D1772" i="106" s="1"/>
  <c r="D5" i="4"/>
  <c r="B3406" i="106" s="1"/>
  <c r="D3406" i="106" s="1"/>
  <c r="F127" i="34"/>
  <c r="B5096" i="106"/>
  <c r="D5096" i="106" s="1"/>
  <c r="B7727" i="106"/>
  <c r="D7727" i="106" s="1"/>
  <c r="F72" i="34"/>
  <c r="F37" i="34"/>
  <c r="E38" i="108"/>
  <c r="G30" i="108"/>
  <c r="F26" i="108"/>
  <c r="H76" i="4"/>
  <c r="B3298" i="106" s="1"/>
  <c r="D3298" i="106" s="1"/>
  <c r="F36" i="108"/>
  <c r="B6995" i="106"/>
  <c r="D6995" i="106" s="1"/>
  <c r="B1124" i="106"/>
  <c r="D1124" i="106" s="1"/>
  <c r="F19" i="7"/>
  <c r="B1807" i="106" s="1"/>
  <c r="D1807" i="106" s="1"/>
  <c r="G38" i="108"/>
  <c r="E29" i="108"/>
  <c r="G26" i="108"/>
  <c r="K285" i="29"/>
  <c r="K184" i="29"/>
  <c r="F13" i="4" s="1"/>
  <c r="B2596" i="106" s="1"/>
  <c r="D2596" i="106" s="1"/>
  <c r="G210" i="29"/>
  <c r="H29" i="118"/>
  <c r="D54" i="36"/>
  <c r="K24" i="12"/>
  <c r="L13" i="11"/>
  <c r="B2060" i="106" s="1"/>
  <c r="D2060" i="106" s="1"/>
  <c r="F50" i="34"/>
  <c r="F44" i="34"/>
  <c r="C342" i="29"/>
  <c r="B7216" i="106" s="1"/>
  <c r="D7216" i="106" s="1"/>
  <c r="B6289" i="106"/>
  <c r="D6289" i="106" s="1"/>
  <c r="B1274" i="106"/>
  <c r="D1274" i="106" s="1"/>
  <c r="G15" i="145"/>
  <c r="D12" i="7"/>
  <c r="B1769" i="106" s="1"/>
  <c r="D1769" i="106" s="1"/>
  <c r="D4" i="7"/>
  <c r="B1760" i="106" s="1"/>
  <c r="D1760" i="106" s="1"/>
  <c r="E109" i="5"/>
  <c r="E4" i="4" s="1"/>
  <c r="B2630" i="106" s="1"/>
  <c r="D2630" i="106" s="1"/>
  <c r="L5" i="11"/>
  <c r="B2056" i="106" s="1"/>
  <c r="D2056" i="106" s="1"/>
  <c r="I173" i="5"/>
  <c r="B4216" i="106" s="1"/>
  <c r="D4216" i="106" s="1"/>
  <c r="G172" i="5"/>
  <c r="G173" i="5" s="1"/>
  <c r="F66" i="34"/>
  <c r="F42" i="34"/>
  <c r="F21" i="8"/>
  <c r="K274" i="5"/>
  <c r="K7" i="4" s="1"/>
  <c r="B3718" i="106" s="1"/>
  <c r="D3718" i="106" s="1"/>
  <c r="L367" i="29"/>
  <c r="H109" i="5"/>
  <c r="B6025" i="106" s="1"/>
  <c r="D6025" i="106" s="1"/>
  <c r="F131" i="34"/>
  <c r="F46" i="34"/>
  <c r="B4087" i="106"/>
  <c r="D4087" i="106" s="1"/>
  <c r="K41" i="3"/>
  <c r="L15" i="11"/>
  <c r="B3459" i="106" s="1"/>
  <c r="D3459" i="106" s="1"/>
  <c r="F28" i="108"/>
  <c r="E28" i="108"/>
  <c r="F111" i="34"/>
  <c r="C109" i="5"/>
  <c r="B5121" i="106" s="1"/>
  <c r="D5121" i="106" s="1"/>
  <c r="D11" i="7"/>
  <c r="B1768" i="106" s="1"/>
  <c r="D1768" i="106" s="1"/>
  <c r="D11" i="37"/>
  <c r="D17" i="7"/>
  <c r="B4104" i="106" s="1"/>
  <c r="D4104" i="106" s="1"/>
  <c r="F106" i="34"/>
  <c r="B5752" i="106"/>
  <c r="D5752" i="106" s="1"/>
  <c r="F128" i="34"/>
  <c r="H33" i="118"/>
  <c r="J274" i="5"/>
  <c r="B7054" i="106" s="1"/>
  <c r="D7054" i="106" s="1"/>
  <c r="I342" i="29"/>
  <c r="B7222" i="106" s="1"/>
  <c r="D7222" i="106" s="1"/>
  <c r="B3621" i="106"/>
  <c r="D3621" i="106" s="1"/>
  <c r="C367" i="29"/>
  <c r="B3622" i="106" s="1"/>
  <c r="D3622" i="106" s="1"/>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6216" i="106" s="1"/>
  <c r="D6216" i="106" s="1"/>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5778" i="106" l="1"/>
  <c r="D5778" i="106" s="1"/>
  <c r="G6" i="4"/>
  <c r="B2604" i="106" s="1"/>
  <c r="D2604" i="106" s="1"/>
  <c r="D7255" i="106"/>
  <c r="D7252" i="106"/>
  <c r="B6022" i="106"/>
  <c r="D6022" i="106" s="1"/>
  <c r="D7253" i="106"/>
  <c r="B6014" i="106"/>
  <c r="D6014" i="106" s="1"/>
  <c r="B1365" i="106"/>
  <c r="D1365" i="106" s="1"/>
  <c r="F65" i="34"/>
  <c r="B5770" i="106"/>
  <c r="D5770" i="106" s="1"/>
  <c r="B1381" i="106"/>
  <c r="D1381" i="106" s="1"/>
  <c r="D7256" i="106"/>
  <c r="D7251" i="106"/>
  <c r="F73" i="34"/>
  <c r="G15" i="4"/>
  <c r="B6032" i="106" s="1"/>
  <c r="D6032" i="106" s="1"/>
  <c r="B7733" i="106"/>
  <c r="D7733" i="106" s="1"/>
  <c r="K26" i="12"/>
  <c r="B7743" i="106" s="1"/>
  <c r="D7743" i="106" s="1"/>
  <c r="B1879" i="106"/>
  <c r="D1879" i="106" s="1"/>
  <c r="H22" i="37"/>
  <c r="B3568" i="106"/>
  <c r="D3568" i="106" s="1"/>
  <c r="D52" i="36"/>
  <c r="L114" i="29"/>
  <c r="C114" i="29"/>
  <c r="B757" i="106" s="1"/>
  <c r="D757" i="106" s="1"/>
  <c r="C4" i="4"/>
  <c r="B2551" i="106" s="1"/>
  <c r="D2551" i="106" s="1"/>
  <c r="D19" i="7"/>
  <c r="B1775" i="106" s="1"/>
  <c r="D1775" i="106" s="1"/>
  <c r="I26" i="12"/>
  <c r="B7741" i="106" s="1"/>
  <c r="D7741" i="106" s="1"/>
  <c r="B1996" i="106"/>
  <c r="D1996" i="106" s="1"/>
  <c r="B5214" i="106"/>
  <c r="D5214" i="106" s="1"/>
  <c r="C173" i="5"/>
  <c r="B3628" i="106"/>
  <c r="D3628" i="106" s="1"/>
  <c r="C151" i="29"/>
  <c r="B1226" i="106" s="1"/>
  <c r="D1226" i="106" s="1"/>
  <c r="B1317" i="106"/>
  <c r="D1317" i="106" s="1"/>
  <c r="F274" i="5"/>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J8" i="4" l="1"/>
  <c r="F24" i="37"/>
  <c r="J17" i="4"/>
  <c r="J19" i="4" s="1"/>
  <c r="B6229" i="106" s="1"/>
  <c r="D6229"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J20" i="4"/>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H13" i="118"/>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<sst xmlns="http://schemas.openxmlformats.org/spreadsheetml/2006/main" count="5145" uniqueCount="2141">
  <si>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</si>
  <si>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</si>
  <si>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</si>
  <si>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</si>
  <si>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</si>
  <si>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</si>
  <si>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</si>
  <si>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</si>
  <si>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</si>
  <si>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</si>
  <si>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</si>
  <si>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</si>
  <si>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</si>
  <si>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</si>
  <si>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</si>
  <si>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</si>
  <si>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</si>
  <si>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</si>
  <si>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</si>
  <si>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</si>
  <si>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</si>
  <si>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</si>
  <si>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</si>
  <si>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</si>
  <si>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</si>
  <si>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</si>
  <si>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</si>
  <si>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</si>
  <si>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</si>
  <si>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</si>
  <si>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</si>
  <si>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</si>
  <si>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</si>
  <si>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</si>
  <si>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</si>
  <si>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</si>
  <si>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</si>
  <si>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</si>
  <si>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</si>
  <si>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</si>
  <si>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</si>
  <si>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</si>
  <si>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</si>
  <si>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</si>
  <si>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</si>
  <si>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</si>
  <si>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</si>
  <si>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</si>
  <si>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</si>
  <si>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</si>
  <si>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</si>
  <si>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</si>
  <si>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</si>
  <si>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</si>
  <si>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</si>
  <si>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</si>
  <si>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</si>
  <si>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</si>
  <si>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</si>
  <si>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</si>
  <si>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</si>
  <si>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</si>
  <si>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</si>
  <si>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</si>
  <si>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</si>
  <si>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</si>
  <si>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</si>
  <si>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</si>
  <si>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</si>
  <si>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</si>
  <si>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</si>
  <si>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</si>
  <si>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</si>
  <si>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</si>
  <si>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</si>
  <si>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</si>
  <si>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</si>
  <si>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</si>
  <si>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</si>
  <si>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</si>
  <si>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</si>
  <si>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</si>
  <si>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</si>
  <si>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</si>
  <si>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</si>
  <si>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</si>
  <si>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</si>
  <si>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</si>
  <si>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</si>
  <si>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</si>
  <si>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</si>
  <si>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</si>
  <si>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</si>
  <si>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</si>
  <si>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</si>
  <si>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</si>
  <si>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</si>
  <si>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</si>
  <si>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</si>
  <si>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</si>
  <si>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</si>
  <si>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</si>
  <si>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</si>
  <si>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</si>
  <si>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</si>
  <si>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</si>
  <si>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</si>
  <si>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</si>
  <si>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</si>
  <si>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</si>
  <si>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</si>
  <si>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</si>
  <si>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</si>
  <si>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</si>
  <si>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</si>
  <si>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</si>
  <si>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</si>
  <si>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</si>
  <si>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</si>
  <si>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</si>
  <si>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</si>
  <si>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</si>
  <si>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</si>
  <si>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</si>
  <si>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</si>
  <si>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</si>
  <si>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</si>
  <si>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</si>
  <si>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</si>
  <si>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</si>
  <si>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</si>
  <si>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</si>
  <si>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</si>
  <si>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</si>
  <si>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</si>
  <si>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</si>
  <si>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</si>
  <si>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</si>
  <si>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</si>
  <si>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</si>
  <si>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</si>
  <si>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</si>
  <si>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</si>
  <si>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</si>
  <si>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</si>
  <si>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</si>
  <si>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</si>
  <si>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</si>
  <si>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</si>
  <si>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</si>
  <si>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</si>
  <si>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</si>
  <si>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</si>
  <si>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</si>
  <si>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</si>
  <si>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</si>
  <si>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</si>
  <si>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</si>
  <si>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</si>
  <si>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</si>
  <si>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</si>
  <si>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</si>
  <si>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</si>
  <si>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</si>
  <si>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</si>
  <si>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</si>
  <si>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</si>
  <si>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</si>
  <si>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</si>
  <si>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</si>
  <si>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</si>
  <si>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</si>
  <si>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</si>
  <si>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</si>
  <si>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</si>
  <si>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</si>
  <si>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</si>
  <si>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</si>
  <si>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</si>
  <si>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</si>
  <si>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</si>
  <si>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</si>
  <si>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</si>
  <si>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</si>
  <si>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</si>
  <si>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</si>
  <si>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</si>
  <si>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</si>
  <si>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</si>
  <si>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</si>
  <si>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</si>
  <si>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</si>
  <si>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</si>
  <si>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</si>
  <si>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</si>
  <si>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</si>
  <si>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</si>
  <si>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</si>
  <si>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</si>
  <si>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</si>
  <si>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</si>
  <si>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</si>
  <si>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</si>
  <si>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</si>
  <si>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</si>
  <si>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</si>
  <si>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</si>
  <si>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</si>
  <si>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</si>
  <si>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</si>
  <si>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</si>
  <si>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</si>
  <si>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</si>
  <si>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</si>
  <si>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</si>
  <si>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</si>
  <si>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</si>
  <si>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</si>
  <si>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</si>
  <si>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</si>
  <si>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</si>
  <si>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</si>
  <si>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</si>
  <si>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</si>
  <si>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</si>
  <si>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</si>
  <si>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</si>
  <si>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</si>
  <si>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</si>
  <si>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</si>
  <si>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</si>
  <si>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</si>
  <si>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</si>
  <si>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</si>
  <si>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</si>
  <si>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</si>
  <si>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</si>
  <si>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</si>
  <si>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</si>
  <si>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</si>
  <si>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</si>
  <si>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</si>
  <si>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</si>
  <si>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</si>
  <si>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</si>
  <si>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</si>
  <si>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</si>
  <si>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</si>
  <si>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</si>
  <si>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</si>
  <si>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</si>
  <si>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</si>
  <si>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</si>
  <si>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</si>
  <si>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</si>
  <si>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</si>
  <si>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</si>
  <si>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</si>
  <si>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</si>
  <si>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</si>
  <si>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</si>
  <si>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</si>
  <si>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</si>
  <si>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</si>
  <si>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</si>
  <si>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</si>
  <si>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</si>
  <si>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</si>
  <si>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</si>
  <si>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</si>
  <si>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</si>
  <si>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</si>
  <si>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</si>
  <si>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</si>
  <si>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</si>
  <si>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</si>
  <si>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</si>
  <si>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</si>
  <si>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</si>
  <si>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</si>
  <si>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</si>
  <si>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</si>
  <si>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</si>
  <si>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</si>
  <si>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</si>
  <si>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</si>
  <si>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</si>
  <si>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</si>
  <si>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</si>
  <si>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</si>
  <si>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</si>
  <si>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</si>
  <si>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</si>
  <si>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</si>
  <si>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</si>
  <si>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</si>
  <si>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</si>
  <si>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</si>
  <si>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</si>
  <si>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</si>
  <si>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</si>
  <si>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</si>
  <si>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</si>
  <si>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</si>
  <si>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</si>
  <si>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</si>
  <si>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</si>
  <si>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</si>
  <si>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</si>
  <si>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</si>
  <si>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</si>
  <si>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</si>
  <si>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</si>
  <si>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</si>
  <si>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</si>
  <si>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</si>
  <si>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</si>
  <si>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</si>
  <si>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</si>
  <si>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</si>
  <si>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</si>
  <si>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</si>
  <si>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</si>
  <si>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</si>
  <si>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</si>
  <si>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</si>
  <si>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</si>
  <si>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</si>
  <si>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</si>
  <si>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</si>
  <si>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</si>
  <si>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</si>
  <si>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</si>
  <si>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</si>
  <si>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</si>
  <si>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</si>
  <si>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</si>
  <si>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</si>
  <si>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</si>
  <si>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</si>
  <si>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</si>
  <si>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</si>
  <si>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</si>
  <si>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</si>
  <si>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</si>
  <si>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</si>
  <si>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</si>
  <si>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</si>
  <si>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</si>
  <si>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</si>
  <si>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</si>
  <si>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</si>
  <si>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</si>
  <si>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</si>
  <si>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</si>
  <si>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</si>
  <si>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</si>
  <si>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</si>
  <si>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</si>
  <si>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</si>
  <si>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</si>
  <si>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</si>
  <si>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</si>
  <si>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</si>
  <si>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</si>
  <si>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</si>
  <si>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</si>
  <si>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</si>
  <si>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</si>
  <si>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</si>
  <si>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</si>
  <si>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</si>
  <si>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</si>
  <si>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</si>
  <si>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</si>
  <si>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</si>
  <si>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</si>
  <si>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</si>
  <si>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</si>
  <si>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</si>
  <si>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</si>
  <si>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</si>
  <si>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</si>
  <si>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</si>
  <si>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</si>
  <si>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</si>
  <si>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</si>
  <si>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</si>
  <si>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</si>
  <si>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</si>
  <si>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</si>
  <si>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</si>
  <si>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</si>
  <si>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</si>
  <si>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</si>
  <si>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</si>
  <si>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</si>
  <si>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</si>
  <si>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</si>
  <si>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</si>
  <si>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</si>
  <si>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</si>
  <si>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</si>
  <si>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</si>
  <si>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</si>
  <si>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</si>
  <si>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</si>
  <si>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</si>
  <si>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</si>
  <si>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</si>
  <si>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</si>
  <si>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</si>
  <si>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</si>
  <si>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</si>
  <si>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</si>
  <si>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</si>
  <si>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</si>
  <si>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</si>
  <si>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</si>
  <si>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</si>
  <si>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</si>
  <si>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</si>
  <si>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</si>
  <si>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</si>
  <si>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</si>
  <si>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</si>
  <si>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</si>
  <si>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</si>
  <si>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</si>
  <si>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</si>
  <si>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</si>
  <si>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</si>
  <si>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</si>
  <si>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</si>
  <si>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</si>
  <si>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</si>
  <si>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</si>
  <si>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</si>
  <si>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</si>
  <si>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</si>
  <si>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</si>
  <si>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</si>
  <si>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</si>
  <si>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</si>
  <si>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</si>
  <si>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</si>
  <si>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</si>
  <si>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</si>
  <si>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</si>
  <si>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</si>
  <si>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</si>
  <si>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</si>
  <si>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</si>
  <si>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</si>
  <si>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</si>
  <si>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</si>
  <si>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</si>
  <si>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</si>
  <si>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</si>
  <si>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</si>
  <si>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</si>
  <si>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</si>
  <si>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</si>
  <si>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</si>
  <si>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</si>
  <si>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</si>
  <si>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</si>
  <si>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</si>
  <si>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</si>
  <si>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</si>
  <si>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</si>
  <si>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</si>
  <si>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</si>
  <si>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</si>
  <si>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</si>
  <si>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</si>
  <si>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</si>
  <si>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</si>
  <si>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</si>
  <si>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</si>
  <si>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</si>
  <si>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</si>
  <si>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</si>
  <si>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</si>
  <si>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</si>
  <si>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</si>
  <si>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</si>
  <si>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</si>
  <si>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</si>
  <si>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</si>
  <si>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</si>
  <si>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</si>
  <si>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</si>
  <si>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</si>
  <si>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</si>
  <si>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</si>
  <si>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</si>
  <si>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</si>
  <si>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</si>
  <si>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</si>
  <si>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</si>
  <si>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</si>
  <si>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</si>
  <si>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</si>
  <si>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</si>
  <si>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</si>
  <si>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</si>
  <si>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</si>
  <si>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</si>
  <si>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</si>
  <si>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</si>
  <si>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</si>
  <si>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</si>
  <si>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</si>
  <si>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</si>
  <si>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</si>
  <si>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</si>
  <si>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</si>
  <si>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</si>
  <si>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</si>
  <si>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</si>
  <si>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</si>
  <si>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</si>
  <si>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</si>
  <si>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</si>
  <si>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</si>
  <si>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</si>
  <si>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</si>
  <si>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</si>
  <si>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</si>
  <si>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</si>
  <si>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</si>
  <si>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</si>
  <si>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</si>
  <si>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</si>
  <si>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</si>
  <si>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</si>
  <si>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</si>
  <si>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</si>
  <si>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</si>
  <si>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</si>
  <si>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</si>
  <si>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</si>
  <si>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</si>
  <si>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</si>
  <si>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</si>
  <si>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</si>
  <si>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</si>
  <si>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</si>
  <si>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</si>
  <si>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</si>
  <si>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</si>
  <si>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</si>
  <si>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</si>
  <si>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</si>
  <si>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</si>
  <si>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</si>
  <si>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</si>
  <si>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</si>
  <si>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</si>
  <si>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</si>
  <si>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</si>
  <si>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</si>
  <si>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</si>
  <si>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</si>
  <si>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</si>
  <si>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</si>
  <si>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</si>
  <si>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</si>
  <si>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</si>
  <si>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</si>
  <si>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</si>
  <si>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</si>
  <si>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</si>
  <si>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</si>
  <si>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</si>
  <si>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</si>
  <si>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</si>
  <si>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</si>
  <si>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</si>
  <si>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</si>
  <si>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</si>
  <si>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</si>
  <si>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</si>
  <si>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</si>
  <si>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</si>
  <si>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</si>
  <si>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</si>
  <si>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</si>
  <si>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</si>
  <si>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</si>
  <si>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</si>
  <si>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</si>
  <si>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</si>
  <si>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</si>
  <si>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</si>
  <si>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</si>
  <si>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</si>
  <si>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</si>
  <si>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</si>
  <si>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</si>
  <si>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</si>
  <si>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</si>
  <si>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</si>
  <si>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</si>
  <si>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</si>
  <si>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</si>
  <si>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</si>
  <si>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</si>
  <si>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</si>
  <si>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</si>
  <si>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</si>
  <si>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</si>
  <si>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</si>
  <si>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</si>
  <si>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</si>
  <si>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</si>
  <si>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</si>
  <si>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</si>
  <si>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</si>
  <si>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</si>
  <si>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</si>
  <si>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</si>
  <si>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</si>
  <si>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</si>
  <si>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</si>
  <si>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</si>
  <si>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</si>
  <si>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</si>
  <si>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</si>
  <si>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</si>
  <si>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</si>
  <si>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</si>
  <si>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</si>
  <si>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</si>
  <si>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</si>
  <si>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</si>
  <si>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</si>
  <si>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</si>
  <si>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</si>
  <si>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</si>
  <si>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</si>
  <si>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</si>
  <si>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</si>
  <si>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</si>
  <si>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</si>
  <si>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</si>
  <si>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</si>
  <si>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</si>
  <si>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</si>
  <si>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</si>
  <si>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</si>
  <si>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</si>
  <si>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</si>
  <si>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</si>
  <si>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</si>
  <si>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</si>
  <si>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</si>
  <si>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</si>
  <si>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</si>
  <si>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</si>
  <si>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</si>
  <si>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</si>
  <si>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</si>
  <si>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</si>
  <si>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</si>
  <si>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</si>
  <si>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</si>
  <si>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</si>
  <si>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</si>
  <si>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</si>
  <si>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</si>
  <si>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</si>
  <si>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</si>
  <si>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</si>
  <si>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</si>
  <si>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</si>
  <si>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</si>
  <si>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</si>
  <si>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</si>
  <si>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</si>
  <si>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</si>
  <si>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</si>
  <si>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</si>
  <si>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</si>
  <si>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</si>
  <si>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</si>
  <si>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</si>
  <si>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</si>
  <si>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</si>
  <si>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</si>
  <si>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</si>
  <si>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</si>
  <si>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</si>
  <si>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</si>
  <si>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</si>
  <si>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</si>
  <si>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</si>
  <si>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</si>
  <si>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</si>
  <si>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</si>
  <si>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</si>
  <si>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</si>
  <si>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</si>
  <si>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</si>
  <si>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</si>
  <si>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</si>
  <si>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</si>
  <si>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</si>
  <si>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</si>
  <si>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</si>
  <si>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</si>
  <si>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</si>
  <si>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</si>
  <si>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</si>
  <si>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</si>
  <si>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</si>
  <si>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</si>
  <si>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</si>
  <si>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</si>
  <si>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</si>
  <si>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</si>
  <si>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</si>
  <si>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</si>
  <si>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</si>
  <si>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</si>
  <si>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</si>
  <si>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</si>
  <si>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</si>
  <si>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</si>
  <si>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</si>
  <si>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</si>
  <si>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</si>
  <si>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</si>
  <si>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</si>
  <si>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</si>
  <si>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</si>
  <si>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</si>
  <si>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</si>
  <si>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</si>
  <si>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</si>
  <si>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</si>
  <si>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</si>
  <si>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</si>
  <si>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</si>
  <si>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</si>
  <si>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</si>
  <si>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</si>
  <si>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</si>
  <si>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</si>
  <si>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</si>
  <si>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</si>
  <si>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</si>
  <si>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</si>
  <si>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</si>
  <si>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</si>
  <si>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</si>
  <si>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</si>
  <si>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</si>
  <si>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</si>
  <si>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</si>
  <si>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</si>
  <si>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</si>
  <si>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</si>
  <si>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</si>
  <si>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</si>
  <si>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</si>
  <si>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</si>
  <si>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</si>
  <si>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</si>
  <si>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</si>
  <si>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</si>
  <si>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</si>
  <si>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</si>
  <si>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</si>
  <si>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</si>
  <si>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</si>
  <si>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</si>
  <si>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</si>
  <si>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</si>
  <si>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</si>
  <si>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</si>
  <si>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</si>
  <si>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</si>
  <si>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</si>
  <si>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</si>
  <si>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</si>
  <si>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</si>
  <si>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</si>
  <si>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</si>
  <si>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</si>
  <si>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</si>
  <si>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</si>
  <si>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</si>
  <si>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</si>
  <si>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</si>
  <si>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</si>
  <si>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</si>
  <si>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</si>
  <si>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</si>
  <si>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</si>
  <si>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</si>
  <si>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</si>
  <si>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</si>
  <si>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</si>
  <si>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</si>
  <si>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</si>
  <si>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</si>
  <si>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</si>
  <si>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</si>
  <si>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</si>
  <si>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</si>
  <si>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</si>
  <si>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</si>
  <si>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</si>
  <si>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</si>
  <si>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</si>
  <si>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</si>
  <si>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</si>
  <si>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</si>
  <si>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</si>
  <si>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</si>
  <si>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</si>
  <si>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</si>
  <si>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</si>
  <si>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</si>
  <si>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</si>
  <si>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</si>
  <si>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</si>
  <si>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</si>
  <si>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</si>
  <si>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</si>
  <si>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</si>
  <si>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</si>
  <si>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</si>
  <si>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</si>
  <si>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</si>
  <si>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</si>
  <si>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</si>
  <si>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</si>
  <si>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</si>
  <si>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</si>
  <si>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</si>
  <si>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</si>
  <si>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</si>
  <si>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</si>
  <si>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</si>
  <si>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</si>
  <si>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</si>
  <si>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</si>
  <si>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</si>
  <si>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</si>
  <si>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</si>
  <si>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</si>
  <si>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</si>
  <si>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</si>
  <si>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</si>
  <si>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</si>
  <si>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</si>
  <si>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</si>
  <si>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</si>
  <si>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</si>
  <si>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</si>
  <si>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</si>
  <si>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</si>
  <si>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</si>
  <si>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</si>
  <si>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</si>
  <si>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</si>
  <si>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</si>
  <si>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</si>
  <si>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</si>
  <si>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</si>
  <si>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</si>
  <si>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</si>
  <si>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</si>
  <si>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</si>
  <si>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</si>
  <si>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</si>
  <si>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</si>
  <si>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</si>
  <si>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</si>
  <si>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</si>
  <si>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</si>
  <si>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</si>
  <si>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</si>
  <si>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</si>
  <si>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</si>
  <si>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</si>
  <si>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</si>
  <si>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</si>
  <si>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</si>
  <si>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</si>
  <si>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</si>
  <si>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</si>
  <si>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</si>
  <si>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</si>
  <si>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</si>
  <si>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</si>
  <si>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</si>
  <si>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</si>
  <si>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</si>
  <si>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</si>
  <si>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</si>
  <si>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</si>
  <si>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</si>
  <si>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</si>
  <si>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</si>
  <si>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</si>
  <si>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</si>
  <si>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</si>
  <si>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</si>
  <si>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</si>
  <si>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</si>
  <si>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</si>
  <si>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</si>
  <si>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</si>
  <si>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</si>
  <si>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</si>
  <si>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</si>
  <si>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</si>
  <si>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</si>
  <si>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</si>
  <si>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</si>
  <si>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</si>
  <si>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</si>
  <si>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</si>
  <si>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</si>
  <si>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</si>
  <si>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</si>
  <si>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</si>
  <si>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</si>
  <si>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</si>
  <si>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</si>
  <si>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</si>
  <si>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</si>
  <si>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</si>
  <si>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</si>
  <si>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</si>
  <si>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</si>
  <si>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</si>
  <si>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</si>
  <si>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</si>
  <si>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</si>
  <si>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</si>
  <si>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</si>
  <si>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</si>
  <si>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</si>
  <si>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</si>
  <si>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</si>
  <si>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</si>
  <si>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</si>
  <si>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</si>
  <si>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</si>
  <si>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</si>
  <si>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</si>
  <si>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</si>
  <si>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</si>
  <si>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</si>
  <si>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</si>
  <si>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</si>
  <si>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</si>
  <si>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</si>
  <si>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</si>
  <si>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</si>
  <si>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</si>
  <si>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</si>
  <si>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</si>
  <si>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</si>
  <si>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</si>
  <si>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</si>
  <si>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</si>
  <si>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</si>
  <si>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</si>
  <si>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</si>
  <si>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</si>
  <si>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</si>
  <si>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</si>
  <si>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</si>
  <si>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</si>
  <si>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</si>
  <si>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</si>
  <si>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</si>
  <si>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</si>
  <si>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</si>
  <si>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</si>
  <si>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</si>
  <si>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</si>
  <si>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</si>
  <si>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</si>
  <si>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</si>
  <si>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</si>
  <si>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</si>
  <si>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</si>
  <si>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</si>
  <si>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</si>
  <si>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</si>
  <si>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</si>
  <si>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</si>
  <si>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</si>
  <si>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</si>
  <si>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</si>
  <si>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</si>
  <si>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</si>
  <si>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</si>
  <si>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</si>
  <si>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</si>
  <si>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</si>
  <si>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</si>
  <si>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</si>
  <si>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</si>
  <si>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</si>
  <si>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</si>
  <si>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</si>
  <si>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</si>
  <si>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</si>
  <si>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</si>
  <si>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</si>
  <si>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</si>
  <si>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</si>
  <si>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</si>
  <si>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</si>
  <si>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</si>
  <si>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</si>
  <si>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</si>
  <si>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</si>
  <si>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</si>
  <si>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</si>
  <si>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</si>
  <si>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</si>
  <si>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</si>
  <si>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</si>
  <si>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</si>
  <si>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</si>
  <si>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</si>
  <si>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</si>
  <si>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</si>
  <si>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</si>
  <si>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</si>
  <si>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</si>
  <si>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</si>
  <si>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</si>
  <si>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</si>
  <si>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</si>
  <si>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</si>
  <si>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</si>
  <si>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</si>
  <si>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</si>
  <si>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</si>
  <si>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</si>
  <si>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</si>
  <si>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</si>
  <si>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</si>
  <si>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</si>
  <si>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</si>
  <si>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</si>
  <si>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</si>
  <si>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</si>
  <si>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</si>
  <si>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</si>
  <si>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</si>
  <si>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</si>
  <si>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</si>
  <si>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</si>
  <si>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</si>
  <si>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</si>
  <si>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</si>
  <si>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</si>
  <si>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</si>
  <si>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</si>
  <si>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</si>
  <si>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</si>
  <si>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</si>
  <si>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</si>
  <si>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</si>
  <si>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</si>
  <si>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</si>
  <si>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</si>
  <si>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</si>
  <si>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</si>
  <si>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</si>
  <si>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</si>
  <si>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</si>
  <si>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</si>
  <si>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</si>
  <si>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</si>
  <si>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</si>
  <si>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</si>
  <si>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</si>
  <si>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</si>
  <si>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</si>
  <si>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</si>
  <si>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</si>
  <si>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</si>
  <si>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</si>
  <si>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</si>
  <si>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</si>
  <si>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</si>
  <si>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</si>
  <si>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</si>
  <si>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</si>
  <si>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</si>
  <si>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</si>
  <si>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</si>
  <si>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</si>
  <si>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</si>
  <si>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</si>
  <si>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</si>
  <si>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</si>
  <si>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</si>
  <si>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</si>
  <si>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</si>
  <si>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</si>
  <si>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</si>
  <si>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</si>
  <si>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</si>
  <si>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</si>
  <si>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</si>
  <si>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</si>
  <si>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</si>
  <si>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</si>
  <si>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</si>
  <si>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</si>
  <si>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</si>
  <si>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</si>
  <si>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</si>
  <si>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</si>
  <si>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</si>
  <si>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</si>
  <si>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</si>
  <si>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</si>
  <si>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</si>
  <si>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</si>
  <si>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</si>
  <si>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</si>
  <si>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</si>
  <si>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</si>
  <si>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</si>
  <si>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</si>
  <si>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</si>
  <si>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</si>
  <si>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</si>
  <si>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</si>
  <si>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</si>
  <si>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</si>
  <si>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</si>
  <si>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</si>
  <si>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</si>
  <si>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</si>
  <si>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</si>
  <si>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</si>
  <si>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</si>
  <si>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</si>
  <si>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</si>
  <si>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</si>
  <si>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</si>
  <si>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</si>
  <si>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</si>
  <si>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</si>
  <si>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</si>
  <si>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</si>
  <si>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</si>
  <si>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</si>
  <si>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</si>
  <si>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</si>
  <si>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</si>
  <si>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</si>
  <si>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</si>
  <si>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</si>
  <si>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</si>
  <si>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</si>
  <si>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</si>
  <si>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</si>
  <si>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</si>
  <si>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</si>
  <si>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</si>
  <si>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</si>
  <si>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</si>
  <si>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</si>
  <si>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</si>
  <si>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</si>
  <si>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</si>
  <si>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</si>
  <si>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</si>
  <si>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</si>
  <si>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</si>
  <si>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</si>
  <si>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</si>
  <si>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</si>
  <si>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</si>
  <si>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</si>
  <si>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</si>
  <si>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</si>
  <si>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</si>
  <si>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</si>
  <si>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</si>
  <si>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</si>
  <si>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</si>
  <si>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</si>
  <si>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</si>
  <si>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</si>
  <si>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</si>
  <si>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</si>
  <si>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</si>
  <si>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</si>
  <si>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</si>
  <si>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</si>
  <si>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</si>
  <si>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</si>
  <si>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</si>
  <si>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</si>
  <si>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</si>
  <si>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</si>
  <si>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</si>
  <si>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</si>
  <si>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</si>
  <si>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</si>
  <si>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</si>
  <si>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</si>
  <si>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</si>
  <si>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</si>
  <si>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</si>
  <si>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</si>
  <si>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</si>
  <si>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</si>
  <si>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</si>
  <si>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</si>
  <si>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</si>
  <si>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</si>
  <si>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</si>
  <si>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</si>
  <si>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</si>
  <si>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</si>
  <si>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</si>
  <si>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</si>
  <si>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</si>
  <si>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</si>
  <si>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</si>
  <si>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</si>
  <si>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</si>
  <si>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</si>
  <si>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</si>
  <si>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</si>
  <si>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</si>
  <si>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</si>
  <si>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</si>
  <si>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</si>
  <si>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</si>
  <si>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</si>
  <si>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</si>
  <si>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</si>
  <si>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</si>
  <si>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</si>
  <si>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</si>
  <si>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</si>
  <si>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</si>
  <si>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</si>
  <si>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</si>
  <si>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</si>
  <si>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</si>
  <si>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</si>
  <si>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</si>
  <si>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</si>
  <si>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</si>
  <si>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</si>
  <si>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</si>
  <si>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</si>
  <si>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</si>
  <si>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</si>
  <si>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</si>
  <si>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</si>
  <si>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</si>
  <si>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</si>
  <si>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</si>
  <si>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</si>
  <si>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</si>
  <si>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</si>
  <si>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</si>
  <si>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</si>
  <si>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</si>
  <si>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</si>
  <si>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</si>
  <si>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</si>
  <si>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</si>
  <si>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</si>
  <si>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</si>
  <si>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</si>
  <si>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</si>
  <si>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</si>
  <si>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</si>
  <si>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</si>
  <si>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</si>
  <si>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</si>
  <si>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</si>
  <si>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</si>
  <si>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</si>
  <si>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</si>
  <si>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</si>
  <si>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</si>
  <si>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</si>
  <si>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</si>
  <si>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</si>
  <si>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</si>
  <si>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</si>
  <si>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</si>
  <si>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</si>
  <si>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</si>
  <si>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</si>
  <si>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</si>
  <si>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</si>
  <si>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</si>
  <si>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</si>
  <si>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</si>
  <si>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</si>
  <si>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</si>
  <si>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</si>
  <si>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</si>
  <si>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</si>
  <si>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</si>
  <si>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</si>
  <si>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</si>
  <si>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</si>
  <si>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</si>
  <si>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</si>
  <si>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</si>
  <si>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</si>
  <si>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</si>
  <si>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</si>
  <si>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</si>
  <si>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</si>
  <si>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</si>
  <si>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</si>
  <si>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</si>
  <si>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</si>
  <si>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</si>
  <si>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</si>
  <si>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</si>
  <si>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</si>
  <si>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</si>
  <si>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</si>
  <si>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</si>
  <si>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</si>
  <si>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</si>
  <si>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</si>
  <si>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</si>
  <si>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</si>
  <si>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</si>
  <si>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</si>
  <si>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</si>
  <si>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</si>
  <si>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</si>
  <si>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</si>
  <si>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</si>
  <si>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</si>
  <si>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</si>
  <si>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</si>
  <si>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</si>
  <si>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</si>
  <si>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</si>
  <si>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</si>
  <si>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</si>
  <si>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</si>
  <si>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</si>
  <si>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</si>
  <si>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</si>
  <si>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</si>
  <si>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</si>
  <si>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</si>
  <si>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</si>
  <si>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</si>
  <si>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</si>
  <si>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</si>
  <si>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</si>
  <si>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</si>
  <si>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</si>
  <si>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</si>
  <si>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</si>
  <si>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</si>
  <si>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</si>
  <si>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</si>
  <si>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</si>
  <si>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</si>
  <si>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</si>
  <si>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</si>
  <si>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</si>
  <si>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</si>
  <si>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</si>
  <si>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</si>
  <si>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</si>
  <si>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</si>
  <si>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</si>
  <si>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</si>
  <si>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</si>
  <si>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</si>
  <si>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</si>
  <si>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</si>
  <si>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</si>
  <si>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</si>
  <si>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</si>
  <si>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</si>
  <si>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</si>
  <si>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</si>
  <si>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</si>
  <si>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</si>
  <si>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</si>
  <si>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</si>
  <si>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</si>
  <si>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</si>
  <si>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</si>
  <si>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</si>
  <si>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</si>
  <si>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</si>
  <si>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</si>
  <si>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</si>
  <si>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</si>
  <si>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</si>
  <si>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</si>
  <si>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</si>
  <si>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</si>
  <si>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</si>
  <si>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</si>
  <si>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</si>
  <si>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</si>
  <si>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</si>
  <si>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</si>
  <si>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</si>
  <si>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</si>
  <si>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</si>
  <si>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</si>
  <si>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</si>
  <si>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</si>
  <si>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</si>
  <si>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</si>
  <si>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</si>
  <si>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</si>
  <si>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</si>
  <si>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</si>
  <si>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</si>
  <si>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</si>
  <si>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</si>
  <si>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</si>
  <si>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</si>
  <si>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</si>
  <si>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</si>
  <si>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</si>
  <si>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</si>
  <si>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</si>
  <si>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</si>
  <si>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</si>
  <si>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</si>
  <si>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</si>
  <si>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</si>
  <si>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</si>
  <si>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</si>
  <si>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</si>
  <si>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</si>
  <si>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</si>
  <si>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</si>
  <si>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</si>
  <si>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</si>
  <si>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</si>
  <si>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</si>
  <si>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</si>
  <si>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</si>
  <si>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</si>
  <si>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</si>
  <si>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</si>
  <si>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</si>
  <si>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</si>
  <si>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</si>
  <si>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</si>
  <si>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</si>
  <si>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</si>
  <si>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</si>
  <si>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</si>
  <si>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</si>
  <si>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</si>
  <si>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</si>
  <si>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</si>
  <si>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</si>
  <si>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</si>
  <si>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</si>
  <si>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</si>
  <si>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</si>
  <si>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</si>
  <si>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</si>
  <si>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</si>
  <si>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</si>
  <si>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</si>
  <si>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</si>
  <si>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</si>
  <si>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</si>
  <si>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</si>
  <si>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</si>
  <si>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</si>
  <si>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</si>
  <si>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</si>
  <si>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</si>
  <si>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</si>
  <si>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</si>
  <si>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</si>
  <si>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</si>
  <si>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</si>
  <si>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</si>
  <si>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</si>
  <si>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</si>
  <si>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</si>
  <si>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</si>
  <si>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</si>
  <si>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</si>
  <si>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</si>
  <si>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</si>
  <si>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</si>
  <si>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</si>
  <si>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</si>
  <si>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</si>
  <si>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</si>
  <si>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</si>
  <si>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</si>
  <si>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</si>
  <si>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</si>
  <si>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</si>
  <si>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</si>
  <si>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</si>
  <si>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</si>
  <si>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</si>
  <si>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</si>
  <si>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</si>
  <si>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</si>
  <si>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</si>
  <si>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</si>
  <si>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</si>
  <si>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</si>
  <si>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</si>
  <si>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</si>
  <si>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</si>
  <si>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</si>
  <si>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</si>
  <si>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</si>
  <si>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</si>
  <si>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</si>
  <si>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</si>
  <si>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</si>
  <si>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</si>
  <si>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</si>
  <si>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</si>
  <si>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</si>
  <si>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</si>
  <si>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</si>
  <si>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</si>
  <si>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</si>
  <si>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</si>
  <si>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</si>
  <si>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</si>
  <si>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</si>
  <si>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</si>
  <si>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</si>
  <si>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</si>
  <si>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</si>
  <si>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</si>
  <si>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</si>
  <si>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</si>
  <si>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</si>
  <si>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</si>
  <si>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</si>
  <si>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</si>
  <si>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</si>
  <si>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</si>
  <si>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</si>
  <si>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</si>
  <si>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</si>
  <si>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</si>
  <si>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</si>
  <si>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</si>
  <si>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</si>
  <si>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</si>
  <si>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</si>
  <si>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</si>
  <si>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</si>
  <si>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</si>
  <si>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</si>
  <si>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</si>
  <si>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</si>
  <si>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</si>
  <si>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</si>
  <si>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</si>
  <si>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</si>
  <si>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</si>
  <si>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</si>
  <si>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</si>
  <si>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</si>
  <si>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</si>
  <si>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</si>
  <si>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</si>
  <si>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</si>
  <si>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</si>
  <si>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</si>
  <si>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</si>
  <si>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</si>
  <si>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</si>
  <si>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</si>
  <si>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</si>
  <si>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</si>
  <si>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</si>
  <si>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</si>
  <si>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</si>
  <si>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</si>
  <si>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</si>
  <si>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</si>
  <si>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</si>
  <si>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</si>
  <si>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</si>
  <si>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</si>
  <si>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</si>
  <si>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</si>
  <si>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</si>
  <si>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</si>
  <si>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</si>
  <si>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</si>
  <si>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</si>
  <si>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</si>
  <si>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</si>
  <si>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</si>
  <si>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</si>
  <si>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</si>
  <si>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</si>
  <si>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</si>
  <si>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</si>
  <si>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</si>
  <si>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</si>
  <si>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</si>
  <si>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</si>
  <si>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</si>
  <si>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</si>
  <si>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</si>
  <si>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</si>
  <si>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</si>
  <si>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</si>
  <si>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</si>
  <si>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</si>
  <si>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</si>
  <si>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</si>
  <si>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</si>
  <si>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</si>
  <si>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</si>
  <si>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</si>
  <si>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</si>
  <si>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</si>
  <si>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</si>
  <si>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</si>
  <si>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</si>
  <si>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</si>
  <si>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</si>
  <si>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</si>
  <si>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</si>
  <si>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</si>
  <si>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</si>
  <si>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</si>
  <si>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</si>
  <si>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</si>
  <si>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</si>
  <si>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</si>
  <si>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</si>
  <si>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</si>
  <si>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</si>
  <si>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</si>
  <si>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</si>
  <si>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</si>
  <si>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</si>
  <si>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</si>
  <si>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</si>
  <si>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</si>
  <si>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</si>
  <si>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</si>
  <si>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</si>
  <si>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</si>
  <si>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</si>
  <si>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</si>
  <si>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</si>
  <si>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</si>
  <si>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</si>
  <si>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</si>
  <si>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</si>
  <si>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</si>
  <si>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</si>
  <si>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</si>
  <si>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</si>
  <si>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</si>
  <si>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</si>
  <si>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</si>
  <si>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</si>
  <si>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</si>
  <si>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</si>
  <si>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</si>
  <si>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</si>
  <si>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</si>
  <si>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</si>
  <si>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</si>
  <si>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</si>
  <si>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</si>
  <si>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</si>
  <si>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</si>
  <si>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</si>
  <si>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</si>
  <si>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</si>
  <si>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</si>
  <si>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</si>
  <si>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</si>
  <si>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</si>
  <si>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</si>
  <si>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</si>
  <si>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</si>
  <si>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</si>
  <si>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</si>
  <si>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</si>
  <si>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</si>
  <si>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</si>
  <si>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</si>
  <si>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</si>
  <si>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</si>
  <si>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</si>
  <si>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</si>
  <si>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</si>
  <si>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</si>
  <si>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</si>
  <si>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</si>
  <si>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</si>
  <si>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</si>
  <si>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</si>
  <si>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</si>
  <si>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</si>
  <si>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</si>
  <si>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</si>
  <si>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</si>
  <si>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</si>
  <si>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</si>
  <si>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</si>
  <si>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</si>
  <si>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</si>
  <si>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</si>
  <si>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</si>
  <si>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</si>
  <si>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</si>
  <si>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</si>
  <si>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</si>
  <si>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</si>
  <si>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</si>
  <si>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</si>
  <si>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</si>
  <si>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</si>
  <si>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</si>
  <si>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</si>
  <si>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</si>
  <si>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</si>
  <si>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</si>
  <si>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</si>
  <si>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</si>
  <si>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</si>
  <si>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</si>
  <si>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</si>
  <si>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</si>
  <si>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</si>
  <si>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</si>
  <si>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</si>
  <si>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</si>
  <si>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</si>
  <si>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</si>
  <si>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</si>
  <si>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</si>
  <si>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</si>
  <si>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</si>
  <si>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</si>
  <si>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</si>
  <si>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</si>
  <si>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</si>
  <si>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</si>
  <si>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</si>
  <si>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</si>
  <si>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</si>
  <si>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</si>
  <si>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</si>
  <si>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</si>
  <si>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</si>
  <si>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</si>
  <si>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</si>
  <si>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</si>
  <si>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</si>
  <si>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</si>
  <si>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</si>
  <si>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</si>
  <si>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</si>
  <si>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</si>
  <si>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</si>
  <si>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</si>
  <si>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</si>
  <si>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</si>
  <si>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</si>
  <si>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</si>
  <si>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</si>
  <si>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</si>
  <si>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</si>
  <si>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</si>
  <si>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</si>
  <si>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</si>
  <si>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</si>
  <si>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</si>
  <si>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</si>
  <si>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</si>
  <si>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</si>
  <si>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</si>
  <si>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</si>
  <si>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</si>
  <si>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</si>
  <si>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</si>
  <si>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</si>
  <si>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</si>
  <si>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</si>
  <si>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</si>
  <si>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</si>
  <si>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</si>
  <si>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</si>
  <si>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</si>
  <si>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</si>
  <si>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</si>
  <si>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</si>
  <si>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</si>
  <si>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</si>
  <si>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</si>
  <si>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</si>
  <si>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</si>
  <si>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</si>
  <si>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</si>
  <si>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</si>
  <si>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</si>
  <si>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</si>
  <si>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</si>
  <si>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</si>
  <si>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</si>
  <si>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</si>
  <si>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</si>
  <si>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</si>
  <si>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</si>
  <si>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</si>
  <si>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</si>
  <si>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</si>
  <si>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</si>
  <si>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</si>
  <si>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</si>
  <si>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</si>
  <si>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</si>
  <si>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</si>
  <si>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</si>
  <si>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</si>
  <si>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</si>
  <si>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</si>
  <si>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</si>
  <si>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</si>
  <si>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</si>
  <si>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</si>
  <si>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</si>
  <si>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</si>
  <si>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</si>
  <si>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</si>
  <si>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</si>
  <si>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</si>
  <si>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</si>
  <si>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</si>
  <si>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</si>
  <si>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</si>
  <si>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</si>
  <si>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</si>
  <si>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</si>
  <si>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</si>
  <si>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</si>
  <si>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</si>
  <si>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</si>
  <si>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</si>
  <si>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</si>
  <si>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</si>
  <si>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</si>
  <si>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</si>
  <si>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</si>
  <si>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</si>
  <si>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</si>
  <si>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</si>
  <si>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</si>
  <si>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</si>
  <si>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</si>
  <si>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</si>
  <si>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</si>
  <si>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</si>
  <si>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</si>
  <si>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</si>
  <si>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</si>
  <si>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</si>
  <si>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</si>
  <si>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</si>
  <si>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</si>
  <si>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</si>
  <si>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</si>
  <si>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</si>
  <si>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</si>
  <si>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</si>
  <si>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</si>
  <si>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</si>
  <si>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</si>
  <si>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</si>
  <si>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</si>
  <si>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</si>
  <si>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</si>
  <si>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</si>
  <si>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</si>
  <si>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</si>
  <si>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</si>
  <si>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</si>
  <si>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</si>
  <si>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</si>
  <si>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</si>
  <si>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</si>
  <si>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</si>
  <si>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</si>
  <si>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</si>
  <si>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</si>
  <si>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</si>
  <si>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</si>
  <si>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</si>
  <si>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</si>
  <si>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</si>
  <si>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</si>
  <si>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</si>
  <si>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</si>
  <si>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</si>
  <si>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</si>
  <si>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</si>
  <si>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</si>
  <si>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</si>
  <si>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</si>
  <si>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</si>
  <si>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</si>
  <si>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</si>
  <si>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</si>
  <si>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</si>
  <si>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</si>
  <si>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</si>
  <si>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</si>
  <si>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</si>
  <si>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</si>
  <si>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</si>
  <si>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</si>
  <si>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</si>
  <si>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</si>
  <si>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</si>
  <si>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</si>
  <si>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</si>
  <si>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</si>
  <si>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</si>
  <si>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</si>
  <si>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</si>
  <si>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</si>
  <si>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</si>
  <si>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</si>
  <si>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</si>
  <si>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</si>
  <si>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</si>
  <si>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</si>
  <si>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</si>
  <si>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</si>
  <si>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</si>
  <si>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</si>
  <si>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</si>
  <si>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</si>
  <si>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</si>
  <si>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</si>
  <si>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</si>
  <si>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</si>
  <si>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</si>
  <si>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</si>
  <si>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</si>
  <si>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</si>
  <si>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</si>
  <si>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</si>
  <si>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</si>
  <si>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</si>
  <si>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</si>
  <si>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</si>
  <si>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</si>
  <si>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</si>
  <si>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</si>
  <si>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</si>
  <si>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</si>
  <si>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</si>
  <si>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</si>
  <si>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</si>
  <si>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</si>
  <si>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</si>
  <si>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</si>
  <si>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</si>
  <si>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</si>
  <si>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</si>
  <si>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</si>
  <si>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</si>
  <si>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</si>
  <si>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</si>
  <si>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</si>
  <si>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</si>
  <si>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</si>
  <si>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</si>
  <si>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</si>
  <si>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</si>
  <si>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</si>
  <si>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</si>
  <si>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</si>
  <si>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</si>
  <si>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</si>
  <si>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</si>
  <si>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</si>
  <si>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</si>
  <si>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</si>
  <si>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</si>
  <si>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</si>
  <si>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</si>
  <si>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</si>
  <si>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</si>
  <si>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</si>
  <si>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</si>
  <si>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</si>
  <si>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</si>
  <si>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</si>
  <si>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</si>
  <si>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</si>
  <si>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</si>
  <si>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</si>
  <si>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</si>
  <si>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</si>
  <si>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</si>
  <si>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</si>
  <si>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</si>
  <si>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</si>
  <si>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</si>
  <si>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</si>
  <si>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</si>
  <si>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</si>
  <si>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</si>
  <si>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</si>
  <si>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</si>
  <si>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</si>
  <si>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</si>
  <si>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</si>
  <si>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</si>
  <si>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</si>
  <si>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</si>
  <si>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</si>
  <si>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</si>
  <si>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</si>
  <si>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</si>
  <si>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</si>
  <si>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</si>
  <si>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</si>
  <si>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</si>
  <si>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</si>
  <si>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</si>
  <si>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</si>
  <si>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</si>
  <si>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</si>
  <si>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</si>
  <si>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</si>
  <si>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</si>
  <si>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</si>
  <si>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</si>
  <si>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</si>
  <si>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</si>
  <si>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</si>
  <si>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</si>
  <si>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</si>
  <si>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</si>
  <si>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Beussink, Hey, Roe &amp; Stroder, LLC</t>
  </si>
  <si>
    <t>Massac</t>
  </si>
  <si>
    <t>Jeffrey C. Stroder, CPA</t>
  </si>
  <si>
    <t>16 S. Silver Springs Road</t>
  </si>
  <si>
    <t>911 Joppa North Avenue</t>
  </si>
  <si>
    <t>Cape Girardeau</t>
  </si>
  <si>
    <t>MO</t>
  </si>
  <si>
    <t xml:space="preserve">Joppa  </t>
  </si>
  <si>
    <t>573-334-7971</t>
  </si>
  <si>
    <t>573-334-8875</t>
  </si>
  <si>
    <t>bbiggerstaff@joppa38.com</t>
  </si>
  <si>
    <t>666-003889</t>
  </si>
  <si>
    <t>jstroder@bhrcpas.com</t>
  </si>
  <si>
    <t>Qualified Zone Academy Bonds</t>
  </si>
  <si>
    <t>40-2550-300</t>
  </si>
  <si>
    <t>10-2560-400</t>
  </si>
  <si>
    <t>Durham School Services</t>
  </si>
  <si>
    <t>ED - Food Services - Supplies and Materials</t>
  </si>
  <si>
    <t>TR - Pupil Transportation Services - Purchased Services</t>
  </si>
  <si>
    <t>Kohl Wholesale</t>
  </si>
  <si>
    <t>shared service - JAMP Special Education Services</t>
  </si>
  <si>
    <t>shared service - Five County Regional Vocational System</t>
  </si>
  <si>
    <t>Account Number</t>
  </si>
  <si>
    <t>Object Code</t>
  </si>
  <si>
    <t>Prepaid Serivces</t>
  </si>
  <si>
    <t>TRS/THIS Refund</t>
  </si>
  <si>
    <t>Ronald McDonald Grant</t>
  </si>
  <si>
    <t>Frontier Wire Card Reimbursement</t>
  </si>
  <si>
    <t>LaFarge-Holcim Bus Reimbursement</t>
  </si>
  <si>
    <t>Miscellaneous Revenue</t>
  </si>
  <si>
    <t>REAP Grant</t>
  </si>
  <si>
    <t>Pupil Salaries &amp; Bonuses</t>
  </si>
  <si>
    <t>Pupil Benefits</t>
  </si>
  <si>
    <t>The District is not in compliance with budget requirements.</t>
  </si>
  <si>
    <t>We recommend the District adopt an annual budget by September 30th each year.</t>
  </si>
  <si>
    <t>The annual budget was adopted in October 2017.</t>
  </si>
  <si>
    <t>The District did not adopt the annual budget by the September 30th deadline. The budget was adopted in October 2017.</t>
  </si>
  <si>
    <t>ISBE requres school districts to follow the Illinois Program Accounting Manual chart of accounts.</t>
  </si>
  <si>
    <t>The District recorded all of its property tax revenue in a revenue account that does not follow the chart of accounts imposed by ISBE rules pursuant to the Illinois School Code.</t>
  </si>
  <si>
    <t>The Board wanted the property tax revenue tracked separately, so the bookkeeper created new accounts for tracking it.</t>
  </si>
  <si>
    <t>For iterim financial statements to be relevant and reliable, transactions need to be recorded accurately in the financial statements.</t>
  </si>
  <si>
    <t>The District recorded $64,336 of property taxes as interest income in the financial statements. As a result, significant audit adjustments were required.</t>
  </si>
  <si>
    <t>A property tax receipt was deposited into their sweep account and the District mistakenly coded it as interest income.</t>
  </si>
  <si>
    <t>Property tax revenue of $64,336 was recorded as interest income.</t>
  </si>
  <si>
    <t>Actual expenditures of the Tort Fund exceeded budgetary limits by $3,790.</t>
  </si>
  <si>
    <t>Total expenditures for the Tort Fund were $53,542.</t>
  </si>
  <si>
    <t>The District incurred expenses in total greater than what was provided for in the budget.</t>
  </si>
  <si>
    <t>The District did not budget for all anticipated expenditures.</t>
  </si>
  <si>
    <t>Per ILCS 5/17-1, "the Board of Education of each school district under 500,000 inhabitants shall, within or before the first quarter of each fiscal year, adopt and file with the State Board of Education an annual balanced budget which it deems necessary to defray all necessary expenses and liabilities of the district, and in such annual budget shall specify the objects and purposes of each item and amount needed for each object or purpose."</t>
  </si>
  <si>
    <t>Due to the unsettled property tax lawsuit, the District did not have the information available to prepare an accurate budget.  Management determined it was more important to wait until the estimated amount of property tax revenues were known.</t>
  </si>
  <si>
    <t>The gain on sale of investments accounts in each of the funds receiving property taxes was used for recording $1,251,318 of property tax revenue.</t>
  </si>
  <si>
    <t>We recommend that if the District wants to track the revenue separately, the District needs to use the accounts requried by ISBE and by using a responsibility code to indicate it as separate for tracking.</t>
  </si>
  <si>
    <t>We recommend that no matter which cash account into which funds are deposited, receipts should be coded depending on the source of the revenue.</t>
  </si>
  <si>
    <t>Section 105 ILCS 5/34-48 prohibits the Boad from making expenditures in excess of the amount provided in the budget.</t>
  </si>
  <si>
    <t>We recommend the District monitor the budget and amend it as necessary.</t>
  </si>
  <si>
    <t>The Board wanted the property tax revenue tracked separately, so the Bookkeeper/Treasurer created a new account to monitor the local revenue for the 2017-2018 school year.  The District will ensure going forward that the appropriate ISBE account is utilized.</t>
  </si>
  <si>
    <t>The District has provided the new Treasurer with training on the proper procedures on coding the deposits.</t>
  </si>
  <si>
    <t>The financial statements are presented in a format that complies with regulatory provisions prescribed by the Illinois State Board of Education, whose practices differ from accounting principles generally accepted in the United States of America.  In addition, footnote disclosures are not presented for one of the District's OPEB plans in accordance with GASB Statement No. 75.</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</si>
  <si>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t>
    </r>
  </si>
  <si>
    <t>6. The amount in column (E) is the amount allowed on each contract in the Indirect Cost Rate calculation.  The amount in column (F) is the amount that will be deducted from the base in the indirect cost rate (page 30) for Program Year 2020.</t>
  </si>
  <si>
    <t>7.  Do not include contracts for Capital Outlay (500) or Non-Capitalized Equipment (700) on this form, they are excluded from the Indirect Cost Rate calculation.</t>
  </si>
  <si>
    <t>In September 2017 the District did not have the final financial information from the taxpayer lawsuit to be able to finalize a budget in September.  Therefore, to ensure that the budget was on display for the required 30 days after the District received the up to date financial information, we had to put the budget on the October agenda.</t>
  </si>
  <si>
    <t>Property tax revenue is understated $1,251,318, and gain on sale of investments is overstated $1,251,318 in the financial statements.  There is no net effect on the fund balance of each fund.</t>
  </si>
  <si>
    <t>Interest income is overstated by $64,336, and property taxes are understated by the same amount across funds.  There is no net effect on the fund balance of each fund.</t>
  </si>
  <si>
    <t>Going forward the District will monitor the budget to ensure that expenditures are not exceeded and if so, a budget amendment will be used to correct the overexpenditure.</t>
  </si>
  <si>
    <t>Joppa Maple Grove USD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</si>
</sst>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55" fillId="0" borderId="0" xfId="0" applyFont="1" applyAlignment="1">
      <alignment horizontal="center"/>
    </xf>
    <xf numFmtId="0" fontId="55" fillId="0" borderId="78" xfId="0" applyFont="1" applyBorder="1" applyAlignment="1">
      <alignment horizontal="center"/>
    </xf>
    <xf numFmtId="181" fontId="137" fillId="0" borderId="0" xfId="19" applyNumberFormat="1" applyFont="1"/>
    <xf numFmtId="181" fontId="55" fillId="0" borderId="0" xfId="19" applyNumberFormat="1" applyFont="1"/>
    <xf numFmtId="182" fontId="55" fillId="0" borderId="0" xfId="1" applyNumberFormat="1" applyFont="1"/>
    <xf numFmtId="182" fontId="138" fillId="0" borderId="0" xfId="1" applyNumberFormat="1" applyFont="1"/>
    <xf numFmtId="181" fontId="137" fillId="0" borderId="0" xfId="0"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DDFC7"/>
      <color rgb="FFFF9966"/>
      <color rgb="FFDDDDDD"/>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632114</xdr:colOff>
          <xdr:row>4</xdr:row>
          <xdr:rowOff>8659</xdr:rowOff>
        </xdr:from>
        <xdr:to>
          <xdr:col>1</xdr:col>
          <xdr:colOff>1546514</xdr:colOff>
          <xdr:row>8</xdr:row>
          <xdr:rowOff>46759</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CC47797C-0683-42AF-846D-EFB9ACF906B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2074</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2074</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21061038026</v>
      </c>
      <c r="B13" s="2043"/>
      <c r="C13" s="2043"/>
      <c r="D13" s="2043"/>
      <c r="E13" s="2043"/>
      <c r="F13" s="2043"/>
      <c r="G13" s="2043"/>
      <c r="H13" s="2044"/>
      <c r="I13" s="31"/>
      <c r="J13" s="30"/>
      <c r="K13" s="28"/>
      <c r="L13" s="30"/>
      <c r="M13" s="30"/>
      <c r="N13" s="30"/>
      <c r="O13" s="30"/>
      <c r="P13" s="30"/>
      <c r="Q13" s="30"/>
      <c r="R13" s="30"/>
      <c r="S13" s="30"/>
      <c r="T13" s="2047" t="s">
        <v>2075</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2076</v>
      </c>
      <c r="B15" s="2045"/>
      <c r="C15" s="2045"/>
      <c r="D15" s="2045"/>
      <c r="E15" s="2045"/>
      <c r="F15" s="2045"/>
      <c r="G15" s="2045"/>
      <c r="H15" s="2046"/>
      <c r="T15" s="2051" t="s">
        <v>2077</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2140</v>
      </c>
      <c r="B17" s="2002"/>
      <c r="C17" s="2002"/>
      <c r="D17" s="2002"/>
      <c r="E17" s="2002"/>
      <c r="F17" s="2002"/>
      <c r="G17" s="2002"/>
      <c r="H17" s="2027"/>
      <c r="T17" s="2058" t="s">
        <v>2078</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2079</v>
      </c>
      <c r="B19" s="1987"/>
      <c r="C19" s="1987"/>
      <c r="D19" s="1987"/>
      <c r="E19" s="1987"/>
      <c r="F19" s="1987"/>
      <c r="G19" s="1987"/>
      <c r="H19" s="1967"/>
      <c r="I19" s="30"/>
      <c r="J19" s="99"/>
      <c r="K19" s="40"/>
      <c r="L19" s="38"/>
      <c r="M19" s="112" t="s">
        <v>333</v>
      </c>
      <c r="P19" s="27"/>
      <c r="Q19" s="27"/>
      <c r="R19" s="27"/>
      <c r="S19" s="31"/>
      <c r="T19" s="2041" t="s">
        <v>2080</v>
      </c>
      <c r="U19" s="1966"/>
      <c r="V19" s="1966"/>
      <c r="W19" s="1967"/>
      <c r="X19" s="2056" t="s">
        <v>2081</v>
      </c>
      <c r="Y19" s="2057"/>
      <c r="Z19" s="2054">
        <v>63703</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2082</v>
      </c>
      <c r="B21" s="1966"/>
      <c r="C21" s="1966"/>
      <c r="D21" s="1966"/>
      <c r="E21" s="1966"/>
      <c r="F21" s="1966"/>
      <c r="G21" s="1966"/>
      <c r="H21" s="1967"/>
      <c r="I21" s="2021" t="s">
        <v>699</v>
      </c>
      <c r="J21" s="2016"/>
      <c r="K21" s="2016"/>
      <c r="L21" s="2016"/>
      <c r="M21" s="2016"/>
      <c r="N21" s="2016"/>
      <c r="O21" s="2016"/>
      <c r="P21" s="2016"/>
      <c r="Q21" s="2016"/>
      <c r="R21" s="2016"/>
      <c r="S21" s="2022"/>
      <c r="T21" s="2065" t="s">
        <v>2083</v>
      </c>
      <c r="U21" s="2066"/>
      <c r="V21" s="2066"/>
      <c r="W21" s="2066"/>
      <c r="X21" s="2071" t="s">
        <v>2084</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2085</v>
      </c>
      <c r="B23" s="2019"/>
      <c r="C23" s="2019"/>
      <c r="D23" s="2019"/>
      <c r="E23" s="2019"/>
      <c r="F23" s="2019"/>
      <c r="G23" s="2019"/>
      <c r="H23" s="2020"/>
      <c r="T23" s="2001" t="s">
        <v>2086</v>
      </c>
      <c r="U23" s="2064"/>
      <c r="V23" s="2064"/>
      <c r="W23" s="2064"/>
      <c r="X23" s="2068">
        <v>43434</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62963</v>
      </c>
      <c r="B25" s="1966"/>
      <c r="C25" s="1966"/>
      <c r="D25" s="1966"/>
      <c r="E25" s="1966"/>
      <c r="F25" s="1966"/>
      <c r="G25" s="1966"/>
      <c r="H25" s="1967"/>
      <c r="I25" s="113"/>
      <c r="J25" s="1990"/>
      <c r="K25" s="1990"/>
      <c r="L25" s="1990"/>
      <c r="M25" s="1990"/>
      <c r="N25" s="1990"/>
      <c r="O25" s="1990"/>
      <c r="P25" s="1990"/>
      <c r="Q25" s="1990"/>
      <c r="R25" s="1990"/>
      <c r="S25" s="1991"/>
      <c r="T25" s="2061" t="s">
        <v>2087</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2074</v>
      </c>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c r="K30" s="28" t="s">
        <v>597</v>
      </c>
      <c r="L30" s="148" t="s">
        <v>2074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c r="B42" s="1985"/>
      <c r="C42" s="1986"/>
      <c r="D42" s="1984"/>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15" sqref="O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9" t="s">
        <v>1905</v>
      </c>
      <c r="B2" s="1550" t="s">
        <v>2034</v>
      </c>
      <c r="C2" s="715" t="s">
        <v>1910</v>
      </c>
      <c r="D2" s="715" t="s">
        <v>1911</v>
      </c>
      <c r="E2" s="715" t="s">
        <v>1912</v>
      </c>
      <c r="F2" s="715" t="s">
        <v>1913</v>
      </c>
    </row>
    <row r="3" spans="1:6" ht="12" customHeight="1" x14ac:dyDescent="0.2">
      <c r="A3" s="2210"/>
      <c r="B3" s="1547"/>
      <c r="C3" s="1548"/>
      <c r="D3" s="1549" t="s">
        <v>274</v>
      </c>
      <c r="E3" s="1548"/>
      <c r="F3" s="1549" t="s">
        <v>275</v>
      </c>
    </row>
    <row r="4" spans="1:6" ht="13.7" customHeight="1" x14ac:dyDescent="0.2">
      <c r="A4" s="716" t="s">
        <v>1217</v>
      </c>
      <c r="B4" s="1771">
        <f>'Revenues 9-14'!C5</f>
        <v>904486</v>
      </c>
      <c r="C4" s="1546"/>
      <c r="D4" s="1774">
        <f>B4-C4</f>
        <v>904486</v>
      </c>
      <c r="E4" s="1546"/>
      <c r="F4" s="1774">
        <f>E4-C4</f>
        <v>0</v>
      </c>
    </row>
    <row r="5" spans="1:6" ht="13.7" customHeight="1" x14ac:dyDescent="0.2">
      <c r="A5" s="716" t="s">
        <v>925</v>
      </c>
      <c r="B5" s="1772">
        <f>'Revenues 9-14'!D5</f>
        <v>169835</v>
      </c>
      <c r="C5" s="585"/>
      <c r="D5" s="1775">
        <f t="shared" ref="D5:D18" si="0">B5-C5</f>
        <v>169835</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107350</v>
      </c>
      <c r="C7" s="585"/>
      <c r="D7" s="1775">
        <f t="shared" si="0"/>
        <v>107350</v>
      </c>
      <c r="E7" s="585"/>
      <c r="F7" s="1775">
        <f t="shared" si="1"/>
        <v>0</v>
      </c>
    </row>
    <row r="8" spans="1:6" ht="13.7" customHeight="1" x14ac:dyDescent="0.2">
      <c r="A8" s="716" t="s">
        <v>1241</v>
      </c>
      <c r="B8" s="1772">
        <f>'Revenues 9-14'!G5</f>
        <v>28597</v>
      </c>
      <c r="C8" s="585"/>
      <c r="D8" s="1775">
        <f t="shared" si="0"/>
        <v>28597</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11253</v>
      </c>
      <c r="C10" s="585"/>
      <c r="D10" s="1775">
        <f t="shared" si="0"/>
        <v>11253</v>
      </c>
      <c r="E10" s="585"/>
      <c r="F10" s="1775">
        <f t="shared" si="1"/>
        <v>0</v>
      </c>
    </row>
    <row r="11" spans="1:6" x14ac:dyDescent="0.2">
      <c r="A11" s="716" t="s">
        <v>429</v>
      </c>
      <c r="B11" s="1772">
        <f>'Revenues 9-14'!J5</f>
        <v>54205</v>
      </c>
      <c r="C11" s="585"/>
      <c r="D11" s="1775">
        <f t="shared" si="0"/>
        <v>54205</v>
      </c>
      <c r="E11" s="585"/>
      <c r="F11" s="1775">
        <f t="shared" si="1"/>
        <v>0</v>
      </c>
    </row>
    <row r="12" spans="1:6" ht="13.7" customHeight="1" x14ac:dyDescent="0.2">
      <c r="A12" s="716" t="s">
        <v>159</v>
      </c>
      <c r="B12" s="1772">
        <f>'Revenues 9-14'!K5</f>
        <v>11253</v>
      </c>
      <c r="C12" s="585"/>
      <c r="D12" s="1775">
        <f t="shared" si="0"/>
        <v>11253</v>
      </c>
      <c r="E12" s="585"/>
      <c r="F12" s="1775">
        <f t="shared" si="1"/>
        <v>0</v>
      </c>
    </row>
    <row r="13" spans="1:6" ht="13.7" customHeight="1" x14ac:dyDescent="0.2">
      <c r="A13" s="716" t="s">
        <v>993</v>
      </c>
      <c r="B13" s="1772">
        <f>SUM('Revenues 9-14'!C6:D6)</f>
        <v>218</v>
      </c>
      <c r="C13" s="585"/>
      <c r="D13" s="1775">
        <f t="shared" si="0"/>
        <v>218</v>
      </c>
      <c r="E13" s="585"/>
      <c r="F13" s="1775">
        <f t="shared" si="1"/>
        <v>0</v>
      </c>
    </row>
    <row r="14" spans="1:6" ht="13.7" customHeight="1" x14ac:dyDescent="0.2">
      <c r="A14" s="716" t="s">
        <v>430</v>
      </c>
      <c r="B14" s="1772">
        <f>SUM('Revenues 9-14'!C7:D7,'Revenues 9-14'!F7:H7)</f>
        <v>8993</v>
      </c>
      <c r="C14" s="585"/>
      <c r="D14" s="1775">
        <f t="shared" si="0"/>
        <v>8993</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11119</v>
      </c>
      <c r="C16" s="585"/>
      <c r="D16" s="1775">
        <f t="shared" si="0"/>
        <v>11119</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1307309</v>
      </c>
      <c r="C19" s="1773">
        <f>SUM(C4:C18)</f>
        <v>0</v>
      </c>
      <c r="D19" s="1773">
        <f>SUM(D4:D18)</f>
        <v>1307309</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O15" sqref="O1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2"/>
    </row>
    <row r="2" spans="1:7" ht="33.75" x14ac:dyDescent="0.2">
      <c r="A2" s="2236" t="s">
        <v>1905</v>
      </c>
      <c r="B2" s="2237"/>
      <c r="C2" s="1909" t="s">
        <v>2035</v>
      </c>
      <c r="D2" s="724" t="s">
        <v>2042</v>
      </c>
      <c r="E2" s="724" t="s">
        <v>2043</v>
      </c>
      <c r="F2" s="1909" t="s">
        <v>2036</v>
      </c>
    </row>
    <row r="3" spans="1:7" ht="15.75" customHeight="1" x14ac:dyDescent="0.2">
      <c r="A3" s="2238" t="s">
        <v>1176</v>
      </c>
      <c r="B3" s="2239"/>
      <c r="C3" s="2232"/>
      <c r="D3" s="2233"/>
      <c r="E3" s="2233"/>
      <c r="F3" s="2234"/>
    </row>
    <row r="4" spans="1:7" ht="12.75" customHeight="1" thickBot="1" x14ac:dyDescent="0.25">
      <c r="A4" s="2226" t="s">
        <v>651</v>
      </c>
      <c r="B4" s="2227"/>
      <c r="C4" s="581"/>
      <c r="D4" s="581"/>
      <c r="E4" s="581"/>
      <c r="F4" s="1777">
        <f>SUM(C4+D4)-E4</f>
        <v>0</v>
      </c>
    </row>
    <row r="5" spans="1:7" ht="15.75" customHeight="1" thickTop="1" x14ac:dyDescent="0.2">
      <c r="A5" s="2230" t="s">
        <v>1172</v>
      </c>
      <c r="B5" s="2225"/>
      <c r="C5" s="2219"/>
      <c r="D5" s="2220"/>
      <c r="E5" s="2220"/>
      <c r="F5" s="222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2" t="s">
        <v>652</v>
      </c>
      <c r="B15" s="2223"/>
      <c r="C15" s="1777">
        <f>SUM(C6:C14)</f>
        <v>0</v>
      </c>
      <c r="D15" s="1777">
        <f>SUM(D6:D14)</f>
        <v>0</v>
      </c>
      <c r="E15" s="1777">
        <f>SUM(E6:E14)</f>
        <v>0</v>
      </c>
      <c r="F15" s="1777">
        <f>SUM(F6:F14)</f>
        <v>0</v>
      </c>
      <c r="G15" s="552"/>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7"/>
      <c r="D17" s="585"/>
      <c r="E17" s="727"/>
      <c r="F17" s="1777">
        <f>SUM(C17+D17)-E17</f>
        <v>0</v>
      </c>
    </row>
    <row r="18" spans="1:11" ht="12.75" customHeight="1" thickTop="1" thickBot="1" x14ac:dyDescent="0.25">
      <c r="A18" s="2217" t="s">
        <v>6</v>
      </c>
      <c r="B18" s="2218"/>
      <c r="C18" s="727"/>
      <c r="D18" s="585"/>
      <c r="E18" s="727"/>
      <c r="F18" s="1777">
        <f>SUM(C18+D18)-E18</f>
        <v>0</v>
      </c>
    </row>
    <row r="19" spans="1:11" ht="12.75" customHeight="1" thickTop="1" thickBot="1" x14ac:dyDescent="0.25">
      <c r="A19" s="2217" t="s">
        <v>406</v>
      </c>
      <c r="B19" s="2218"/>
      <c r="C19" s="727"/>
      <c r="D19" s="585"/>
      <c r="E19" s="727"/>
      <c r="F19" s="1777">
        <f>SUM(C19+D19)-E19</f>
        <v>0</v>
      </c>
    </row>
    <row r="20" spans="1:11" ht="12.75" customHeight="1" thickTop="1" thickBot="1" x14ac:dyDescent="0.25">
      <c r="A20" s="2217" t="s">
        <v>468</v>
      </c>
      <c r="B20" s="2218"/>
      <c r="C20" s="727"/>
      <c r="D20" s="585"/>
      <c r="E20" s="727"/>
      <c r="F20" s="1777">
        <f>SUM(C20+D20)-E20</f>
        <v>0</v>
      </c>
    </row>
    <row r="21" spans="1:11" ht="14.25" thickTop="1" thickBot="1" x14ac:dyDescent="0.25">
      <c r="A21" s="2222" t="s">
        <v>653</v>
      </c>
      <c r="B21" s="2223"/>
      <c r="C21" s="1777">
        <f>SUM(C17:C20)</f>
        <v>0</v>
      </c>
      <c r="D21" s="1777">
        <f>SUM(D17:D20)</f>
        <v>0</v>
      </c>
      <c r="E21" s="1777">
        <f>SUM(E17:E20)</f>
        <v>0</v>
      </c>
      <c r="F21" s="1777">
        <f>SUM(F17:F20)</f>
        <v>0</v>
      </c>
      <c r="G21" s="552"/>
    </row>
    <row r="22" spans="1:11" ht="15.75" customHeight="1" thickTop="1" x14ac:dyDescent="0.2">
      <c r="A22" s="2224" t="s">
        <v>1174</v>
      </c>
      <c r="B22" s="2225"/>
      <c r="C22" s="2219"/>
      <c r="D22" s="2220"/>
      <c r="E22" s="2220"/>
      <c r="F22" s="2221"/>
    </row>
    <row r="23" spans="1:11" ht="13.5" thickBot="1" x14ac:dyDescent="0.25">
      <c r="A23" s="2226" t="s">
        <v>654</v>
      </c>
      <c r="B23" s="2227"/>
      <c r="C23" s="581"/>
      <c r="D23" s="581"/>
      <c r="E23" s="581"/>
      <c r="F23" s="1777">
        <f>SUM(C23+D23)-E23</f>
        <v>0</v>
      </c>
      <c r="G23" s="552"/>
    </row>
    <row r="24" spans="1:11" ht="15.75" customHeight="1" thickTop="1" x14ac:dyDescent="0.2">
      <c r="A24" s="2224" t="s">
        <v>1175</v>
      </c>
      <c r="B24" s="2225"/>
      <c r="C24" s="2219"/>
      <c r="D24" s="2220"/>
      <c r="E24" s="2220"/>
      <c r="F24" s="2221"/>
    </row>
    <row r="25" spans="1:11" ht="13.5" thickBot="1" x14ac:dyDescent="0.25">
      <c r="A25" s="2226" t="s">
        <v>655</v>
      </c>
      <c r="B25" s="2227"/>
      <c r="C25" s="581"/>
      <c r="D25" s="581"/>
      <c r="E25" s="581"/>
      <c r="F25" s="1777">
        <f>SUM(C25+D25)-E25</f>
        <v>0</v>
      </c>
      <c r="G25" s="552"/>
    </row>
    <row r="26" spans="1:11" ht="15.75" customHeight="1" thickTop="1" x14ac:dyDescent="0.2">
      <c r="A26" s="2230" t="s">
        <v>678</v>
      </c>
      <c r="B26" s="2225"/>
      <c r="C26" s="728"/>
      <c r="D26" s="728"/>
      <c r="E26" s="728"/>
      <c r="F26" s="729"/>
    </row>
    <row r="27" spans="1:11" ht="13.5" thickBot="1" x14ac:dyDescent="0.25">
      <c r="A27" s="2222" t="s">
        <v>1130</v>
      </c>
      <c r="B27" s="2223"/>
      <c r="C27" s="585"/>
      <c r="D27" s="585"/>
      <c r="E27" s="585"/>
      <c r="F27" s="1777">
        <f>SUM(C27+D27)-E27</f>
        <v>0</v>
      </c>
      <c r="G27" s="552"/>
    </row>
    <row r="28" spans="1:11" ht="7.5" customHeight="1" thickTop="1" x14ac:dyDescent="0.2">
      <c r="A28" s="594"/>
    </row>
    <row r="29" spans="1:11" ht="23.25" customHeight="1" x14ac:dyDescent="0.2">
      <c r="A29" s="2228" t="s">
        <v>603</v>
      </c>
      <c r="B29" s="2229"/>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2088</v>
      </c>
      <c r="B31" s="734">
        <v>39353</v>
      </c>
      <c r="C31" s="735">
        <v>800000</v>
      </c>
      <c r="D31" s="736">
        <v>7</v>
      </c>
      <c r="E31" s="735">
        <v>339854</v>
      </c>
      <c r="F31" s="735"/>
      <c r="G31" s="735"/>
      <c r="H31" s="735">
        <v>54720</v>
      </c>
      <c r="I31" s="1778">
        <f>((E31+F31)-H31)+G31</f>
        <v>285134</v>
      </c>
      <c r="J31" s="735">
        <v>285134</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800000</v>
      </c>
      <c r="D49" s="746"/>
      <c r="E49" s="1778">
        <f t="shared" ref="E49:J49" si="2">SUM(E31:E48)</f>
        <v>339854</v>
      </c>
      <c r="F49" s="1778">
        <f t="shared" si="2"/>
        <v>0</v>
      </c>
      <c r="G49" s="1778">
        <f t="shared" si="2"/>
        <v>0</v>
      </c>
      <c r="H49" s="1778">
        <f t="shared" si="2"/>
        <v>54720</v>
      </c>
      <c r="I49" s="1778">
        <f t="shared" si="2"/>
        <v>285134</v>
      </c>
      <c r="J49" s="1778">
        <f t="shared" si="2"/>
        <v>285134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1" t="s">
        <v>605</v>
      </c>
      <c r="C52" s="2212"/>
      <c r="D52" s="2212"/>
      <c r="E52" s="750" t="s">
        <v>900</v>
      </c>
      <c r="F52" s="2213" t="s">
        <v>2088</v>
      </c>
      <c r="G52" s="2214"/>
      <c r="H52" s="737"/>
      <c r="I52" s="737"/>
      <c r="J52" s="747"/>
    </row>
    <row r="53" spans="1:11" ht="11.25" customHeight="1" x14ac:dyDescent="0.2">
      <c r="A53" s="751" t="s">
        <v>969</v>
      </c>
      <c r="B53" s="752" t="s">
        <v>1008</v>
      </c>
      <c r="C53" s="747"/>
      <c r="D53" s="738"/>
      <c r="E53" s="750" t="s">
        <v>518</v>
      </c>
      <c r="F53" s="2215"/>
      <c r="G53" s="2216"/>
      <c r="H53" s="737"/>
      <c r="I53" s="737"/>
      <c r="J53" s="747"/>
    </row>
    <row r="54" spans="1:11" ht="11.25" customHeight="1" x14ac:dyDescent="0.2">
      <c r="A54" s="753" t="s">
        <v>970</v>
      </c>
      <c r="B54" s="748" t="s">
        <v>1009</v>
      </c>
      <c r="C54" s="747"/>
      <c r="D54" s="738"/>
      <c r="E54" s="750" t="s">
        <v>519</v>
      </c>
      <c r="F54" s="2215"/>
      <c r="G54" s="221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15" sqref="O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52"/>
      <c r="I1" s="761"/>
      <c r="J1" s="433"/>
    </row>
    <row r="2" spans="1:11" ht="26.25" x14ac:dyDescent="0.2">
      <c r="A2" s="2259" t="s">
        <v>1776</v>
      </c>
      <c r="B2" s="2260"/>
      <c r="C2" s="2260"/>
      <c r="D2" s="2260"/>
      <c r="E2" s="2261"/>
      <c r="F2" s="762" t="s">
        <v>960</v>
      </c>
      <c r="G2" s="763" t="s">
        <v>1773</v>
      </c>
      <c r="H2" s="763" t="s">
        <v>430</v>
      </c>
      <c r="I2" s="763" t="s">
        <v>1220</v>
      </c>
      <c r="J2" s="763" t="s">
        <v>1919</v>
      </c>
      <c r="K2" s="763" t="s">
        <v>140</v>
      </c>
    </row>
    <row r="3" spans="1:11" x14ac:dyDescent="0.2">
      <c r="A3" s="2262" t="s">
        <v>1698</v>
      </c>
      <c r="B3" s="2263"/>
      <c r="C3" s="2263"/>
      <c r="D3" s="2263"/>
      <c r="E3" s="2264"/>
      <c r="F3" s="764"/>
      <c r="G3" s="765"/>
      <c r="H3" s="765"/>
      <c r="I3" s="765"/>
      <c r="J3" s="766"/>
      <c r="K3" s="766"/>
    </row>
    <row r="4" spans="1:11" x14ac:dyDescent="0.2">
      <c r="A4" s="2265" t="s">
        <v>387</v>
      </c>
      <c r="B4" s="2266"/>
      <c r="C4" s="2266"/>
      <c r="D4" s="2266"/>
      <c r="E4" s="2212"/>
      <c r="F4" s="767"/>
      <c r="G4" s="768"/>
      <c r="H4" s="769"/>
      <c r="I4" s="768"/>
      <c r="J4" s="770"/>
      <c r="K4" s="770"/>
    </row>
    <row r="5" spans="1:11" x14ac:dyDescent="0.2">
      <c r="A5" s="2243" t="s">
        <v>1129</v>
      </c>
      <c r="B5" s="2244"/>
      <c r="C5" s="2244"/>
      <c r="D5" s="2244"/>
      <c r="E5" s="2245"/>
      <c r="F5" s="771" t="s">
        <v>903</v>
      </c>
      <c r="G5" s="772"/>
      <c r="H5" s="765">
        <v>8993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350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3730</v>
      </c>
    </row>
    <row r="10" spans="1:11" x14ac:dyDescent="0.2">
      <c r="A10" s="2243" t="s">
        <v>1920</v>
      </c>
      <c r="B10" s="2244"/>
      <c r="C10" s="2244"/>
      <c r="D10" s="2244"/>
      <c r="E10" s="2246"/>
      <c r="F10" s="784" t="s">
        <v>917</v>
      </c>
      <c r="G10" s="783"/>
      <c r="H10" s="785"/>
      <c r="I10" s="765"/>
      <c r="J10" s="766"/>
      <c r="K10" s="766"/>
    </row>
    <row r="11" spans="1:11" x14ac:dyDescent="0.2">
      <c r="A11" s="2243" t="s">
        <v>162</v>
      </c>
      <c r="B11" s="2244"/>
      <c r="C11" s="2244"/>
      <c r="D11" s="2244"/>
      <c r="E11" s="2245"/>
      <c r="F11" s="771" t="s">
        <v>907</v>
      </c>
      <c r="G11" s="772"/>
      <c r="H11" s="765"/>
      <c r="I11" s="765"/>
      <c r="J11" s="766"/>
      <c r="K11" s="774"/>
    </row>
    <row r="12" spans="1:11" ht="13.5" thickBot="1" x14ac:dyDescent="0.25">
      <c r="A12" s="2270" t="s">
        <v>961</v>
      </c>
      <c r="B12" s="2271"/>
      <c r="C12" s="2271"/>
      <c r="D12" s="2271"/>
      <c r="E12" s="2272"/>
      <c r="F12" s="1779"/>
      <c r="G12" s="1780">
        <f>SUM(G5:G11)</f>
        <v>0</v>
      </c>
      <c r="H12" s="1780">
        <f>SUM(H5:H11)</f>
        <v>8993</v>
      </c>
      <c r="I12" s="1780">
        <f>SUM(I5:I11)</f>
        <v>0</v>
      </c>
      <c r="J12" s="1780">
        <f>SUM(J5:J11)</f>
        <v>0</v>
      </c>
      <c r="K12" s="1780">
        <f>SUM(K5:K11)</f>
        <v>4080</v>
      </c>
    </row>
    <row r="13" spans="1:11" ht="13.5" thickTop="1" x14ac:dyDescent="0.2">
      <c r="A13" s="2267" t="s">
        <v>388</v>
      </c>
      <c r="B13" s="2268"/>
      <c r="C13" s="2268"/>
      <c r="D13" s="2268"/>
      <c r="E13" s="2269"/>
      <c r="F13" s="786"/>
      <c r="G13" s="787"/>
      <c r="H13" s="788"/>
      <c r="I13" s="789"/>
      <c r="J13" s="789"/>
      <c r="K13" s="789"/>
    </row>
    <row r="14" spans="1:11" x14ac:dyDescent="0.2">
      <c r="A14" s="2250" t="s">
        <v>476</v>
      </c>
      <c r="B14" s="2250"/>
      <c r="C14" s="2250"/>
      <c r="D14" s="2250"/>
      <c r="E14" s="2251"/>
      <c r="F14" s="790" t="s">
        <v>909</v>
      </c>
      <c r="G14" s="783"/>
      <c r="H14" s="765">
        <v>8993</v>
      </c>
      <c r="I14" s="772"/>
      <c r="J14" s="774"/>
      <c r="K14" s="766">
        <v>4080</v>
      </c>
    </row>
    <row r="15" spans="1:11" x14ac:dyDescent="0.2">
      <c r="A15" s="2244" t="s">
        <v>4</v>
      </c>
      <c r="B15" s="2244"/>
      <c r="C15" s="2244"/>
      <c r="D15" s="2244"/>
      <c r="E15" s="2245"/>
      <c r="F15" s="790" t="s">
        <v>910</v>
      </c>
      <c r="G15" s="772"/>
      <c r="H15" s="765"/>
      <c r="I15" s="765"/>
      <c r="J15" s="766"/>
      <c r="K15" s="766"/>
    </row>
    <row r="16" spans="1:11" x14ac:dyDescent="0.2">
      <c r="A16" s="2244" t="s">
        <v>316</v>
      </c>
      <c r="B16" s="2244"/>
      <c r="C16" s="2244"/>
      <c r="D16" s="2244"/>
      <c r="E16" s="2245"/>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52" t="s">
        <v>1916</v>
      </c>
      <c r="B19" s="2252"/>
      <c r="C19" s="2252"/>
      <c r="D19" s="2252"/>
      <c r="E19" s="2253"/>
      <c r="F19" s="790" t="s">
        <v>990</v>
      </c>
      <c r="G19" s="783"/>
      <c r="H19" s="783"/>
      <c r="I19" s="783"/>
      <c r="J19" s="766"/>
      <c r="K19" s="796"/>
    </row>
    <row r="20" spans="1:11" x14ac:dyDescent="0.2">
      <c r="A20" s="2254" t="s">
        <v>1921</v>
      </c>
      <c r="B20" s="2255"/>
      <c r="C20" s="2255"/>
      <c r="D20" s="2255"/>
      <c r="E20" s="2256"/>
      <c r="F20" s="790" t="s">
        <v>991</v>
      </c>
      <c r="G20" s="783"/>
      <c r="H20" s="783"/>
      <c r="I20" s="783"/>
      <c r="J20" s="766"/>
      <c r="K20" s="796"/>
    </row>
    <row r="21" spans="1:11" ht="13.5" thickBot="1" x14ac:dyDescent="0.25">
      <c r="A21" s="2273" t="s">
        <v>659</v>
      </c>
      <c r="B21" s="2273"/>
      <c r="C21" s="2273"/>
      <c r="D21" s="2273"/>
      <c r="E21" s="2273"/>
      <c r="F21" s="1781"/>
      <c r="G21" s="793"/>
      <c r="H21" s="797"/>
      <c r="I21" s="797"/>
      <c r="J21" s="1782">
        <f>SUM(J18:J20)</f>
        <v>0</v>
      </c>
      <c r="K21" s="794"/>
    </row>
    <row r="22" spans="1:11" ht="13.5" thickTop="1" x14ac:dyDescent="0.2">
      <c r="A22" s="2244" t="s">
        <v>1922</v>
      </c>
      <c r="B22" s="2244"/>
      <c r="C22" s="2244"/>
      <c r="D22" s="2244"/>
      <c r="E22" s="2245"/>
      <c r="F22" s="790" t="s">
        <v>917</v>
      </c>
      <c r="G22" s="783"/>
      <c r="H22" s="765"/>
      <c r="I22" s="765"/>
      <c r="J22" s="798"/>
      <c r="K22" s="766"/>
    </row>
    <row r="23" spans="1:11" ht="13.5" thickBot="1" x14ac:dyDescent="0.25">
      <c r="A23" s="2274" t="s">
        <v>962</v>
      </c>
      <c r="B23" s="2273"/>
      <c r="C23" s="2273"/>
      <c r="D23" s="2273"/>
      <c r="E23" s="2273"/>
      <c r="F23" s="1783"/>
      <c r="G23" s="1780">
        <f>SUM(G14:G16,G21,G22)</f>
        <v>0</v>
      </c>
      <c r="H23" s="1780">
        <f>SUM(H14:H16,H21,H22)</f>
        <v>8993</v>
      </c>
      <c r="I23" s="1780">
        <f>SUM(I14:I16,I21,I22)</f>
        <v>0</v>
      </c>
      <c r="J23" s="1780">
        <f>SUM(J14:J16,J21,J22)</f>
        <v>0</v>
      </c>
      <c r="K23" s="1780">
        <f>SUM(K14:K16,K21,K22)</f>
        <v>4080</v>
      </c>
    </row>
    <row r="24" spans="1:11" ht="14.25" thickTop="1" thickBot="1" x14ac:dyDescent="0.25">
      <c r="A24" s="2274" t="s">
        <v>2023</v>
      </c>
      <c r="B24" s="2273"/>
      <c r="C24" s="2273"/>
      <c r="D24" s="2273"/>
      <c r="E24" s="227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7"/>
      <c r="I31" s="2248"/>
      <c r="J31" s="2248"/>
      <c r="K31" s="2248"/>
    </row>
    <row r="32" spans="1:11" x14ac:dyDescent="0.2">
      <c r="A32" s="810"/>
      <c r="B32" s="237"/>
      <c r="C32" s="237"/>
      <c r="D32" s="237"/>
      <c r="E32" s="806"/>
      <c r="F32" s="812" t="s">
        <v>561</v>
      </c>
      <c r="G32" s="765"/>
      <c r="H32" s="2249"/>
      <c r="I32" s="2248"/>
      <c r="J32" s="2248"/>
      <c r="K32" s="2248"/>
    </row>
    <row r="33" spans="1:11" ht="1.5" customHeight="1" x14ac:dyDescent="0.2">
      <c r="A33" s="813" t="s">
        <v>1231</v>
      </c>
      <c r="B33" s="364"/>
      <c r="C33" s="364"/>
      <c r="D33" s="364"/>
      <c r="E33" s="364"/>
      <c r="F33" s="364"/>
      <c r="G33" s="814"/>
      <c r="H33" s="2249"/>
      <c r="I33" s="2248"/>
      <c r="J33" s="2248"/>
      <c r="K33" s="224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57"/>
      <c r="C41" s="2257"/>
      <c r="D41" s="2257"/>
      <c r="E41" s="2257"/>
      <c r="F41" s="225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activeCell="O15" sqref="O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2032</v>
      </c>
      <c r="B1" s="2280"/>
      <c r="C1" s="2281"/>
      <c r="D1" s="827"/>
      <c r="E1" s="828"/>
      <c r="F1" s="828"/>
      <c r="G1" s="829"/>
      <c r="H1" s="830"/>
      <c r="I1" s="831"/>
      <c r="J1" s="2277"/>
      <c r="K1" s="2278"/>
      <c r="L1" s="2278"/>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38022</v>
      </c>
      <c r="D5" s="842"/>
      <c r="E5" s="842"/>
      <c r="F5" s="1782">
        <f>(C5+D5)-E5</f>
        <v>38022</v>
      </c>
      <c r="G5" s="838"/>
      <c r="H5" s="843"/>
      <c r="I5" s="843"/>
      <c r="J5" s="843"/>
      <c r="K5" s="794"/>
      <c r="L5" s="1791">
        <f>F5-K5</f>
        <v>38022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3396590</v>
      </c>
      <c r="D8" s="845">
        <v>3738</v>
      </c>
      <c r="E8" s="845"/>
      <c r="F8" s="1782">
        <f>(C8+D8)-E8</f>
        <v>3400328</v>
      </c>
      <c r="G8" s="844">
        <v>50</v>
      </c>
      <c r="H8" s="766">
        <v>2817007</v>
      </c>
      <c r="I8" s="766">
        <v>67950</v>
      </c>
      <c r="J8" s="766"/>
      <c r="K8" s="1791">
        <f>(H8+I8)-J8</f>
        <v>2884957</v>
      </c>
      <c r="L8" s="1791">
        <f>F8-K8</f>
        <v>515371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1337107</v>
      </c>
      <c r="D10" s="847">
        <v>2720</v>
      </c>
      <c r="E10" s="847"/>
      <c r="F10" s="1786">
        <f>(C10+D10)-E10</f>
        <v>1339827</v>
      </c>
      <c r="G10" s="844">
        <v>20</v>
      </c>
      <c r="H10" s="848">
        <v>545466</v>
      </c>
      <c r="I10" s="848">
        <v>66281</v>
      </c>
      <c r="J10" s="848"/>
      <c r="K10" s="1791">
        <f>(H10+I10)-J10</f>
        <v>611747</v>
      </c>
      <c r="L10" s="1791">
        <f>F10-K10</f>
        <v>728080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1157988</v>
      </c>
      <c r="D12" s="845">
        <v>15147</v>
      </c>
      <c r="E12" s="845"/>
      <c r="F12" s="1782">
        <f>(C12+D12)-E12</f>
        <v>1173135</v>
      </c>
      <c r="G12" s="844">
        <v>10</v>
      </c>
      <c r="H12" s="766">
        <v>1125886</v>
      </c>
      <c r="I12" s="766">
        <v>8664</v>
      </c>
      <c r="J12" s="766"/>
      <c r="K12" s="1791">
        <f>(H12+I12)-J12</f>
        <v>1134550</v>
      </c>
      <c r="L12" s="1791">
        <f>F12-K12</f>
        <v>38585</v>
      </c>
    </row>
    <row r="13" spans="1:14" ht="14.25" thickTop="1" thickBot="1" x14ac:dyDescent="0.25">
      <c r="A13" s="849" t="s">
        <v>1184</v>
      </c>
      <c r="B13" s="841">
        <v>252</v>
      </c>
      <c r="C13" s="845">
        <v>260183</v>
      </c>
      <c r="D13" s="845"/>
      <c r="E13" s="845"/>
      <c r="F13" s="1782">
        <f>(C13+D13)-E13</f>
        <v>260183</v>
      </c>
      <c r="G13" s="844">
        <v>5</v>
      </c>
      <c r="H13" s="766">
        <v>231447</v>
      </c>
      <c r="I13" s="766">
        <v>13475</v>
      </c>
      <c r="J13" s="766"/>
      <c r="K13" s="1791">
        <f>(H13+I13)-J13</f>
        <v>244922</v>
      </c>
      <c r="L13" s="1791">
        <f>F13-K13</f>
        <v>15261</v>
      </c>
    </row>
    <row r="14" spans="1:14" ht="14.25" thickTop="1" thickBot="1" x14ac:dyDescent="0.25">
      <c r="A14" s="849" t="s">
        <v>1185</v>
      </c>
      <c r="B14" s="841">
        <v>253</v>
      </c>
      <c r="C14" s="766">
        <v>1994</v>
      </c>
      <c r="D14" s="766"/>
      <c r="E14" s="766"/>
      <c r="F14" s="1782">
        <f>(C14+D14)-E14</f>
        <v>1994</v>
      </c>
      <c r="G14" s="844">
        <v>3</v>
      </c>
      <c r="H14" s="766">
        <v>1994</v>
      </c>
      <c r="I14" s="766"/>
      <c r="J14" s="766"/>
      <c r="K14" s="1791">
        <f>(H14+I14)-J14</f>
        <v>1994</v>
      </c>
      <c r="L14" s="1791">
        <f>F14-K14</f>
        <v>0</v>
      </c>
    </row>
    <row r="15" spans="1:14" ht="15" customHeight="1" thickTop="1" thickBot="1" x14ac:dyDescent="0.25">
      <c r="A15" s="1653" t="s">
        <v>549</v>
      </c>
      <c r="B15" s="1652">
        <v>260</v>
      </c>
      <c r="C15" s="845"/>
      <c r="D15" s="845">
        <v>1589</v>
      </c>
      <c r="E15" s="845"/>
      <c r="F15" s="1782">
        <f>(C15+D15)-E15</f>
        <v>1589</v>
      </c>
      <c r="G15" s="850" t="s">
        <v>917</v>
      </c>
      <c r="H15" s="782"/>
      <c r="I15" s="782"/>
      <c r="J15" s="782"/>
      <c r="K15" s="782"/>
      <c r="L15" s="1791">
        <f>F15-K15</f>
        <v>1589</v>
      </c>
    </row>
    <row r="16" spans="1:14" ht="15" customHeight="1" thickTop="1" thickBot="1" x14ac:dyDescent="0.25">
      <c r="A16" s="1787" t="s">
        <v>664</v>
      </c>
      <c r="B16" s="1788">
        <v>200</v>
      </c>
      <c r="C16" s="1782">
        <f>SUM(C3,C5:C6,C8:C10,C12:C15)</f>
        <v>6191884</v>
      </c>
      <c r="D16" s="1782">
        <f>SUM(D3,D5:D6,D8:D10,D12:D15)</f>
        <v>23194</v>
      </c>
      <c r="E16" s="1782">
        <f>SUM(E3,E5:E6,E8:E10,E12:E15)</f>
        <v>0</v>
      </c>
      <c r="F16" s="1782">
        <f>SUM(F3,F5:F6,F8:F10,F12:F15)</f>
        <v>6215078</v>
      </c>
      <c r="G16" s="844"/>
      <c r="H16" s="1782">
        <f>SUM(H3,H6,H8:H10,H12:H14,)</f>
        <v>4721800</v>
      </c>
      <c r="I16" s="1782">
        <f>SUM(I3,I6,I8:I10,I12:I14,)</f>
        <v>156370</v>
      </c>
      <c r="J16" s="1782">
        <f>SUM(J3,J6,J8:J10,J12:J14,)</f>
        <v>0</v>
      </c>
      <c r="K16" s="1782">
        <f>(H16+I16)-J16</f>
        <v>4878170</v>
      </c>
      <c r="L16" s="1782">
        <f>F16-K16</f>
        <v>1336908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156370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O15" sqref="O15"/>
      <selection pane="bottomLeft" activeCell="O15" sqref="O1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2769979</v>
      </c>
      <c r="G8" s="866"/>
    </row>
    <row r="9" spans="1:7" x14ac:dyDescent="0.2">
      <c r="A9" s="870" t="s">
        <v>480</v>
      </c>
      <c r="B9" s="871" t="s">
        <v>1987</v>
      </c>
      <c r="C9" s="872"/>
      <c r="D9" s="870" t="s">
        <v>522</v>
      </c>
      <c r="E9" s="869"/>
      <c r="F9" s="1935">
        <f>'Expenditures 15-22'!K151</f>
        <v>387953</v>
      </c>
      <c r="G9" s="873"/>
    </row>
    <row r="10" spans="1:7" x14ac:dyDescent="0.2">
      <c r="A10" s="870" t="s">
        <v>520</v>
      </c>
      <c r="B10" s="871" t="s">
        <v>1988</v>
      </c>
      <c r="C10" s="872"/>
      <c r="D10" s="870" t="s">
        <v>522</v>
      </c>
      <c r="E10" s="869"/>
      <c r="F10" s="1935">
        <f>'Expenditures 15-22'!K174</f>
        <v>59410</v>
      </c>
      <c r="G10" s="873"/>
    </row>
    <row r="11" spans="1:7" x14ac:dyDescent="0.2">
      <c r="A11" s="870" t="s">
        <v>481</v>
      </c>
      <c r="B11" s="871" t="s">
        <v>1989</v>
      </c>
      <c r="C11" s="872"/>
      <c r="D11" s="870" t="s">
        <v>522</v>
      </c>
      <c r="E11" s="869"/>
      <c r="F11" s="1935">
        <f>'Expenditures 15-22'!K210</f>
        <v>280663</v>
      </c>
      <c r="G11" s="873"/>
    </row>
    <row r="12" spans="1:7" x14ac:dyDescent="0.2">
      <c r="A12" s="870" t="s">
        <v>482</v>
      </c>
      <c r="B12" s="871" t="s">
        <v>1990</v>
      </c>
      <c r="C12" s="872"/>
      <c r="D12" s="870" t="s">
        <v>522</v>
      </c>
      <c r="E12" s="869"/>
      <c r="F12" s="1935">
        <f>'Expenditures 15-22'!K295</f>
        <v>113427</v>
      </c>
      <c r="G12" s="873"/>
    </row>
    <row r="13" spans="1:7" x14ac:dyDescent="0.2">
      <c r="A13" s="870" t="s">
        <v>108</v>
      </c>
      <c r="B13" s="871" t="s">
        <v>1991</v>
      </c>
      <c r="C13" s="872"/>
      <c r="D13" s="870" t="s">
        <v>522</v>
      </c>
      <c r="E13" s="869"/>
      <c r="F13" s="1935">
        <f>'Expenditures 15-22'!K342</f>
        <v>53542</v>
      </c>
      <c r="G13" s="874"/>
    </row>
    <row r="14" spans="1:7" ht="12" customHeight="1" thickBot="1" x14ac:dyDescent="0.25">
      <c r="A14" s="1792"/>
      <c r="B14" s="1793"/>
      <c r="C14" s="1794"/>
      <c r="D14" s="1795" t="s">
        <v>522</v>
      </c>
      <c r="E14" s="1796" t="s">
        <v>1015</v>
      </c>
      <c r="F14" s="1797">
        <f>SUM(F8:F13)</f>
        <v>3664974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63033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130806</v>
      </c>
      <c r="G53" s="866"/>
    </row>
    <row r="54" spans="1:7" x14ac:dyDescent="0.2">
      <c r="A54" s="870" t="s">
        <v>479</v>
      </c>
      <c r="B54" s="870" t="s">
        <v>1552</v>
      </c>
      <c r="C54" s="890" t="s">
        <v>1039</v>
      </c>
      <c r="D54" s="886" t="s">
        <v>1157</v>
      </c>
      <c r="E54" s="869"/>
      <c r="F54" s="1939">
        <f>'Expenditures 15-22'!G114</f>
        <v>12151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9">
        <f>'Expenditures 15-22'!K139</f>
        <v>0</v>
      </c>
      <c r="G57" s="866"/>
    </row>
    <row r="58" spans="1:7" x14ac:dyDescent="0.2">
      <c r="A58" s="870" t="s">
        <v>480</v>
      </c>
      <c r="B58" s="870" t="s">
        <v>1993</v>
      </c>
      <c r="C58" s="887" t="s">
        <v>1039</v>
      </c>
      <c r="D58" s="886" t="s">
        <v>1157</v>
      </c>
      <c r="E58" s="869"/>
      <c r="F58" s="1941">
        <f>'Expenditures 15-22'!G151</f>
        <v>23194</v>
      </c>
      <c r="G58" s="866"/>
    </row>
    <row r="59" spans="1:7" x14ac:dyDescent="0.2">
      <c r="A59" s="894" t="s">
        <v>480</v>
      </c>
      <c r="B59" s="857" t="s">
        <v>1994</v>
      </c>
      <c r="C59" s="895" t="s">
        <v>1039</v>
      </c>
      <c r="D59" s="857" t="s">
        <v>309</v>
      </c>
      <c r="F59" s="1942">
        <f>'Expenditures 15-22'!I151</f>
        <v>0</v>
      </c>
      <c r="G59" s="866"/>
    </row>
    <row r="60" spans="1:7" x14ac:dyDescent="0.2">
      <c r="A60" s="894" t="s">
        <v>520</v>
      </c>
      <c r="B60" s="857" t="s">
        <v>1995</v>
      </c>
      <c r="C60" s="895">
        <v>4000</v>
      </c>
      <c r="D60" s="857" t="s">
        <v>330</v>
      </c>
      <c r="F60" s="1940">
        <f>'Expenditures 15-22'!K160</f>
        <v>0</v>
      </c>
      <c r="G60" s="866"/>
    </row>
    <row r="61" spans="1:7" x14ac:dyDescent="0.2">
      <c r="A61" s="896" t="s">
        <v>520</v>
      </c>
      <c r="B61" s="896" t="s">
        <v>1996</v>
      </c>
      <c r="C61" s="897" t="str">
        <f>'Expenditures 15-22'!B170</f>
        <v>5300</v>
      </c>
      <c r="D61" s="898" t="s">
        <v>329</v>
      </c>
      <c r="E61" s="880"/>
      <c r="F61" s="1939">
        <f>'Expenditures 15-22'!K170</f>
        <v>54720</v>
      </c>
      <c r="G61" s="866"/>
    </row>
    <row r="62" spans="1:7" x14ac:dyDescent="0.2">
      <c r="A62" s="870" t="s">
        <v>481</v>
      </c>
      <c r="B62" s="870" t="s">
        <v>1997</v>
      </c>
      <c r="C62" s="887">
        <f>'Expenditures 15-22'!B185</f>
        <v>3000</v>
      </c>
      <c r="D62" s="877" t="s">
        <v>469</v>
      </c>
      <c r="E62" s="869"/>
      <c r="F62" s="1939">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1999</v>
      </c>
      <c r="C64" s="897" t="str">
        <f>'Expenditures 15-22'!B206</f>
        <v>5300</v>
      </c>
      <c r="D64" s="893" t="s">
        <v>329</v>
      </c>
      <c r="E64" s="869"/>
      <c r="F64" s="1939">
        <f>'Expenditures 15-22'!K206</f>
        <v>0</v>
      </c>
      <c r="G64" s="866"/>
    </row>
    <row r="65" spans="1:8" x14ac:dyDescent="0.2">
      <c r="A65" s="870" t="s">
        <v>481</v>
      </c>
      <c r="B65" s="870" t="s">
        <v>2000</v>
      </c>
      <c r="C65" s="887" t="s">
        <v>1039</v>
      </c>
      <c r="D65" s="886" t="s">
        <v>1157</v>
      </c>
      <c r="E65" s="869"/>
      <c r="F65" s="1939">
        <f>'Expenditures 15-22'!G210</f>
        <v>0</v>
      </c>
      <c r="G65" s="866"/>
    </row>
    <row r="66" spans="1:8" x14ac:dyDescent="0.2">
      <c r="A66" s="870" t="s">
        <v>481</v>
      </c>
      <c r="B66" s="870" t="s">
        <v>2001</v>
      </c>
      <c r="C66" s="887" t="s">
        <v>1039</v>
      </c>
      <c r="D66" s="886" t="s">
        <v>309</v>
      </c>
      <c r="E66" s="869"/>
      <c r="F66" s="1939">
        <f>'Expenditures 15-22'!I210</f>
        <v>0</v>
      </c>
      <c r="G66" s="866"/>
    </row>
    <row r="67" spans="1:8" x14ac:dyDescent="0.2">
      <c r="A67" s="870" t="s">
        <v>482</v>
      </c>
      <c r="B67" s="870" t="s">
        <v>2002</v>
      </c>
      <c r="C67" s="887" t="str">
        <f>'Expenditures 15-22'!B216</f>
        <v>1125</v>
      </c>
      <c r="D67" s="893" t="str">
        <f>'Expenditures 15-22'!A216</f>
        <v>Pre-K Programs</v>
      </c>
      <c r="E67" s="869"/>
      <c r="F67" s="1939">
        <f>'Expenditures 15-22'!K216</f>
        <v>2837</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2004</v>
      </c>
      <c r="C70" s="887">
        <f>'Expenditures 15-22'!B221</f>
        <v>1300</v>
      </c>
      <c r="D70" s="888" t="str">
        <f>'Expenditures 15-22'!A221</f>
        <v>Adult/Continuing Education Programs</v>
      </c>
      <c r="E70" s="869"/>
      <c r="F70" s="1939">
        <f>'Expenditures 15-22'!K221</f>
        <v>0</v>
      </c>
      <c r="G70" s="866"/>
    </row>
    <row r="71" spans="1:8" x14ac:dyDescent="0.2">
      <c r="A71" s="870" t="s">
        <v>482</v>
      </c>
      <c r="B71" s="870" t="s">
        <v>2005</v>
      </c>
      <c r="C71" s="887">
        <f>'Expenditures 15-22'!B224</f>
        <v>1600</v>
      </c>
      <c r="D71" s="888" t="str">
        <f>'Expenditures 15-22'!A224</f>
        <v>Summer School Programs</v>
      </c>
      <c r="E71" s="869"/>
      <c r="F71" s="1939">
        <f>'Expenditures 15-22'!K224</f>
        <v>0</v>
      </c>
      <c r="G71" s="866"/>
    </row>
    <row r="72" spans="1:8" x14ac:dyDescent="0.2">
      <c r="A72" s="870" t="s">
        <v>482</v>
      </c>
      <c r="B72" s="870" t="s">
        <v>2006</v>
      </c>
      <c r="C72" s="887">
        <f>'Expenditures 15-22'!B280</f>
        <v>3000</v>
      </c>
      <c r="D72" s="877" t="s">
        <v>469</v>
      </c>
      <c r="E72" s="869"/>
      <c r="F72" s="1939">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2008</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286741</v>
      </c>
      <c r="G76" s="866"/>
    </row>
    <row r="77" spans="1:8" s="894" customFormat="1" ht="12" customHeight="1" thickTop="1" thickBot="1" x14ac:dyDescent="0.25">
      <c r="A77" s="1801"/>
      <c r="B77" s="1798"/>
      <c r="C77" s="1794"/>
      <c r="D77" s="1799" t="s">
        <v>2010</v>
      </c>
      <c r="E77" s="1796"/>
      <c r="F77" s="1802">
        <f>(F14-F76)</f>
        <v>3378233</v>
      </c>
      <c r="G77" s="870"/>
    </row>
    <row r="78" spans="1:8" s="894" customFormat="1" ht="12" customHeight="1" thickTop="1" x14ac:dyDescent="0.2">
      <c r="A78" s="1803"/>
      <c r="B78" s="1798"/>
      <c r="C78" s="1794"/>
      <c r="D78" s="1799" t="s">
        <v>2056</v>
      </c>
      <c r="E78" s="1796"/>
      <c r="F78" s="899">
        <v>247.76</v>
      </c>
      <c r="G78" s="900"/>
      <c r="H78" s="870"/>
    </row>
    <row r="79" spans="1:8" s="894" customFormat="1" ht="12" customHeight="1" thickBot="1" x14ac:dyDescent="0.25">
      <c r="A79" s="1804"/>
      <c r="B79" s="1798"/>
      <c r="C79" s="1794"/>
      <c r="D79" s="1799" t="s">
        <v>2011</v>
      </c>
      <c r="E79" s="1796" t="s">
        <v>1015</v>
      </c>
      <c r="F79" s="1805">
        <f>IF(F78&gt;0,F77/F78," Complete Line 78")</f>
        <v>13635.102518566355</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3123</v>
      </c>
      <c r="G94" s="913"/>
    </row>
    <row r="95" spans="1:7" x14ac:dyDescent="0.2">
      <c r="A95" s="909" t="s">
        <v>142</v>
      </c>
      <c r="B95" s="909" t="s">
        <v>177</v>
      </c>
      <c r="C95" s="911">
        <v>1700</v>
      </c>
      <c r="D95" s="919" t="str">
        <f>'Revenues 9-14'!A82</f>
        <v>Total District/School Activity Income</v>
      </c>
      <c r="E95" s="907"/>
      <c r="F95" s="1811">
        <f>SUM('Revenues 9-14'!C82,'Revenues 9-14'!D82)</f>
        <v>8769</v>
      </c>
      <c r="G95" s="913"/>
    </row>
    <row r="96" spans="1:7" x14ac:dyDescent="0.2">
      <c r="A96" s="909" t="s">
        <v>479</v>
      </c>
      <c r="B96" s="909" t="s">
        <v>178</v>
      </c>
      <c r="C96" s="911">
        <f>'Revenues 9-14'!B84</f>
        <v>1811</v>
      </c>
      <c r="D96" s="912" t="str">
        <f>'Revenues 9-14'!A84</f>
        <v>Rentals - Regular Textbooks</v>
      </c>
      <c r="E96" s="907"/>
      <c r="F96" s="1811">
        <f>'Revenues 9-14'!C84</f>
        <v>2140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43375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2551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2925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3730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130494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175206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133385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13835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519533</v>
      </c>
    </row>
    <row r="179" spans="1:7" ht="12" customHeight="1" x14ac:dyDescent="0.2">
      <c r="A179" s="1792"/>
      <c r="B179" s="1806"/>
      <c r="C179" s="1807"/>
      <c r="D179" s="1808" t="s">
        <v>2013</v>
      </c>
      <c r="E179" s="1809"/>
      <c r="F179" s="1811">
        <f>'PCTC-OEPP 27-28'!F77-F178</f>
        <v>2858700</v>
      </c>
    </row>
    <row r="180" spans="1:7" ht="12" customHeight="1" x14ac:dyDescent="0.2">
      <c r="A180" s="1792"/>
      <c r="B180" s="1806"/>
      <c r="C180" s="1807"/>
      <c r="D180" s="1808" t="s">
        <v>1924</v>
      </c>
      <c r="E180" s="1809"/>
      <c r="F180" s="1811">
        <f>'Cap Outlay Deprec 26'!I18</f>
        <v>156370</v>
      </c>
    </row>
    <row r="181" spans="1:7" ht="12" customHeight="1" x14ac:dyDescent="0.2">
      <c r="A181" s="1792"/>
      <c r="B181" s="1806"/>
      <c r="C181" s="1807"/>
      <c r="D181" s="1808" t="s">
        <v>2014</v>
      </c>
      <c r="E181" s="1809"/>
      <c r="F181" s="1811">
        <f>F179+F180</f>
        <v>3015070</v>
      </c>
    </row>
    <row r="182" spans="1:7" ht="12" customHeight="1" x14ac:dyDescent="0.2">
      <c r="A182" s="1792"/>
      <c r="B182" s="1812"/>
      <c r="C182" s="1807"/>
      <c r="D182" s="1808" t="str">
        <f>D78</f>
        <v>9 Month ADA from District Average Daily Attendance/Prior General State Aid Inquiry 2017-2018</v>
      </c>
      <c r="E182" s="1809"/>
      <c r="F182" s="1813">
        <f>'PCTC-OEPP 27-28'!F78</f>
        <v>247.76</v>
      </c>
      <c r="G182" s="931"/>
    </row>
    <row r="183" spans="1:7" ht="12" customHeight="1" thickBot="1" x14ac:dyDescent="0.25">
      <c r="A183" s="1792"/>
      <c r="B183" s="1812"/>
      <c r="C183" s="1807"/>
      <c r="D183" s="1808" t="s">
        <v>2015</v>
      </c>
      <c r="E183" s="1809" t="s">
        <v>1626</v>
      </c>
      <c r="F183" s="1814">
        <f>F181/F182</f>
        <v>12169.317081046174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O15" sqref="O15"/>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6" t="s">
        <v>1926</v>
      </c>
      <c r="B6" s="1557"/>
      <c r="C6" s="1557"/>
      <c r="D6" s="1557"/>
      <c r="E6" s="1557"/>
      <c r="F6" s="1557"/>
      <c r="G6" s="1558"/>
    </row>
    <row r="7" spans="1:7" ht="30.75" customHeight="1" x14ac:dyDescent="0.25">
      <c r="A7" s="2302" t="s">
        <v>2072</v>
      </c>
      <c r="B7" s="2303"/>
      <c r="C7" s="2303"/>
      <c r="D7" s="2303"/>
      <c r="E7" s="2303"/>
      <c r="F7" s="2303"/>
      <c r="G7" s="2304"/>
    </row>
    <row r="8" spans="1:7" ht="15.75" customHeight="1" x14ac:dyDescent="0.25">
      <c r="A8" s="2305" t="s">
        <v>2021</v>
      </c>
      <c r="B8" s="2306"/>
      <c r="C8" s="2306"/>
      <c r="D8" s="2306"/>
      <c r="E8" s="2306"/>
      <c r="F8" s="2306"/>
      <c r="G8" s="2307"/>
    </row>
    <row r="9" spans="1:7" ht="35.25" customHeight="1" x14ac:dyDescent="0.25">
      <c r="A9" s="2302" t="s">
        <v>2133</v>
      </c>
      <c r="B9" s="2303"/>
      <c r="C9" s="2303"/>
      <c r="D9" s="2303"/>
      <c r="E9" s="2303"/>
      <c r="F9" s="2303"/>
      <c r="G9" s="2304"/>
    </row>
    <row r="10" spans="1:7" ht="15" customHeight="1" x14ac:dyDescent="0.25">
      <c r="A10" s="1559" t="s">
        <v>1927</v>
      </c>
      <c r="B10" s="1560"/>
      <c r="C10" s="1560"/>
      <c r="D10" s="1560"/>
      <c r="E10" s="1560"/>
      <c r="F10" s="1560"/>
      <c r="G10" s="1561"/>
    </row>
    <row r="11" spans="1:7" ht="17.25" customHeight="1" x14ac:dyDescent="0.25">
      <c r="A11" s="2302" t="s">
        <v>1940</v>
      </c>
      <c r="B11" s="2303"/>
      <c r="C11" s="2303"/>
      <c r="D11" s="2303"/>
      <c r="E11" s="2303"/>
      <c r="F11" s="2303"/>
      <c r="G11" s="2304"/>
    </row>
    <row r="12" spans="1:7" ht="15" customHeight="1" x14ac:dyDescent="0.25">
      <c r="A12" s="1559" t="s">
        <v>1932</v>
      </c>
      <c r="B12" s="1560"/>
      <c r="C12" s="1560"/>
      <c r="D12" s="1560"/>
      <c r="E12" s="1560"/>
      <c r="F12" s="1560"/>
      <c r="G12" s="1561"/>
    </row>
    <row r="13" spans="1:7" ht="32.25" customHeight="1" x14ac:dyDescent="0.25">
      <c r="A13" s="2293" t="s">
        <v>2134</v>
      </c>
      <c r="B13" s="2294"/>
      <c r="C13" s="2294"/>
      <c r="D13" s="2294"/>
      <c r="E13" s="2294"/>
      <c r="F13" s="2294"/>
      <c r="G13" s="2295"/>
    </row>
    <row r="14" spans="1:7" x14ac:dyDescent="0.25">
      <c r="A14" s="1683" t="s">
        <v>2135</v>
      </c>
      <c r="B14" s="1684"/>
      <c r="C14" s="1684"/>
      <c r="D14" s="1684"/>
      <c r="E14" s="1684"/>
      <c r="F14" s="1684"/>
      <c r="G14" s="1685"/>
    </row>
    <row r="15" spans="1:7" ht="61.5" customHeight="1" x14ac:dyDescent="0.25">
      <c r="A15" s="1568" t="s">
        <v>1933</v>
      </c>
      <c r="B15" s="1568" t="s">
        <v>1934</v>
      </c>
      <c r="C15" s="1568" t="s">
        <v>1935</v>
      </c>
      <c r="D15" s="1569" t="s">
        <v>1936</v>
      </c>
      <c r="E15" s="1569" t="s">
        <v>1928</v>
      </c>
      <c r="F15" s="1569" t="s">
        <v>1937</v>
      </c>
      <c r="G15" s="1569" t="s">
        <v>1938</v>
      </c>
    </row>
    <row r="16" spans="1:7" x14ac:dyDescent="0.25">
      <c r="A16" s="1670" t="s">
        <v>1941</v>
      </c>
      <c r="B16" s="1671" t="s">
        <v>1931</v>
      </c>
      <c r="C16" s="1672" t="s">
        <v>1929</v>
      </c>
      <c r="D16" s="1673">
        <v>500000</v>
      </c>
      <c r="E16" s="1673">
        <f>IF(D16&lt;=25000,D16,IF(D16&gt;25000,25000,0))</f>
        <v>25000</v>
      </c>
      <c r="F16" s="1673">
        <f t="shared" ref="F16:F18"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2093</v>
      </c>
      <c r="B17" s="1956" t="s">
        <v>2089</v>
      </c>
      <c r="C17" s="1957" t="s">
        <v>2091</v>
      </c>
      <c r="D17" s="1867">
        <v>165762</v>
      </c>
      <c r="E17" s="1562">
        <f t="shared" ref="E17:E18" si="1">IF(D17&lt;=25000,D17,IF(D17&gt;25000,25000,0))</f>
        <v>25000</v>
      </c>
      <c r="F17" s="1815">
        <f t="shared" si="0"/>
        <v>25000</v>
      </c>
      <c r="G17" s="1816">
        <f t="shared" ref="G17:G18" si="2">IF(F17=0,0,D17-F17)</f>
        <v>140762</v>
      </c>
      <c r="H17" s="1669"/>
    </row>
    <row r="18" spans="1:8" x14ac:dyDescent="0.25">
      <c r="A18" s="1955" t="s">
        <v>2092</v>
      </c>
      <c r="B18" s="1956" t="s">
        <v>2090</v>
      </c>
      <c r="C18" s="1957" t="s">
        <v>2094</v>
      </c>
      <c r="D18" s="1867">
        <v>36680</v>
      </c>
      <c r="E18" s="1562">
        <f t="shared" si="1"/>
        <v>25000</v>
      </c>
      <c r="F18" s="1815">
        <f t="shared" si="0"/>
        <v>25000</v>
      </c>
      <c r="G18" s="1816">
        <f t="shared" si="2"/>
        <v>11680</v>
      </c>
    </row>
    <row r="19" spans="1:8" x14ac:dyDescent="0.25">
      <c r="A19" s="1675"/>
      <c r="B19" s="1869"/>
      <c r="C19" s="1678"/>
      <c r="D19" s="1867"/>
      <c r="E19" s="1562">
        <f t="shared" ref="E19:E140" si="3">IF(D19&lt;=25000,D19,IF(D19&gt;25000,25000,0))</f>
        <v>0</v>
      </c>
      <c r="F19" s="1815">
        <f t="shared" ref="F19:F140" si="4">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6">
        <f t="shared" ref="G19:G140" si="5">IF(F19=0,0,D19-F19)</f>
        <v>0</v>
      </c>
    </row>
    <row r="20" spans="1:8" x14ac:dyDescent="0.25">
      <c r="A20" s="1675"/>
      <c r="B20" s="1868"/>
      <c r="C20" s="1678"/>
      <c r="D20" s="1867"/>
      <c r="E20" s="1562">
        <f t="shared" si="3"/>
        <v>0</v>
      </c>
      <c r="F20" s="1815">
        <f t="shared" si="4"/>
        <v>0</v>
      </c>
      <c r="G20" s="1816">
        <f t="shared" si="5"/>
        <v>0</v>
      </c>
    </row>
    <row r="21" spans="1:8" x14ac:dyDescent="0.25">
      <c r="A21" s="1675"/>
      <c r="B21" s="1868"/>
      <c r="C21" s="1678"/>
      <c r="D21" s="1867"/>
      <c r="E21" s="1562">
        <f t="shared" si="3"/>
        <v>0</v>
      </c>
      <c r="F21" s="1815">
        <f t="shared" si="4"/>
        <v>0</v>
      </c>
      <c r="G21" s="1816">
        <f t="shared" si="5"/>
        <v>0</v>
      </c>
    </row>
    <row r="22" spans="1:8" x14ac:dyDescent="0.25">
      <c r="A22" s="1675"/>
      <c r="B22" s="1868"/>
      <c r="C22" s="1678"/>
      <c r="D22" s="1867"/>
      <c r="E22" s="1562">
        <f t="shared" si="3"/>
        <v>0</v>
      </c>
      <c r="F22" s="1815">
        <f t="shared" si="4"/>
        <v>0</v>
      </c>
      <c r="G22" s="1816">
        <f t="shared" si="5"/>
        <v>0</v>
      </c>
    </row>
    <row r="23" spans="1:8" x14ac:dyDescent="0.25">
      <c r="A23" s="1675"/>
      <c r="B23" s="1868"/>
      <c r="C23" s="1678"/>
      <c r="D23" s="1867"/>
      <c r="E23" s="1562">
        <f t="shared" si="3"/>
        <v>0</v>
      </c>
      <c r="F23" s="1815">
        <f t="shared" si="4"/>
        <v>0</v>
      </c>
      <c r="G23" s="1816">
        <f t="shared" si="5"/>
        <v>0</v>
      </c>
    </row>
    <row r="24" spans="1:8" x14ac:dyDescent="0.25">
      <c r="A24" s="1675"/>
      <c r="B24" s="1869"/>
      <c r="C24" s="1678"/>
      <c r="D24" s="1867"/>
      <c r="E24" s="1562">
        <f t="shared" si="3"/>
        <v>0</v>
      </c>
      <c r="F24" s="1815">
        <f t="shared" si="4"/>
        <v>0</v>
      </c>
      <c r="G24" s="1816">
        <f t="shared" si="5"/>
        <v>0</v>
      </c>
    </row>
    <row r="25" spans="1:8" x14ac:dyDescent="0.25">
      <c r="A25" s="1675"/>
      <c r="B25" s="1868"/>
      <c r="C25" s="1678"/>
      <c r="D25" s="1867"/>
      <c r="E25" s="1562">
        <f t="shared" si="3"/>
        <v>0</v>
      </c>
      <c r="F25" s="1815">
        <f t="shared" si="4"/>
        <v>0</v>
      </c>
      <c r="G25" s="1816">
        <f t="shared" si="5"/>
        <v>0</v>
      </c>
    </row>
    <row r="26" spans="1:8" x14ac:dyDescent="0.25">
      <c r="A26" s="1675"/>
      <c r="B26" s="1869"/>
      <c r="C26" s="1676"/>
      <c r="D26" s="1867"/>
      <c r="E26" s="1562">
        <f t="shared" si="3"/>
        <v>0</v>
      </c>
      <c r="F26" s="1815">
        <f t="shared" si="4"/>
        <v>0</v>
      </c>
      <c r="G26" s="1816">
        <f t="shared" si="5"/>
        <v>0</v>
      </c>
    </row>
    <row r="27" spans="1:8" x14ac:dyDescent="0.25">
      <c r="A27" s="1675"/>
      <c r="B27" s="1869"/>
      <c r="C27" s="1676"/>
      <c r="D27" s="1867"/>
      <c r="E27" s="1562">
        <f t="shared" si="3"/>
        <v>0</v>
      </c>
      <c r="F27" s="1815">
        <f t="shared" si="4"/>
        <v>0</v>
      </c>
      <c r="G27" s="1816">
        <f t="shared" si="5"/>
        <v>0</v>
      </c>
    </row>
    <row r="28" spans="1:8" x14ac:dyDescent="0.25">
      <c r="A28" s="1675"/>
      <c r="B28" s="1869"/>
      <c r="C28" s="1676"/>
      <c r="D28" s="1867"/>
      <c r="E28" s="1562">
        <f t="shared" si="3"/>
        <v>0</v>
      </c>
      <c r="F28" s="1815">
        <f t="shared" si="4"/>
        <v>0</v>
      </c>
      <c r="G28" s="1816">
        <f t="shared" si="5"/>
        <v>0</v>
      </c>
    </row>
    <row r="29" spans="1:8" x14ac:dyDescent="0.25">
      <c r="A29" s="1675"/>
      <c r="B29" s="1869"/>
      <c r="C29" s="1676"/>
      <c r="D29" s="1867"/>
      <c r="E29" s="1562">
        <f t="shared" si="3"/>
        <v>0</v>
      </c>
      <c r="F29" s="1815">
        <f t="shared" si="4"/>
        <v>0</v>
      </c>
      <c r="G29" s="1816">
        <f t="shared" si="5"/>
        <v>0</v>
      </c>
    </row>
    <row r="30" spans="1:8" x14ac:dyDescent="0.25">
      <c r="A30" s="1675"/>
      <c r="B30" s="1869"/>
      <c r="C30" s="1676"/>
      <c r="D30" s="1867"/>
      <c r="E30" s="1562">
        <f t="shared" si="3"/>
        <v>0</v>
      </c>
      <c r="F30" s="1815">
        <f t="shared" si="4"/>
        <v>0</v>
      </c>
      <c r="G30" s="1816">
        <f t="shared" si="5"/>
        <v>0</v>
      </c>
    </row>
    <row r="31" spans="1:8" x14ac:dyDescent="0.25">
      <c r="A31" s="1675"/>
      <c r="B31" s="1869"/>
      <c r="C31" s="1676"/>
      <c r="D31" s="1867"/>
      <c r="E31" s="1562">
        <f t="shared" si="3"/>
        <v>0</v>
      </c>
      <c r="F31" s="1815">
        <f t="shared" si="4"/>
        <v>0</v>
      </c>
      <c r="G31" s="1816">
        <f t="shared" si="5"/>
        <v>0</v>
      </c>
    </row>
    <row r="32" spans="1:8" x14ac:dyDescent="0.25">
      <c r="A32" s="1675"/>
      <c r="B32" s="1869"/>
      <c r="C32" s="1676"/>
      <c r="D32" s="1867"/>
      <c r="E32" s="1562">
        <f t="shared" si="3"/>
        <v>0</v>
      </c>
      <c r="F32" s="1815">
        <f t="shared" si="4"/>
        <v>0</v>
      </c>
      <c r="G32" s="1816">
        <f t="shared" si="5"/>
        <v>0</v>
      </c>
    </row>
    <row r="33" spans="1:7" x14ac:dyDescent="0.25">
      <c r="A33" s="1675"/>
      <c r="B33" s="1869"/>
      <c r="C33" s="1676"/>
      <c r="D33" s="1867"/>
      <c r="E33" s="1562">
        <f t="shared" si="3"/>
        <v>0</v>
      </c>
      <c r="F33" s="1815">
        <f t="shared" si="4"/>
        <v>0</v>
      </c>
      <c r="G33" s="1816">
        <f t="shared" si="5"/>
        <v>0</v>
      </c>
    </row>
    <row r="34" spans="1:7" x14ac:dyDescent="0.25">
      <c r="A34" s="1675"/>
      <c r="B34" s="1869"/>
      <c r="C34" s="1676"/>
      <c r="D34" s="1867"/>
      <c r="E34" s="1562">
        <f t="shared" si="3"/>
        <v>0</v>
      </c>
      <c r="F34" s="1815">
        <f t="shared" si="4"/>
        <v>0</v>
      </c>
      <c r="G34" s="1816">
        <f t="shared" si="5"/>
        <v>0</v>
      </c>
    </row>
    <row r="35" spans="1:7" x14ac:dyDescent="0.25">
      <c r="A35" s="1675"/>
      <c r="B35" s="1869"/>
      <c r="C35" s="1676"/>
      <c r="D35" s="1867"/>
      <c r="E35" s="1562">
        <f t="shared" si="3"/>
        <v>0</v>
      </c>
      <c r="F35" s="1815">
        <f t="shared" si="4"/>
        <v>0</v>
      </c>
      <c r="G35" s="1816">
        <f t="shared" si="5"/>
        <v>0</v>
      </c>
    </row>
    <row r="36" spans="1:7" x14ac:dyDescent="0.25">
      <c r="A36" s="1675"/>
      <c r="B36" s="1869"/>
      <c r="C36" s="1676"/>
      <c r="D36" s="1867"/>
      <c r="E36" s="1562">
        <f t="shared" si="3"/>
        <v>0</v>
      </c>
      <c r="F36" s="1815">
        <f t="shared" si="4"/>
        <v>0</v>
      </c>
      <c r="G36" s="1816">
        <f t="shared" si="5"/>
        <v>0</v>
      </c>
    </row>
    <row r="37" spans="1:7" x14ac:dyDescent="0.25">
      <c r="A37" s="1675"/>
      <c r="B37" s="1869"/>
      <c r="C37" s="1676"/>
      <c r="D37" s="1867"/>
      <c r="E37" s="1562">
        <f t="shared" si="3"/>
        <v>0</v>
      </c>
      <c r="F37" s="1815">
        <f t="shared" si="4"/>
        <v>0</v>
      </c>
      <c r="G37" s="1816">
        <f t="shared" si="5"/>
        <v>0</v>
      </c>
    </row>
    <row r="38" spans="1:7" x14ac:dyDescent="0.25">
      <c r="A38" s="1675"/>
      <c r="B38" s="1689"/>
      <c r="C38" s="1676"/>
      <c r="D38" s="1867"/>
      <c r="E38" s="1562">
        <f t="shared" si="3"/>
        <v>0</v>
      </c>
      <c r="F38" s="1815">
        <f t="shared" si="4"/>
        <v>0</v>
      </c>
      <c r="G38" s="1816">
        <f t="shared" si="5"/>
        <v>0</v>
      </c>
    </row>
    <row r="39" spans="1:7" x14ac:dyDescent="0.25">
      <c r="A39" s="1675"/>
      <c r="B39" s="1689"/>
      <c r="C39" s="1676"/>
      <c r="D39" s="1867"/>
      <c r="E39" s="1562">
        <f t="shared" si="3"/>
        <v>0</v>
      </c>
      <c r="F39" s="1815">
        <f t="shared" si="4"/>
        <v>0</v>
      </c>
      <c r="G39" s="1816">
        <f t="shared" si="5"/>
        <v>0</v>
      </c>
    </row>
    <row r="40" spans="1:7" x14ac:dyDescent="0.25">
      <c r="A40" s="1675"/>
      <c r="B40" s="1689"/>
      <c r="C40" s="1676"/>
      <c r="D40" s="1867"/>
      <c r="E40" s="1562">
        <f t="shared" si="3"/>
        <v>0</v>
      </c>
      <c r="F40" s="1815">
        <f t="shared" si="4"/>
        <v>0</v>
      </c>
      <c r="G40" s="1816">
        <f t="shared" si="5"/>
        <v>0</v>
      </c>
    </row>
    <row r="41" spans="1:7" x14ac:dyDescent="0.25">
      <c r="A41" s="1675"/>
      <c r="B41" s="1689"/>
      <c r="C41" s="1676"/>
      <c r="D41" s="1867"/>
      <c r="E41" s="1562">
        <f t="shared" si="3"/>
        <v>0</v>
      </c>
      <c r="F41" s="1815">
        <f t="shared" si="4"/>
        <v>0</v>
      </c>
      <c r="G41" s="1816">
        <f t="shared" si="5"/>
        <v>0</v>
      </c>
    </row>
    <row r="42" spans="1:7" x14ac:dyDescent="0.25">
      <c r="A42" s="1675"/>
      <c r="B42" s="1689"/>
      <c r="C42" s="1676"/>
      <c r="D42" s="1867"/>
      <c r="E42" s="1562">
        <f t="shared" si="3"/>
        <v>0</v>
      </c>
      <c r="F42" s="1815">
        <f t="shared" si="4"/>
        <v>0</v>
      </c>
      <c r="G42" s="1816">
        <f t="shared" si="5"/>
        <v>0</v>
      </c>
    </row>
    <row r="43" spans="1:7" x14ac:dyDescent="0.25">
      <c r="A43" s="1675"/>
      <c r="B43" s="1689"/>
      <c r="C43" s="1676"/>
      <c r="D43" s="1867"/>
      <c r="E43" s="1562">
        <f t="shared" si="3"/>
        <v>0</v>
      </c>
      <c r="F43" s="1815">
        <f t="shared" si="4"/>
        <v>0</v>
      </c>
      <c r="G43" s="1816">
        <f t="shared" si="5"/>
        <v>0</v>
      </c>
    </row>
    <row r="44" spans="1:7" x14ac:dyDescent="0.25">
      <c r="A44" s="1675"/>
      <c r="B44" s="1689"/>
      <c r="C44" s="1676"/>
      <c r="D44" s="1867"/>
      <c r="E44" s="1562">
        <f t="shared" si="3"/>
        <v>0</v>
      </c>
      <c r="F44" s="1815">
        <f t="shared" si="4"/>
        <v>0</v>
      </c>
      <c r="G44" s="1816">
        <f t="shared" si="5"/>
        <v>0</v>
      </c>
    </row>
    <row r="45" spans="1:7" x14ac:dyDescent="0.25">
      <c r="A45" s="1675"/>
      <c r="B45" s="1689"/>
      <c r="C45" s="1676"/>
      <c r="D45" s="1867"/>
      <c r="E45" s="1562">
        <f t="shared" si="3"/>
        <v>0</v>
      </c>
      <c r="F45" s="1815">
        <f t="shared" si="4"/>
        <v>0</v>
      </c>
      <c r="G45" s="1816">
        <f t="shared" si="5"/>
        <v>0</v>
      </c>
    </row>
    <row r="46" spans="1:7" x14ac:dyDescent="0.25">
      <c r="A46" s="1675"/>
      <c r="B46" s="1689"/>
      <c r="C46" s="1676"/>
      <c r="D46" s="1867"/>
      <c r="E46" s="1562">
        <f t="shared" si="3"/>
        <v>0</v>
      </c>
      <c r="F46" s="1815">
        <f t="shared" si="4"/>
        <v>0</v>
      </c>
      <c r="G46" s="1816">
        <f t="shared" si="5"/>
        <v>0</v>
      </c>
    </row>
    <row r="47" spans="1:7" x14ac:dyDescent="0.25">
      <c r="A47" s="1675"/>
      <c r="B47" s="1689"/>
      <c r="C47" s="1676"/>
      <c r="D47" s="1867"/>
      <c r="E47" s="1562">
        <f t="shared" si="3"/>
        <v>0</v>
      </c>
      <c r="F47" s="1815">
        <f t="shared" si="4"/>
        <v>0</v>
      </c>
      <c r="G47" s="1816">
        <f t="shared" si="5"/>
        <v>0</v>
      </c>
    </row>
    <row r="48" spans="1:7" x14ac:dyDescent="0.25">
      <c r="A48" s="1675"/>
      <c r="B48" s="1689"/>
      <c r="C48" s="1676"/>
      <c r="D48" s="1867"/>
      <c r="E48" s="1562">
        <f t="shared" si="3"/>
        <v>0</v>
      </c>
      <c r="F48" s="1815">
        <f t="shared" si="4"/>
        <v>0</v>
      </c>
      <c r="G48" s="1816">
        <f t="shared" si="5"/>
        <v>0</v>
      </c>
    </row>
    <row r="49" spans="1:7" x14ac:dyDescent="0.25">
      <c r="A49" s="1675"/>
      <c r="B49" s="1689"/>
      <c r="C49" s="1676"/>
      <c r="D49" s="1867"/>
      <c r="E49" s="1562">
        <f t="shared" si="3"/>
        <v>0</v>
      </c>
      <c r="F49" s="1815">
        <f t="shared" si="4"/>
        <v>0</v>
      </c>
      <c r="G49" s="1816">
        <f t="shared" si="5"/>
        <v>0</v>
      </c>
    </row>
    <row r="50" spans="1:7" x14ac:dyDescent="0.25">
      <c r="A50" s="1675"/>
      <c r="B50" s="1689"/>
      <c r="C50" s="1676"/>
      <c r="D50" s="1867"/>
      <c r="E50" s="1562">
        <f t="shared" si="3"/>
        <v>0</v>
      </c>
      <c r="F50" s="1815">
        <f t="shared" si="4"/>
        <v>0</v>
      </c>
      <c r="G50" s="1816">
        <f t="shared" si="5"/>
        <v>0</v>
      </c>
    </row>
    <row r="51" spans="1:7" x14ac:dyDescent="0.25">
      <c r="A51" s="1675"/>
      <c r="B51" s="1689"/>
      <c r="C51" s="1676"/>
      <c r="D51" s="1867"/>
      <c r="E51" s="1562">
        <f t="shared" si="3"/>
        <v>0</v>
      </c>
      <c r="F51" s="1815">
        <f t="shared" si="4"/>
        <v>0</v>
      </c>
      <c r="G51" s="1816">
        <f t="shared" si="5"/>
        <v>0</v>
      </c>
    </row>
    <row r="52" spans="1:7" x14ac:dyDescent="0.25">
      <c r="A52" s="1675"/>
      <c r="B52" s="1689"/>
      <c r="C52" s="1676"/>
      <c r="D52" s="1867"/>
      <c r="E52" s="1562">
        <f t="shared" si="3"/>
        <v>0</v>
      </c>
      <c r="F52" s="1815">
        <f t="shared" si="4"/>
        <v>0</v>
      </c>
      <c r="G52" s="1816">
        <f t="shared" si="5"/>
        <v>0</v>
      </c>
    </row>
    <row r="53" spans="1:7" x14ac:dyDescent="0.25">
      <c r="A53" s="1675"/>
      <c r="B53" s="1689"/>
      <c r="C53" s="1676"/>
      <c r="D53" s="1867"/>
      <c r="E53" s="1562">
        <f t="shared" si="3"/>
        <v>0</v>
      </c>
      <c r="F53" s="1815">
        <f t="shared" si="4"/>
        <v>0</v>
      </c>
      <c r="G53" s="1816">
        <f t="shared" si="5"/>
        <v>0</v>
      </c>
    </row>
    <row r="54" spans="1:7" x14ac:dyDescent="0.25">
      <c r="A54" s="1675"/>
      <c r="B54" s="1689"/>
      <c r="C54" s="1676"/>
      <c r="D54" s="1867"/>
      <c r="E54" s="1562">
        <f t="shared" si="3"/>
        <v>0</v>
      </c>
      <c r="F54" s="1815">
        <f t="shared" si="4"/>
        <v>0</v>
      </c>
      <c r="G54" s="1816">
        <f t="shared" si="5"/>
        <v>0</v>
      </c>
    </row>
    <row r="55" spans="1:7" x14ac:dyDescent="0.25">
      <c r="A55" s="1675"/>
      <c r="B55" s="1689"/>
      <c r="C55" s="1676"/>
      <c r="D55" s="1867"/>
      <c r="E55" s="1562">
        <f t="shared" si="3"/>
        <v>0</v>
      </c>
      <c r="F55" s="1815">
        <f t="shared" si="4"/>
        <v>0</v>
      </c>
      <c r="G55" s="1816">
        <f t="shared" si="5"/>
        <v>0</v>
      </c>
    </row>
    <row r="56" spans="1:7" x14ac:dyDescent="0.25">
      <c r="A56" s="1675"/>
      <c r="B56" s="1689"/>
      <c r="C56" s="1676"/>
      <c r="D56" s="1867"/>
      <c r="E56" s="1562">
        <f t="shared" si="3"/>
        <v>0</v>
      </c>
      <c r="F56" s="1815">
        <f t="shared" si="4"/>
        <v>0</v>
      </c>
      <c r="G56" s="1816">
        <f t="shared" si="5"/>
        <v>0</v>
      </c>
    </row>
    <row r="57" spans="1:7" x14ac:dyDescent="0.25">
      <c r="A57" s="1675"/>
      <c r="B57" s="1689"/>
      <c r="C57" s="1676"/>
      <c r="D57" s="1867"/>
      <c r="E57" s="1562">
        <f t="shared" si="3"/>
        <v>0</v>
      </c>
      <c r="F57" s="1815">
        <f t="shared" si="4"/>
        <v>0</v>
      </c>
      <c r="G57" s="1816">
        <f t="shared" si="5"/>
        <v>0</v>
      </c>
    </row>
    <row r="58" spans="1:7" ht="16.5" customHeight="1" x14ac:dyDescent="0.25">
      <c r="A58" s="1955"/>
      <c r="B58" s="1956"/>
      <c r="C58" s="1957"/>
      <c r="D58" s="1867"/>
      <c r="E58" s="1562">
        <f t="shared" si="3"/>
        <v>0</v>
      </c>
      <c r="F58" s="1815">
        <f t="shared" si="4"/>
        <v>0</v>
      </c>
      <c r="G58" s="1816">
        <f t="shared" si="5"/>
        <v>0</v>
      </c>
    </row>
    <row r="59" spans="1:7" x14ac:dyDescent="0.25">
      <c r="A59" s="1955"/>
      <c r="B59" s="1956"/>
      <c r="C59" s="1957"/>
      <c r="D59" s="1867"/>
      <c r="E59" s="1562">
        <f t="shared" si="3"/>
        <v>0</v>
      </c>
      <c r="F59" s="1815">
        <f t="shared" si="4"/>
        <v>0</v>
      </c>
      <c r="G59" s="1816">
        <f t="shared" si="5"/>
        <v>0</v>
      </c>
    </row>
    <row r="60" spans="1:7" x14ac:dyDescent="0.25">
      <c r="A60" s="1675"/>
      <c r="B60" s="1689"/>
      <c r="C60" s="1676"/>
      <c r="D60" s="1867"/>
      <c r="E60" s="1562">
        <f t="shared" si="3"/>
        <v>0</v>
      </c>
      <c r="F60" s="1815">
        <f t="shared" si="4"/>
        <v>0</v>
      </c>
      <c r="G60" s="1816">
        <f t="shared" si="5"/>
        <v>0</v>
      </c>
    </row>
    <row r="61" spans="1:7" x14ac:dyDescent="0.25">
      <c r="A61" s="1675"/>
      <c r="B61" s="1689"/>
      <c r="C61" s="1676"/>
      <c r="D61" s="1867"/>
      <c r="E61" s="1562">
        <f t="shared" si="3"/>
        <v>0</v>
      </c>
      <c r="F61" s="1815">
        <f t="shared" si="4"/>
        <v>0</v>
      </c>
      <c r="G61" s="1816">
        <f t="shared" si="5"/>
        <v>0</v>
      </c>
    </row>
    <row r="62" spans="1:7" x14ac:dyDescent="0.25">
      <c r="A62" s="1675"/>
      <c r="B62" s="1689"/>
      <c r="C62" s="1676"/>
      <c r="D62" s="1867"/>
      <c r="E62" s="1562">
        <f t="shared" si="3"/>
        <v>0</v>
      </c>
      <c r="F62" s="1815">
        <f t="shared" si="4"/>
        <v>0</v>
      </c>
      <c r="G62" s="1816">
        <f t="shared" si="5"/>
        <v>0</v>
      </c>
    </row>
    <row r="63" spans="1:7" x14ac:dyDescent="0.25">
      <c r="A63" s="1675"/>
      <c r="B63" s="1689"/>
      <c r="C63" s="1676"/>
      <c r="D63" s="1867"/>
      <c r="E63" s="1562">
        <f t="shared" si="3"/>
        <v>0</v>
      </c>
      <c r="F63" s="1815">
        <f t="shared" si="4"/>
        <v>0</v>
      </c>
      <c r="G63" s="1816">
        <f t="shared" si="5"/>
        <v>0</v>
      </c>
    </row>
    <row r="64" spans="1:7" x14ac:dyDescent="0.25">
      <c r="A64" s="1677"/>
      <c r="B64" s="1689"/>
      <c r="C64" s="1678"/>
      <c r="D64" s="1867"/>
      <c r="E64" s="1562">
        <f t="shared" si="3"/>
        <v>0</v>
      </c>
      <c r="F64" s="1815">
        <f t="shared" si="4"/>
        <v>0</v>
      </c>
      <c r="G64" s="1816">
        <f t="shared" si="5"/>
        <v>0</v>
      </c>
    </row>
    <row r="65" spans="1:7" x14ac:dyDescent="0.25">
      <c r="A65" s="1675"/>
      <c r="B65" s="1689"/>
      <c r="C65" s="1676"/>
      <c r="D65" s="1867"/>
      <c r="E65" s="1562">
        <f t="shared" si="3"/>
        <v>0</v>
      </c>
      <c r="F65" s="1815">
        <f t="shared" si="4"/>
        <v>0</v>
      </c>
      <c r="G65" s="1816">
        <f t="shared" si="5"/>
        <v>0</v>
      </c>
    </row>
    <row r="66" spans="1:7" x14ac:dyDescent="0.25">
      <c r="A66" s="1675"/>
      <c r="B66" s="1689"/>
      <c r="C66" s="1676"/>
      <c r="D66" s="1867"/>
      <c r="E66" s="1562">
        <f t="shared" si="3"/>
        <v>0</v>
      </c>
      <c r="F66" s="1815">
        <f t="shared" si="4"/>
        <v>0</v>
      </c>
      <c r="G66" s="1816">
        <f t="shared" si="5"/>
        <v>0</v>
      </c>
    </row>
    <row r="67" spans="1:7" x14ac:dyDescent="0.25">
      <c r="A67" s="1675"/>
      <c r="B67" s="1689"/>
      <c r="C67" s="1676"/>
      <c r="D67" s="1867"/>
      <c r="E67" s="1562">
        <f t="shared" si="3"/>
        <v>0</v>
      </c>
      <c r="F67" s="1815">
        <f t="shared" si="4"/>
        <v>0</v>
      </c>
      <c r="G67" s="1816">
        <f t="shared" si="5"/>
        <v>0</v>
      </c>
    </row>
    <row r="68" spans="1:7" x14ac:dyDescent="0.25">
      <c r="A68" s="1675"/>
      <c r="B68" s="1689"/>
      <c r="C68" s="1676"/>
      <c r="D68" s="1867"/>
      <c r="E68" s="1562">
        <f t="shared" si="3"/>
        <v>0</v>
      </c>
      <c r="F68" s="1815">
        <f t="shared" si="4"/>
        <v>0</v>
      </c>
      <c r="G68" s="1816">
        <f t="shared" si="5"/>
        <v>0</v>
      </c>
    </row>
    <row r="69" spans="1:7" x14ac:dyDescent="0.25">
      <c r="A69" s="1675"/>
      <c r="B69" s="1689"/>
      <c r="C69" s="1676"/>
      <c r="D69" s="1867"/>
      <c r="E69" s="1562">
        <f t="shared" si="3"/>
        <v>0</v>
      </c>
      <c r="F69" s="1815">
        <f t="shared" si="4"/>
        <v>0</v>
      </c>
      <c r="G69" s="1816">
        <f t="shared" si="5"/>
        <v>0</v>
      </c>
    </row>
    <row r="70" spans="1:7" x14ac:dyDescent="0.25">
      <c r="A70" s="1675"/>
      <c r="B70" s="1689"/>
      <c r="C70" s="1676"/>
      <c r="D70" s="1867"/>
      <c r="E70" s="1562">
        <f t="shared" si="3"/>
        <v>0</v>
      </c>
      <c r="F70" s="1815">
        <f t="shared" si="4"/>
        <v>0</v>
      </c>
      <c r="G70" s="1816">
        <f t="shared" si="5"/>
        <v>0</v>
      </c>
    </row>
    <row r="71" spans="1:7" x14ac:dyDescent="0.25">
      <c r="A71" s="1675"/>
      <c r="B71" s="1689"/>
      <c r="C71" s="1676"/>
      <c r="D71" s="1867"/>
      <c r="E71" s="1562">
        <f t="shared" si="3"/>
        <v>0</v>
      </c>
      <c r="F71" s="1815">
        <f t="shared" si="4"/>
        <v>0</v>
      </c>
      <c r="G71" s="1816">
        <f t="shared" si="5"/>
        <v>0</v>
      </c>
    </row>
    <row r="72" spans="1:7" x14ac:dyDescent="0.25">
      <c r="A72" s="1675"/>
      <c r="B72" s="1689"/>
      <c r="C72" s="1676"/>
      <c r="D72" s="1867"/>
      <c r="E72" s="1562">
        <f t="shared" si="3"/>
        <v>0</v>
      </c>
      <c r="F72" s="1815">
        <f t="shared" si="4"/>
        <v>0</v>
      </c>
      <c r="G72" s="1816">
        <f t="shared" si="5"/>
        <v>0</v>
      </c>
    </row>
    <row r="73" spans="1:7" x14ac:dyDescent="0.25">
      <c r="A73" s="1675"/>
      <c r="B73" s="1689"/>
      <c r="C73" s="1676"/>
      <c r="D73" s="1867"/>
      <c r="E73" s="1562">
        <f t="shared" ref="E73:E84" si="6">IF(D73&lt;=25000,D73,IF(D73&gt;25000,25000,0))</f>
        <v>0</v>
      </c>
      <c r="F73" s="1815">
        <f t="shared" ref="F73:F84" si="7">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8">IF(F73=0,0,D73-F73)</f>
        <v>0</v>
      </c>
    </row>
    <row r="74" spans="1:7" x14ac:dyDescent="0.25">
      <c r="A74" s="1675"/>
      <c r="B74" s="1689"/>
      <c r="C74" s="1676"/>
      <c r="D74" s="1867"/>
      <c r="E74" s="1562">
        <f t="shared" si="6"/>
        <v>0</v>
      </c>
      <c r="F74" s="1815">
        <f t="shared" si="7"/>
        <v>0</v>
      </c>
      <c r="G74" s="1816">
        <f t="shared" si="8"/>
        <v>0</v>
      </c>
    </row>
    <row r="75" spans="1:7" x14ac:dyDescent="0.25">
      <c r="A75" s="1675"/>
      <c r="B75" s="1689"/>
      <c r="C75" s="1676"/>
      <c r="D75" s="1867"/>
      <c r="E75" s="1562">
        <f t="shared" si="6"/>
        <v>0</v>
      </c>
      <c r="F75" s="1815">
        <f t="shared" si="7"/>
        <v>0</v>
      </c>
      <c r="G75" s="1816">
        <f t="shared" si="8"/>
        <v>0</v>
      </c>
    </row>
    <row r="76" spans="1:7" x14ac:dyDescent="0.25">
      <c r="A76" s="1675"/>
      <c r="B76" s="1689"/>
      <c r="C76" s="1676"/>
      <c r="D76" s="1867"/>
      <c r="E76" s="1562">
        <f t="shared" si="6"/>
        <v>0</v>
      </c>
      <c r="F76" s="1815">
        <f t="shared" si="7"/>
        <v>0</v>
      </c>
      <c r="G76" s="1816">
        <f t="shared" si="8"/>
        <v>0</v>
      </c>
    </row>
    <row r="77" spans="1:7" x14ac:dyDescent="0.25">
      <c r="A77" s="1675"/>
      <c r="B77" s="1689"/>
      <c r="C77" s="1676"/>
      <c r="D77" s="1867"/>
      <c r="E77" s="1562">
        <f t="shared" si="6"/>
        <v>0</v>
      </c>
      <c r="F77" s="1815">
        <f t="shared" si="7"/>
        <v>0</v>
      </c>
      <c r="G77" s="1816">
        <f t="shared" si="8"/>
        <v>0</v>
      </c>
    </row>
    <row r="78" spans="1:7" x14ac:dyDescent="0.25">
      <c r="A78" s="1675"/>
      <c r="B78" s="1689"/>
      <c r="C78" s="1676"/>
      <c r="D78" s="1867"/>
      <c r="E78" s="1562">
        <f t="shared" si="6"/>
        <v>0</v>
      </c>
      <c r="F78" s="1815">
        <f t="shared" si="7"/>
        <v>0</v>
      </c>
      <c r="G78" s="1816">
        <f t="shared" si="8"/>
        <v>0</v>
      </c>
    </row>
    <row r="79" spans="1:7" x14ac:dyDescent="0.25">
      <c r="A79" s="1675"/>
      <c r="B79" s="1689"/>
      <c r="C79" s="1676"/>
      <c r="D79" s="1867"/>
      <c r="E79" s="1562">
        <f t="shared" si="6"/>
        <v>0</v>
      </c>
      <c r="F79" s="1815">
        <f t="shared" si="7"/>
        <v>0</v>
      </c>
      <c r="G79" s="1816">
        <f t="shared" si="8"/>
        <v>0</v>
      </c>
    </row>
    <row r="80" spans="1:7" x14ac:dyDescent="0.25">
      <c r="A80" s="1675"/>
      <c r="B80" s="1689"/>
      <c r="C80" s="1676"/>
      <c r="D80" s="1867"/>
      <c r="E80" s="1562">
        <f t="shared" si="6"/>
        <v>0</v>
      </c>
      <c r="F80" s="1815">
        <f t="shared" si="7"/>
        <v>0</v>
      </c>
      <c r="G80" s="1816">
        <f t="shared" si="8"/>
        <v>0</v>
      </c>
    </row>
    <row r="81" spans="1:7" x14ac:dyDescent="0.25">
      <c r="A81" s="1675"/>
      <c r="B81" s="1689"/>
      <c r="C81" s="1676"/>
      <c r="D81" s="1867"/>
      <c r="E81" s="1562">
        <f t="shared" si="6"/>
        <v>0</v>
      </c>
      <c r="F81" s="1815">
        <f t="shared" si="7"/>
        <v>0</v>
      </c>
      <c r="G81" s="1816">
        <f t="shared" si="8"/>
        <v>0</v>
      </c>
    </row>
    <row r="82" spans="1:7" x14ac:dyDescent="0.25">
      <c r="A82" s="1675"/>
      <c r="B82" s="1689"/>
      <c r="C82" s="1676"/>
      <c r="D82" s="1867"/>
      <c r="E82" s="1562">
        <f t="shared" si="6"/>
        <v>0</v>
      </c>
      <c r="F82" s="1815">
        <f t="shared" si="7"/>
        <v>0</v>
      </c>
      <c r="G82" s="1816">
        <f t="shared" si="8"/>
        <v>0</v>
      </c>
    </row>
    <row r="83" spans="1:7" x14ac:dyDescent="0.25">
      <c r="A83" s="1675"/>
      <c r="B83" s="1689"/>
      <c r="C83" s="1676"/>
      <c r="D83" s="1867"/>
      <c r="E83" s="1562">
        <f t="shared" si="6"/>
        <v>0</v>
      </c>
      <c r="F83" s="1815">
        <f t="shared" si="7"/>
        <v>0</v>
      </c>
      <c r="G83" s="1816">
        <f t="shared" si="8"/>
        <v>0</v>
      </c>
    </row>
    <row r="84" spans="1:7" x14ac:dyDescent="0.25">
      <c r="A84" s="1675"/>
      <c r="B84" s="1689"/>
      <c r="C84" s="1676"/>
      <c r="D84" s="1867"/>
      <c r="E84" s="1562">
        <f t="shared" si="6"/>
        <v>0</v>
      </c>
      <c r="F84" s="1815">
        <f t="shared" si="7"/>
        <v>0</v>
      </c>
      <c r="G84" s="1816">
        <f t="shared" si="8"/>
        <v>0</v>
      </c>
    </row>
    <row r="85" spans="1:7" x14ac:dyDescent="0.25">
      <c r="A85" s="1675"/>
      <c r="B85" s="1689"/>
      <c r="C85" s="1676"/>
      <c r="D85" s="1867"/>
      <c r="E85" s="1562">
        <f t="shared" si="3"/>
        <v>0</v>
      </c>
      <c r="F85" s="1815">
        <f t="shared" si="4"/>
        <v>0</v>
      </c>
      <c r="G85" s="1816">
        <f t="shared" si="5"/>
        <v>0</v>
      </c>
    </row>
    <row r="86" spans="1:7" x14ac:dyDescent="0.25">
      <c r="A86" s="1675"/>
      <c r="B86" s="1689"/>
      <c r="C86" s="1676"/>
      <c r="D86" s="1867"/>
      <c r="E86" s="1562">
        <f t="shared" si="3"/>
        <v>0</v>
      </c>
      <c r="F86" s="1815">
        <f t="shared" si="4"/>
        <v>0</v>
      </c>
      <c r="G86" s="1816">
        <f t="shared" si="5"/>
        <v>0</v>
      </c>
    </row>
    <row r="87" spans="1:7" x14ac:dyDescent="0.25">
      <c r="A87" s="1675"/>
      <c r="B87" s="1689"/>
      <c r="C87" s="1676"/>
      <c r="D87" s="1867"/>
      <c r="E87" s="1562">
        <f t="shared" si="3"/>
        <v>0</v>
      </c>
      <c r="F87" s="1815">
        <f t="shared" si="4"/>
        <v>0</v>
      </c>
      <c r="G87" s="1816">
        <f t="shared" si="5"/>
        <v>0</v>
      </c>
    </row>
    <row r="88" spans="1:7" x14ac:dyDescent="0.25">
      <c r="A88" s="1675"/>
      <c r="B88" s="1689"/>
      <c r="C88" s="1676"/>
      <c r="D88" s="1867"/>
      <c r="E88" s="1562">
        <f t="shared" si="3"/>
        <v>0</v>
      </c>
      <c r="F88" s="1815">
        <f t="shared" si="4"/>
        <v>0</v>
      </c>
      <c r="G88" s="1816">
        <f t="shared" si="5"/>
        <v>0</v>
      </c>
    </row>
    <row r="89" spans="1:7" x14ac:dyDescent="0.25">
      <c r="A89" s="1675"/>
      <c r="B89" s="1689"/>
      <c r="C89" s="1676"/>
      <c r="D89" s="1867"/>
      <c r="E89" s="1562">
        <f t="shared" si="3"/>
        <v>0</v>
      </c>
      <c r="F89" s="1815">
        <f t="shared" si="4"/>
        <v>0</v>
      </c>
      <c r="G89" s="1816">
        <f t="shared" si="5"/>
        <v>0</v>
      </c>
    </row>
    <row r="90" spans="1:7" x14ac:dyDescent="0.25">
      <c r="A90" s="1675"/>
      <c r="B90" s="1689"/>
      <c r="C90" s="1676"/>
      <c r="D90" s="1867"/>
      <c r="E90" s="1562">
        <f t="shared" si="3"/>
        <v>0</v>
      </c>
      <c r="F90" s="1815">
        <f t="shared" si="4"/>
        <v>0</v>
      </c>
      <c r="G90" s="1816">
        <f t="shared" si="5"/>
        <v>0</v>
      </c>
    </row>
    <row r="91" spans="1:7" x14ac:dyDescent="0.25">
      <c r="A91" s="1675"/>
      <c r="B91" s="1689"/>
      <c r="C91" s="1676"/>
      <c r="D91" s="1867"/>
      <c r="E91" s="1562">
        <f t="shared" si="3"/>
        <v>0</v>
      </c>
      <c r="F91" s="1815">
        <f t="shared" si="4"/>
        <v>0</v>
      </c>
      <c r="G91" s="1816">
        <f t="shared" si="5"/>
        <v>0</v>
      </c>
    </row>
    <row r="92" spans="1:7" x14ac:dyDescent="0.25">
      <c r="A92" s="1675"/>
      <c r="B92" s="1689"/>
      <c r="C92" s="1676"/>
      <c r="D92" s="1867"/>
      <c r="E92" s="1562">
        <f t="shared" si="3"/>
        <v>0</v>
      </c>
      <c r="F92" s="1815">
        <f t="shared" si="4"/>
        <v>0</v>
      </c>
      <c r="G92" s="1816">
        <f t="shared" si="5"/>
        <v>0</v>
      </c>
    </row>
    <row r="93" spans="1:7" x14ac:dyDescent="0.25">
      <c r="A93" s="1675"/>
      <c r="B93" s="1689"/>
      <c r="C93" s="1676"/>
      <c r="D93" s="1867"/>
      <c r="E93" s="1562">
        <f t="shared" ref="E93" si="9">IF(D93&lt;=25000,D93,IF(D93&gt;25000,25000,0))</f>
        <v>0</v>
      </c>
      <c r="F93" s="1815">
        <f t="shared" ref="F93" si="10">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1">IF(F93=0,0,D93-F93)</f>
        <v>0</v>
      </c>
    </row>
    <row r="94" spans="1:7" x14ac:dyDescent="0.25">
      <c r="A94" s="1675"/>
      <c r="B94" s="1689"/>
      <c r="C94" s="1676"/>
      <c r="D94" s="1867"/>
      <c r="E94" s="1562">
        <f t="shared" si="3"/>
        <v>0</v>
      </c>
      <c r="F94" s="1815">
        <f t="shared" si="4"/>
        <v>0</v>
      </c>
      <c r="G94" s="1816">
        <f t="shared" si="5"/>
        <v>0</v>
      </c>
    </row>
    <row r="95" spans="1:7" x14ac:dyDescent="0.25">
      <c r="A95" s="1675"/>
      <c r="B95" s="1689"/>
      <c r="C95" s="1676"/>
      <c r="D95" s="1867"/>
      <c r="E95" s="1562">
        <f t="shared" ref="E95:E98" si="12">IF(D95&lt;=25000,D95,IF(D95&gt;25000,25000,0))</f>
        <v>0</v>
      </c>
      <c r="F95" s="1815">
        <f t="shared" ref="F95:F98" si="13">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4">IF(F95=0,0,D95-F95)</f>
        <v>0</v>
      </c>
    </row>
    <row r="96" spans="1:7" x14ac:dyDescent="0.25">
      <c r="A96" s="1675"/>
      <c r="B96" s="1689"/>
      <c r="C96" s="1676"/>
      <c r="D96" s="1867"/>
      <c r="E96" s="1562">
        <f t="shared" si="12"/>
        <v>0</v>
      </c>
      <c r="F96" s="1815">
        <f t="shared" si="13"/>
        <v>0</v>
      </c>
      <c r="G96" s="1816">
        <f t="shared" si="14"/>
        <v>0</v>
      </c>
    </row>
    <row r="97" spans="1:7" x14ac:dyDescent="0.25">
      <c r="A97" s="1675"/>
      <c r="B97" s="1689"/>
      <c r="C97" s="1676"/>
      <c r="D97" s="1867"/>
      <c r="E97" s="1562">
        <f t="shared" si="12"/>
        <v>0</v>
      </c>
      <c r="F97" s="1815">
        <f t="shared" si="13"/>
        <v>0</v>
      </c>
      <c r="G97" s="1816">
        <f t="shared" si="14"/>
        <v>0</v>
      </c>
    </row>
    <row r="98" spans="1:7" x14ac:dyDescent="0.25">
      <c r="A98" s="1675"/>
      <c r="B98" s="1689"/>
      <c r="C98" s="1676"/>
      <c r="D98" s="1867"/>
      <c r="E98" s="1562">
        <f t="shared" si="12"/>
        <v>0</v>
      </c>
      <c r="F98" s="1815">
        <f t="shared" si="13"/>
        <v>0</v>
      </c>
      <c r="G98" s="1816">
        <f t="shared" si="14"/>
        <v>0</v>
      </c>
    </row>
    <row r="99" spans="1:7" x14ac:dyDescent="0.25">
      <c r="A99" s="1675"/>
      <c r="B99" s="1689"/>
      <c r="C99" s="1676"/>
      <c r="D99" s="1867"/>
      <c r="E99" s="1562">
        <f t="shared" ref="E99" si="15">IF(D99&lt;=25000,D99,IF(D99&gt;25000,25000,0))</f>
        <v>0</v>
      </c>
      <c r="F99" s="1815">
        <f t="shared" ref="F99" si="16">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7">IF(F99=0,0,D99-F99)</f>
        <v>0</v>
      </c>
    </row>
    <row r="100" spans="1:7" x14ac:dyDescent="0.25">
      <c r="A100" s="1675"/>
      <c r="B100" s="1689"/>
      <c r="C100" s="1676"/>
      <c r="D100" s="1867"/>
      <c r="E100" s="1562">
        <f t="shared" ref="E100:E112" si="18">IF(D100&lt;=25000,D100,IF(D100&gt;25000,25000,0))</f>
        <v>0</v>
      </c>
      <c r="F100" s="1815">
        <f t="shared" ref="F100:F112" si="19">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20">IF(F100=0,0,D100-F100)</f>
        <v>0</v>
      </c>
    </row>
    <row r="101" spans="1:7" x14ac:dyDescent="0.25">
      <c r="A101" s="1675"/>
      <c r="B101" s="1689"/>
      <c r="C101" s="1676"/>
      <c r="D101" s="1867"/>
      <c r="E101" s="1562">
        <f t="shared" si="18"/>
        <v>0</v>
      </c>
      <c r="F101" s="1815">
        <f t="shared" si="19"/>
        <v>0</v>
      </c>
      <c r="G101" s="1816">
        <f t="shared" si="20"/>
        <v>0</v>
      </c>
    </row>
    <row r="102" spans="1:7" x14ac:dyDescent="0.25">
      <c r="A102" s="1675"/>
      <c r="B102" s="1689"/>
      <c r="C102" s="1676"/>
      <c r="D102" s="1867"/>
      <c r="E102" s="1562">
        <f t="shared" si="18"/>
        <v>0</v>
      </c>
      <c r="F102" s="1815">
        <f t="shared" si="19"/>
        <v>0</v>
      </c>
      <c r="G102" s="1816">
        <f t="shared" si="20"/>
        <v>0</v>
      </c>
    </row>
    <row r="103" spans="1:7" x14ac:dyDescent="0.25">
      <c r="A103" s="1675"/>
      <c r="B103" s="1689"/>
      <c r="C103" s="1676"/>
      <c r="D103" s="1867"/>
      <c r="E103" s="1562">
        <f t="shared" si="18"/>
        <v>0</v>
      </c>
      <c r="F103" s="1815">
        <f t="shared" si="19"/>
        <v>0</v>
      </c>
      <c r="G103" s="1816">
        <f t="shared" si="20"/>
        <v>0</v>
      </c>
    </row>
    <row r="104" spans="1:7" x14ac:dyDescent="0.25">
      <c r="A104" s="1675"/>
      <c r="B104" s="1689"/>
      <c r="C104" s="1676"/>
      <c r="D104" s="1867"/>
      <c r="E104" s="1562">
        <f t="shared" si="18"/>
        <v>0</v>
      </c>
      <c r="F104" s="1815">
        <f t="shared" si="19"/>
        <v>0</v>
      </c>
      <c r="G104" s="1816">
        <f t="shared" si="20"/>
        <v>0</v>
      </c>
    </row>
    <row r="105" spans="1:7" x14ac:dyDescent="0.25">
      <c r="A105" s="1675"/>
      <c r="B105" s="1689"/>
      <c r="C105" s="1676"/>
      <c r="D105" s="1867"/>
      <c r="E105" s="1562">
        <f t="shared" si="18"/>
        <v>0</v>
      </c>
      <c r="F105" s="1815">
        <f t="shared" si="19"/>
        <v>0</v>
      </c>
      <c r="G105" s="1816">
        <f t="shared" si="20"/>
        <v>0</v>
      </c>
    </row>
    <row r="106" spans="1:7" x14ac:dyDescent="0.25">
      <c r="A106" s="1675"/>
      <c r="B106" s="1689"/>
      <c r="C106" s="1676"/>
      <c r="D106" s="1867"/>
      <c r="E106" s="1562">
        <f t="shared" si="18"/>
        <v>0</v>
      </c>
      <c r="F106" s="1815">
        <f t="shared" si="19"/>
        <v>0</v>
      </c>
      <c r="G106" s="1816">
        <f t="shared" si="20"/>
        <v>0</v>
      </c>
    </row>
    <row r="107" spans="1:7" x14ac:dyDescent="0.25">
      <c r="A107" s="1675"/>
      <c r="B107" s="1689"/>
      <c r="C107" s="1676"/>
      <c r="D107" s="1867"/>
      <c r="E107" s="1562">
        <f t="shared" si="18"/>
        <v>0</v>
      </c>
      <c r="F107" s="1815">
        <f t="shared" si="19"/>
        <v>0</v>
      </c>
      <c r="G107" s="1816">
        <f t="shared" si="20"/>
        <v>0</v>
      </c>
    </row>
    <row r="108" spans="1:7" x14ac:dyDescent="0.25">
      <c r="A108" s="1675"/>
      <c r="B108" s="1689"/>
      <c r="C108" s="1676"/>
      <c r="D108" s="1867"/>
      <c r="E108" s="1562">
        <f t="shared" si="18"/>
        <v>0</v>
      </c>
      <c r="F108" s="1815">
        <f t="shared" si="19"/>
        <v>0</v>
      </c>
      <c r="G108" s="1816">
        <f t="shared" si="20"/>
        <v>0</v>
      </c>
    </row>
    <row r="109" spans="1:7" x14ac:dyDescent="0.25">
      <c r="A109" s="1675"/>
      <c r="B109" s="1689"/>
      <c r="C109" s="1676"/>
      <c r="D109" s="1867"/>
      <c r="E109" s="1562">
        <f t="shared" si="18"/>
        <v>0</v>
      </c>
      <c r="F109" s="1815">
        <f t="shared" si="19"/>
        <v>0</v>
      </c>
      <c r="G109" s="1816">
        <f t="shared" si="20"/>
        <v>0</v>
      </c>
    </row>
    <row r="110" spans="1:7" x14ac:dyDescent="0.25">
      <c r="A110" s="1675"/>
      <c r="B110" s="1689"/>
      <c r="C110" s="1676"/>
      <c r="D110" s="1867"/>
      <c r="E110" s="1562">
        <f t="shared" si="18"/>
        <v>0</v>
      </c>
      <c r="F110" s="1815">
        <f t="shared" si="19"/>
        <v>0</v>
      </c>
      <c r="G110" s="1816">
        <f t="shared" si="20"/>
        <v>0</v>
      </c>
    </row>
    <row r="111" spans="1:7" x14ac:dyDescent="0.25">
      <c r="A111" s="1675"/>
      <c r="B111" s="1689"/>
      <c r="C111" s="1676"/>
      <c r="D111" s="1867"/>
      <c r="E111" s="1562">
        <f t="shared" si="18"/>
        <v>0</v>
      </c>
      <c r="F111" s="1815">
        <f t="shared" si="19"/>
        <v>0</v>
      </c>
      <c r="G111" s="1816">
        <f t="shared" si="20"/>
        <v>0</v>
      </c>
    </row>
    <row r="112" spans="1:7" x14ac:dyDescent="0.25">
      <c r="A112" s="1675"/>
      <c r="B112" s="1689"/>
      <c r="C112" s="1676"/>
      <c r="D112" s="1867"/>
      <c r="E112" s="1562">
        <f t="shared" si="18"/>
        <v>0</v>
      </c>
      <c r="F112" s="1815">
        <f t="shared" si="19"/>
        <v>0</v>
      </c>
      <c r="G112" s="1816">
        <f t="shared" si="20"/>
        <v>0</v>
      </c>
    </row>
    <row r="113" spans="1:7" x14ac:dyDescent="0.25">
      <c r="A113" s="1675"/>
      <c r="B113" s="1689"/>
      <c r="C113" s="1676"/>
      <c r="D113" s="1867"/>
      <c r="E113" s="1562">
        <f t="shared" ref="E113:E125" si="21">IF(D113&lt;=25000,D113,IF(D113&gt;25000,25000,0))</f>
        <v>0</v>
      </c>
      <c r="F113" s="1815">
        <f t="shared" ref="F113:F125" si="22">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3">IF(F113=0,0,D113-F113)</f>
        <v>0</v>
      </c>
    </row>
    <row r="114" spans="1:7" x14ac:dyDescent="0.25">
      <c r="A114" s="1675"/>
      <c r="B114" s="1689"/>
      <c r="C114" s="1676"/>
      <c r="D114" s="1867"/>
      <c r="E114" s="1562">
        <f t="shared" si="21"/>
        <v>0</v>
      </c>
      <c r="F114" s="1815">
        <f t="shared" si="22"/>
        <v>0</v>
      </c>
      <c r="G114" s="1816">
        <f t="shared" si="23"/>
        <v>0</v>
      </c>
    </row>
    <row r="115" spans="1:7" x14ac:dyDescent="0.25">
      <c r="A115" s="1675"/>
      <c r="B115" s="1689"/>
      <c r="C115" s="1676"/>
      <c r="D115" s="1867"/>
      <c r="E115" s="1562">
        <f t="shared" si="21"/>
        <v>0</v>
      </c>
      <c r="F115" s="1815">
        <f t="shared" si="22"/>
        <v>0</v>
      </c>
      <c r="G115" s="1816">
        <f t="shared" si="23"/>
        <v>0</v>
      </c>
    </row>
    <row r="116" spans="1:7" x14ac:dyDescent="0.25">
      <c r="A116" s="1675"/>
      <c r="B116" s="1689"/>
      <c r="C116" s="1676"/>
      <c r="D116" s="1867"/>
      <c r="E116" s="1562">
        <f t="shared" si="21"/>
        <v>0</v>
      </c>
      <c r="F116" s="1815">
        <f t="shared" si="22"/>
        <v>0</v>
      </c>
      <c r="G116" s="1816">
        <f t="shared" si="23"/>
        <v>0</v>
      </c>
    </row>
    <row r="117" spans="1:7" x14ac:dyDescent="0.25">
      <c r="A117" s="1675"/>
      <c r="B117" s="1689"/>
      <c r="C117" s="1676"/>
      <c r="D117" s="1867"/>
      <c r="E117" s="1562">
        <f t="shared" si="21"/>
        <v>0</v>
      </c>
      <c r="F117" s="1815">
        <f t="shared" si="22"/>
        <v>0</v>
      </c>
      <c r="G117" s="1816">
        <f t="shared" si="23"/>
        <v>0</v>
      </c>
    </row>
    <row r="118" spans="1:7" x14ac:dyDescent="0.25">
      <c r="A118" s="1675"/>
      <c r="B118" s="1689"/>
      <c r="C118" s="1676"/>
      <c r="D118" s="1867"/>
      <c r="E118" s="1562">
        <f t="shared" si="21"/>
        <v>0</v>
      </c>
      <c r="F118" s="1815">
        <f t="shared" si="22"/>
        <v>0</v>
      </c>
      <c r="G118" s="1816">
        <f t="shared" si="23"/>
        <v>0</v>
      </c>
    </row>
    <row r="119" spans="1:7" x14ac:dyDescent="0.25">
      <c r="A119" s="1675"/>
      <c r="B119" s="1689"/>
      <c r="C119" s="1676"/>
      <c r="D119" s="1867"/>
      <c r="E119" s="1562">
        <f t="shared" si="21"/>
        <v>0</v>
      </c>
      <c r="F119" s="1815">
        <f t="shared" si="22"/>
        <v>0</v>
      </c>
      <c r="G119" s="1816">
        <f t="shared" si="23"/>
        <v>0</v>
      </c>
    </row>
    <row r="120" spans="1:7" x14ac:dyDescent="0.25">
      <c r="A120" s="1675"/>
      <c r="B120" s="1689"/>
      <c r="C120" s="1676"/>
      <c r="D120" s="1867"/>
      <c r="E120" s="1562">
        <f t="shared" si="21"/>
        <v>0</v>
      </c>
      <c r="F120" s="1815">
        <f t="shared" si="22"/>
        <v>0</v>
      </c>
      <c r="G120" s="1816">
        <f t="shared" si="23"/>
        <v>0</v>
      </c>
    </row>
    <row r="121" spans="1:7" x14ac:dyDescent="0.25">
      <c r="A121" s="1675"/>
      <c r="B121" s="1689"/>
      <c r="C121" s="1676"/>
      <c r="D121" s="1867"/>
      <c r="E121" s="1562">
        <f t="shared" si="21"/>
        <v>0</v>
      </c>
      <c r="F121" s="1815">
        <f t="shared" si="22"/>
        <v>0</v>
      </c>
      <c r="G121" s="1816">
        <f t="shared" si="23"/>
        <v>0</v>
      </c>
    </row>
    <row r="122" spans="1:7" x14ac:dyDescent="0.25">
      <c r="A122" s="1675"/>
      <c r="B122" s="1689"/>
      <c r="C122" s="1676"/>
      <c r="D122" s="1867"/>
      <c r="E122" s="1562">
        <f t="shared" si="21"/>
        <v>0</v>
      </c>
      <c r="F122" s="1815">
        <f t="shared" si="22"/>
        <v>0</v>
      </c>
      <c r="G122" s="1816">
        <f t="shared" si="23"/>
        <v>0</v>
      </c>
    </row>
    <row r="123" spans="1:7" x14ac:dyDescent="0.25">
      <c r="A123" s="1675"/>
      <c r="B123" s="1689"/>
      <c r="C123" s="1676"/>
      <c r="D123" s="1867"/>
      <c r="E123" s="1562">
        <f t="shared" si="21"/>
        <v>0</v>
      </c>
      <c r="F123" s="1815">
        <f t="shared" si="22"/>
        <v>0</v>
      </c>
      <c r="G123" s="1816">
        <f t="shared" si="23"/>
        <v>0</v>
      </c>
    </row>
    <row r="124" spans="1:7" x14ac:dyDescent="0.25">
      <c r="A124" s="1675"/>
      <c r="B124" s="1689"/>
      <c r="C124" s="1676"/>
      <c r="D124" s="1867"/>
      <c r="E124" s="1562">
        <f t="shared" si="21"/>
        <v>0</v>
      </c>
      <c r="F124" s="1815">
        <f t="shared" si="22"/>
        <v>0</v>
      </c>
      <c r="G124" s="1816">
        <f t="shared" si="23"/>
        <v>0</v>
      </c>
    </row>
    <row r="125" spans="1:7" x14ac:dyDescent="0.25">
      <c r="A125" s="1675"/>
      <c r="B125" s="1689"/>
      <c r="C125" s="1676"/>
      <c r="D125" s="1867"/>
      <c r="E125" s="1562">
        <f t="shared" si="21"/>
        <v>0</v>
      </c>
      <c r="F125" s="1815">
        <f t="shared" si="22"/>
        <v>0</v>
      </c>
      <c r="G125" s="1816">
        <f t="shared" si="23"/>
        <v>0</v>
      </c>
    </row>
    <row r="126" spans="1:7" x14ac:dyDescent="0.25">
      <c r="A126" s="1675"/>
      <c r="B126" s="1689"/>
      <c r="C126" s="1676"/>
      <c r="D126" s="1867"/>
      <c r="E126" s="1562">
        <f t="shared" ref="E126:E134" si="24">IF(D126&lt;=25000,D126,IF(D126&gt;25000,25000,0))</f>
        <v>0</v>
      </c>
      <c r="F126" s="1815">
        <f t="shared" ref="F126:F134" si="25">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6">IF(F126=0,0,D126-F126)</f>
        <v>0</v>
      </c>
    </row>
    <row r="127" spans="1:7" x14ac:dyDescent="0.25">
      <c r="A127" s="1675"/>
      <c r="B127" s="1689"/>
      <c r="C127" s="1676"/>
      <c r="D127" s="1867"/>
      <c r="E127" s="1562">
        <f t="shared" si="24"/>
        <v>0</v>
      </c>
      <c r="F127" s="1815">
        <f t="shared" si="25"/>
        <v>0</v>
      </c>
      <c r="G127" s="1816">
        <f t="shared" si="26"/>
        <v>0</v>
      </c>
    </row>
    <row r="128" spans="1:7" x14ac:dyDescent="0.25">
      <c r="A128" s="1675"/>
      <c r="B128" s="1689"/>
      <c r="C128" s="1676"/>
      <c r="D128" s="1867"/>
      <c r="E128" s="1562">
        <f t="shared" si="24"/>
        <v>0</v>
      </c>
      <c r="F128" s="1815">
        <f t="shared" si="25"/>
        <v>0</v>
      </c>
      <c r="G128" s="1816">
        <f t="shared" si="26"/>
        <v>0</v>
      </c>
    </row>
    <row r="129" spans="1:7" x14ac:dyDescent="0.25">
      <c r="A129" s="1675"/>
      <c r="B129" s="1689"/>
      <c r="C129" s="1676"/>
      <c r="D129" s="1867"/>
      <c r="E129" s="1562">
        <f t="shared" si="24"/>
        <v>0</v>
      </c>
      <c r="F129" s="1815">
        <f t="shared" si="25"/>
        <v>0</v>
      </c>
      <c r="G129" s="1816">
        <f t="shared" si="26"/>
        <v>0</v>
      </c>
    </row>
    <row r="130" spans="1:7" x14ac:dyDescent="0.25">
      <c r="A130" s="1675"/>
      <c r="B130" s="1689"/>
      <c r="C130" s="1676"/>
      <c r="D130" s="1867"/>
      <c r="E130" s="1562">
        <f t="shared" si="24"/>
        <v>0</v>
      </c>
      <c r="F130" s="1815">
        <f t="shared" si="25"/>
        <v>0</v>
      </c>
      <c r="G130" s="1816">
        <f t="shared" si="26"/>
        <v>0</v>
      </c>
    </row>
    <row r="131" spans="1:7" x14ac:dyDescent="0.25">
      <c r="A131" s="1675"/>
      <c r="B131" s="1860"/>
      <c r="C131" s="1676"/>
      <c r="D131" s="1867"/>
      <c r="E131" s="1562">
        <f t="shared" si="24"/>
        <v>0</v>
      </c>
      <c r="F131" s="1815">
        <f t="shared" si="25"/>
        <v>0</v>
      </c>
      <c r="G131" s="1816">
        <f t="shared" si="26"/>
        <v>0</v>
      </c>
    </row>
    <row r="132" spans="1:7" x14ac:dyDescent="0.25">
      <c r="A132" s="1675"/>
      <c r="B132" s="1860"/>
      <c r="C132" s="1676"/>
      <c r="D132" s="1867"/>
      <c r="E132" s="1562">
        <f t="shared" si="24"/>
        <v>0</v>
      </c>
      <c r="F132" s="1815">
        <f t="shared" si="25"/>
        <v>0</v>
      </c>
      <c r="G132" s="1816">
        <f t="shared" si="26"/>
        <v>0</v>
      </c>
    </row>
    <row r="133" spans="1:7" x14ac:dyDescent="0.25">
      <c r="A133" s="1675"/>
      <c r="B133" s="1689"/>
      <c r="C133" s="1676"/>
      <c r="D133" s="1867"/>
      <c r="E133" s="1562">
        <f t="shared" si="24"/>
        <v>0</v>
      </c>
      <c r="F133" s="1815">
        <f t="shared" si="25"/>
        <v>0</v>
      </c>
      <c r="G133" s="1816">
        <f t="shared" si="26"/>
        <v>0</v>
      </c>
    </row>
    <row r="134" spans="1:7" x14ac:dyDescent="0.25">
      <c r="A134" s="1675"/>
      <c r="B134" s="1689"/>
      <c r="C134" s="1676"/>
      <c r="D134" s="1867"/>
      <c r="E134" s="1562">
        <f t="shared" si="24"/>
        <v>0</v>
      </c>
      <c r="F134" s="1815">
        <f t="shared" si="25"/>
        <v>0</v>
      </c>
      <c r="G134" s="1816">
        <f t="shared" si="26"/>
        <v>0</v>
      </c>
    </row>
    <row r="135" spans="1:7" x14ac:dyDescent="0.25">
      <c r="A135" s="1675"/>
      <c r="B135" s="1689"/>
      <c r="C135" s="1676"/>
      <c r="D135" s="1867"/>
      <c r="E135" s="1562">
        <f t="shared" ref="E135:E139" si="27">IF(D135&lt;=25000,D135,IF(D135&gt;25000,25000,0))</f>
        <v>0</v>
      </c>
      <c r="F135" s="1815">
        <f t="shared" ref="F135:F139" si="28">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9">IF(F135=0,0,D135-F135)</f>
        <v>0</v>
      </c>
    </row>
    <row r="136" spans="1:7" x14ac:dyDescent="0.25">
      <c r="A136" s="1675"/>
      <c r="B136" s="1689"/>
      <c r="C136" s="1676"/>
      <c r="D136" s="1867"/>
      <c r="E136" s="1562">
        <f t="shared" si="27"/>
        <v>0</v>
      </c>
      <c r="F136" s="1815">
        <f t="shared" si="28"/>
        <v>0</v>
      </c>
      <c r="G136" s="1816">
        <f t="shared" si="29"/>
        <v>0</v>
      </c>
    </row>
    <row r="137" spans="1:7" x14ac:dyDescent="0.25">
      <c r="A137" s="1675"/>
      <c r="B137" s="1689"/>
      <c r="C137" s="1676"/>
      <c r="D137" s="1867"/>
      <c r="E137" s="1562">
        <f t="shared" si="27"/>
        <v>0</v>
      </c>
      <c r="F137" s="1815">
        <f t="shared" si="28"/>
        <v>0</v>
      </c>
      <c r="G137" s="1816">
        <f t="shared" si="29"/>
        <v>0</v>
      </c>
    </row>
    <row r="138" spans="1:7" x14ac:dyDescent="0.25">
      <c r="A138" s="1675"/>
      <c r="B138" s="1689"/>
      <c r="C138" s="1676"/>
      <c r="D138" s="1867"/>
      <c r="E138" s="1562">
        <f t="shared" si="27"/>
        <v>0</v>
      </c>
      <c r="F138" s="1815">
        <f t="shared" si="28"/>
        <v>0</v>
      </c>
      <c r="G138" s="1816">
        <f t="shared" si="29"/>
        <v>0</v>
      </c>
    </row>
    <row r="139" spans="1:7" x14ac:dyDescent="0.25">
      <c r="A139" s="1675"/>
      <c r="B139" s="1689"/>
      <c r="C139" s="1676"/>
      <c r="D139" s="1867"/>
      <c r="E139" s="1562">
        <f t="shared" si="27"/>
        <v>0</v>
      </c>
      <c r="F139" s="1815">
        <f t="shared" si="28"/>
        <v>0</v>
      </c>
      <c r="G139" s="1816">
        <f t="shared" si="29"/>
        <v>0</v>
      </c>
    </row>
    <row r="140" spans="1:7" x14ac:dyDescent="0.25">
      <c r="A140" s="1675"/>
      <c r="B140" s="1688"/>
      <c r="C140" s="1676"/>
      <c r="D140" s="1867"/>
      <c r="E140" s="1562">
        <f t="shared" si="3"/>
        <v>0</v>
      </c>
      <c r="F140" s="1815">
        <f t="shared" si="4"/>
        <v>0</v>
      </c>
      <c r="G140" s="1816">
        <f t="shared" si="5"/>
        <v>0</v>
      </c>
    </row>
    <row r="141" spans="1:7" x14ac:dyDescent="0.25">
      <c r="A141" s="1819" t="s">
        <v>158</v>
      </c>
      <c r="B141" s="1820"/>
      <c r="C141" s="1821"/>
      <c r="D141" s="1817">
        <f>SUM(D17:D140)</f>
        <v>202442</v>
      </c>
      <c r="E141" s="1563">
        <f t="shared" ref="E141" si="30">IF(D141&lt;=25000,D141,IF(D141&gt;25000,25000,0))</f>
        <v>25000</v>
      </c>
      <c r="F141" s="1817">
        <f>SUM(F17:F140)</f>
        <v>50000</v>
      </c>
      <c r="G141" s="1818">
        <f>SUM(G17:G140)</f>
        <v>152442</v>
      </c>
    </row>
  </sheetData>
  <sheetProtection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O15" sqref="O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1500</v>
      </c>
      <c r="F7" s="975"/>
      <c r="G7" s="976"/>
      <c r="H7" s="162"/>
      <c r="I7" s="162"/>
    </row>
    <row r="8" spans="1:9" s="669" customFormat="1" ht="12" customHeight="1" x14ac:dyDescent="0.2">
      <c r="A8" s="971" t="s">
        <v>131</v>
      </c>
      <c r="B8" s="972"/>
      <c r="C8" s="972"/>
      <c r="D8" s="973"/>
      <c r="E8" s="974">
        <v>330</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92802</v>
      </c>
      <c r="F10" s="975"/>
      <c r="G10" s="976"/>
      <c r="H10" s="162"/>
      <c r="I10" s="162"/>
    </row>
    <row r="11" spans="1:9" s="669" customFormat="1" ht="22.5" customHeight="1" x14ac:dyDescent="0.2">
      <c r="A11" s="2313" t="s">
        <v>1943</v>
      </c>
      <c r="B11" s="2314"/>
      <c r="C11" s="2314"/>
      <c r="D11" s="2315"/>
      <c r="E11" s="978">
        <v>16821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1771341</v>
      </c>
      <c r="F19" s="1822"/>
      <c r="G19" s="1824">
        <f>'Expenditures 15-22'!K33-SUM('Expenditures 15-22'!G33,'Expenditures 15-22'!I33)+'Expenditures 15-22'!D229</f>
        <v>1771341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101163</v>
      </c>
      <c r="F21" s="1825"/>
      <c r="G21" s="1828">
        <f>'Expenditures 15-22'!K42-SUM('Expenditures 15-22'!G42,'Expenditures 15-22'!I42)+'Expenditures 15-22'!K120-SUM('Expenditures 15-22'!G120,'Expenditures 15-22'!I120)+'Expenditures 15-22'!K180-SUM('Expenditures 15-22'!G180,'Expenditures 15-22'!I180)+'Expenditures 15-22'!D238</f>
        <v>101163</v>
      </c>
      <c r="H21" s="988"/>
      <c r="I21" s="162"/>
    </row>
    <row r="22" spans="1:9" s="669" customFormat="1" ht="12" customHeight="1" x14ac:dyDescent="0.2">
      <c r="A22" s="995" t="s">
        <v>585</v>
      </c>
      <c r="B22" s="996"/>
      <c r="C22" s="994">
        <v>2200</v>
      </c>
      <c r="D22" s="1825"/>
      <c r="E22" s="1827">
        <f>'Expenditures 15-22'!K47-SUM('Expenditures 15-22'!G47,'Expenditures 15-22'!I47)+'Expenditures 15-22'!D243</f>
        <v>24091</v>
      </c>
      <c r="F22" s="1825"/>
      <c r="G22" s="1828">
        <f>'Expenditures 15-22'!K47-SUM('Expenditures 15-22'!G47,'Expenditures 15-22'!I47)+'Expenditures 15-22'!D243</f>
        <v>24091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391486</v>
      </c>
      <c r="F23" s="1825"/>
      <c r="G23" s="1827">
        <f>'Expenditures 15-22'!K53-SUM('Expenditures 15-22'!G53,'Expenditures 15-22'!I53)+'Expenditures 15-22'!D257+'Expenditures 15-22'!K330-SUM('Expenditures 15-22'!G330,'Expenditures 15-22'!I330)</f>
        <v>391486</v>
      </c>
      <c r="H23" s="988"/>
      <c r="I23" s="162"/>
    </row>
    <row r="24" spans="1:9" s="669" customFormat="1" ht="12" customHeight="1" x14ac:dyDescent="0.2">
      <c r="A24" s="995" t="s">
        <v>587</v>
      </c>
      <c r="B24" s="996"/>
      <c r="C24" s="994">
        <v>2400</v>
      </c>
      <c r="D24" s="1825"/>
      <c r="E24" s="1827">
        <f>'Expenditures 15-22'!K57-SUM('Expenditures 15-22'!G57,'Expenditures 15-22'!I57)+'Expenditures 15-22'!D261</f>
        <v>182832</v>
      </c>
      <c r="F24" s="1825"/>
      <c r="G24" s="1828">
        <f>'Expenditures 15-22'!K57-SUM('Expenditures 15-22'!G57,'Expenditures 15-22'!I57)+'Expenditures 15-22'!D261</f>
        <v>182832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-1239</v>
      </c>
      <c r="E26" s="1827">
        <f>'Expenditures 15-22'!K122-SUM('Expenditures 15-22'!G122,'Expenditures 15-22'!I122)+E7</f>
        <v>28702</v>
      </c>
      <c r="F26" s="1827">
        <f>'Expenditures 15-22'!K59-SUM('Expenditures 15-22'!G59,'Expenditures 15-22'!I59)+'Expenditures 15-22'!D263-E7</f>
        <v>-1239</v>
      </c>
      <c r="G26" s="1828">
        <f>'Expenditures 15-22'!K122-SUM('Expenditures 15-22'!G122,'Expenditures 15-22'!I122)+E7</f>
        <v>28702</v>
      </c>
      <c r="H26" s="988"/>
      <c r="I26" s="162"/>
    </row>
    <row r="27" spans="1:9" s="669" customFormat="1" ht="12" customHeight="1" x14ac:dyDescent="0.2">
      <c r="A27" s="995" t="s">
        <v>483</v>
      </c>
      <c r="B27" s="998"/>
      <c r="C27" s="994">
        <v>2520</v>
      </c>
      <c r="D27" s="1827">
        <f>'Expenditures 15-22'!K60-SUM('Expenditures 15-22'!G60,'Expenditures 15-22'!I60)+'Expenditures 15-22'!D264-E8</f>
        <v>99198</v>
      </c>
      <c r="E27" s="1827">
        <f>E8</f>
        <v>330</v>
      </c>
      <c r="F27" s="1827">
        <f>'Expenditures 15-22'!K60-SUM('Expenditures 15-22'!G60,'Expenditures 15-22'!I60)+'Expenditures 15-22'!D264-E8</f>
        <v>99198</v>
      </c>
      <c r="G27" s="1828">
        <f>E8</f>
        <v>330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373206</v>
      </c>
      <c r="F28" s="1829">
        <f>'Expenditures 15-22'!K61-SUM('Expenditures 15-22'!G61,'Expenditures 15-22'!I61)+'Expenditures 15-22'!K124-SUM('Expenditures 15-22'!G124,'Expenditures 15-22'!I124)+'Expenditures 15-22'!D266-E9</f>
        <v>373206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280663</v>
      </c>
      <c r="F29" s="1825"/>
      <c r="G29" s="1828">
        <f>'Expenditures 15-22'!K62-SUM('Expenditures 15-22'!G62,'Expenditures 15-22'!I62)+'Expenditures 15-22'!K125-SUM('Expenditures 15-22'!G125,'Expenditures 15-22'!I125)+'Expenditures 15-22'!K182-SUM('Expenditures 15-22'!G182,'Expenditures 15-22'!I182)+'Expenditures 15-22'!D267</f>
        <v>280663</v>
      </c>
      <c r="H29" s="986"/>
    </row>
    <row r="30" spans="1:9" ht="12" customHeight="1" x14ac:dyDescent="0.2">
      <c r="A30" s="995" t="s">
        <v>102</v>
      </c>
      <c r="B30" s="998"/>
      <c r="C30" s="994">
        <v>2560</v>
      </c>
      <c r="D30" s="1825"/>
      <c r="E30" s="1827">
        <f>'Expenditures 15-22'!K63-SUM('Expenditures 15-22'!G63,'Expenditures 15-22'!I63)+'Expenditures 15-22'!D268-E10</f>
        <v>94838</v>
      </c>
      <c r="F30" s="1825"/>
      <c r="G30" s="1827">
        <f>'Expenditures 15-22'!K63-SUM('Expenditures 15-22'!G63,'Expenditures 15-22'!I63)+'Expenditures 15-22'!D268-E10</f>
        <v>94838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-152442</v>
      </c>
      <c r="F40" s="1825"/>
      <c r="G40" s="1829">
        <f>-'Contracts Paid in CY 29'!G141</f>
        <v>-152442</v>
      </c>
    </row>
    <row r="41" spans="1:7" ht="12" customHeight="1" x14ac:dyDescent="0.2">
      <c r="A41" s="999" t="s">
        <v>158</v>
      </c>
      <c r="B41" s="1000"/>
      <c r="C41" s="1001"/>
      <c r="D41" s="1829">
        <f>SUM(D19:D39)</f>
        <v>97959</v>
      </c>
      <c r="E41" s="1829">
        <f>SUM(E19:E40)</f>
        <v>3096210</v>
      </c>
      <c r="F41" s="1829">
        <f>SUM(F19:F39)</f>
        <v>471165</v>
      </c>
      <c r="G41" s="1829">
        <f>SUM(G19:G40)</f>
        <v>2723004</v>
      </c>
    </row>
    <row r="42" spans="1:7" x14ac:dyDescent="0.2">
      <c r="A42" s="988"/>
      <c r="B42" s="162"/>
      <c r="C42" s="1002"/>
      <c r="D42" s="2311" t="s">
        <v>543</v>
      </c>
      <c r="E42" s="2312"/>
      <c r="F42" s="1003" t="s">
        <v>544</v>
      </c>
      <c r="G42" s="1004"/>
    </row>
    <row r="43" spans="1:7" ht="12" customHeight="1" x14ac:dyDescent="0.2">
      <c r="A43" s="988"/>
      <c r="B43" s="162"/>
      <c r="C43" s="1002"/>
      <c r="D43" s="1830" t="s">
        <v>493</v>
      </c>
      <c r="E43" s="1831">
        <f>D41</f>
        <v>97959</v>
      </c>
      <c r="F43" s="1830" t="s">
        <v>495</v>
      </c>
      <c r="G43" s="1831">
        <f>F41</f>
        <v>471165</v>
      </c>
    </row>
    <row r="44" spans="1:7" ht="12" customHeight="1" x14ac:dyDescent="0.2">
      <c r="A44" s="988"/>
      <c r="B44" s="162"/>
      <c r="C44" s="1002"/>
      <c r="D44" s="1830" t="s">
        <v>494</v>
      </c>
      <c r="E44" s="1831">
        <f>E41</f>
        <v>3096210</v>
      </c>
      <c r="F44" s="1830" t="s">
        <v>494</v>
      </c>
      <c r="G44" s="1831">
        <f>G41</f>
        <v>2723004</v>
      </c>
    </row>
    <row r="45" spans="1:7" ht="12" customHeight="1" x14ac:dyDescent="0.2">
      <c r="A45" s="988"/>
      <c r="B45" s="162"/>
      <c r="C45" s="162"/>
      <c r="D45" s="1832" t="s">
        <v>1063</v>
      </c>
      <c r="E45" s="1833">
        <f>(E43/E44)</f>
        <v>3.1638357863323224E-2</v>
      </c>
      <c r="F45" s="1832" t="s">
        <v>1063</v>
      </c>
      <c r="G45" s="1833">
        <f>(G43/G44)</f>
        <v>0.17303132863558041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O15" sqref="O15"/>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0" t="s">
        <v>1446</v>
      </c>
      <c r="B1" s="2330"/>
      <c r="C1" s="2330"/>
      <c r="D1" s="2330"/>
      <c r="E1" s="2330"/>
      <c r="F1" s="2330"/>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1" t="s">
        <v>1627</v>
      </c>
      <c r="B5" s="2332"/>
      <c r="C5" s="2333"/>
      <c r="D5" s="2333"/>
      <c r="E5" s="2333"/>
      <c r="F5" s="2333"/>
    </row>
    <row r="6" spans="1:10" ht="12" customHeight="1" x14ac:dyDescent="0.25">
      <c r="A6" s="1875"/>
      <c r="B6" s="1876"/>
      <c r="C6" s="2334" t="str">
        <f>COVER!A17</f>
        <v>Joppa Maple Grove USD 38</v>
      </c>
      <c r="D6" s="2334"/>
      <c r="E6" s="2334"/>
      <c r="F6" s="1877"/>
    </row>
    <row r="7" spans="1:10" ht="11.25" customHeight="1" thickBot="1" x14ac:dyDescent="0.3">
      <c r="A7" s="1875"/>
      <c r="B7" s="1876"/>
      <c r="C7" s="2335">
        <f>COVER!A13</f>
        <v>21061038026</v>
      </c>
      <c r="D7" s="2335"/>
      <c r="E7" s="2335"/>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c r="F26" s="1892" t="s">
        <v>2095</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2074</v>
      </c>
      <c r="D31" s="1890" t="s">
        <v>2074</v>
      </c>
      <c r="E31" s="1893"/>
      <c r="F31" s="1892" t="s">
        <v>2096</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36"/>
      <c r="D35" s="2336"/>
      <c r="E35" s="2336"/>
      <c r="F35" s="2337"/>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6"/>
      <c r="B43" s="2317"/>
      <c r="C43" s="2317"/>
      <c r="D43" s="2317"/>
      <c r="E43" s="2317"/>
      <c r="F43" s="2318"/>
      <c r="H43" s="1904"/>
      <c r="I43" s="1904"/>
      <c r="J43" s="1904"/>
      <c r="K43" s="1904"/>
    </row>
    <row r="44" spans="1:11" s="1895" customFormat="1" ht="12" hidden="1" customHeight="1" x14ac:dyDescent="0.25">
      <c r="A44" s="2316"/>
      <c r="B44" s="2317"/>
      <c r="C44" s="2317"/>
      <c r="D44" s="2317"/>
      <c r="E44" s="2317"/>
      <c r="F44" s="231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O15" sqref="O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3" t="str">
        <f>COVER!A17</f>
        <v>Joppa Maple Grove USD 38</v>
      </c>
      <c r="J6" s="2344"/>
      <c r="Q6" s="1686"/>
    </row>
    <row r="7" spans="1:17" x14ac:dyDescent="0.2">
      <c r="A7" s="2345" t="s">
        <v>924</v>
      </c>
      <c r="B7" s="2346"/>
      <c r="C7" s="2346"/>
      <c r="D7" s="2346"/>
      <c r="E7" s="2347"/>
      <c r="F7" s="1018"/>
      <c r="G7" s="1010"/>
      <c r="H7" s="1017" t="s">
        <v>390</v>
      </c>
      <c r="I7" s="2348">
        <f>COVER!A13</f>
        <v>21061038026</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155553</v>
      </c>
      <c r="F12" s="1040"/>
      <c r="G12" s="1834">
        <f t="shared" ref="G12:G18" si="0">SUM(E12:F12)</f>
        <v>155553</v>
      </c>
      <c r="H12" s="1041">
        <v>163330</v>
      </c>
      <c r="I12" s="1040"/>
      <c r="J12" s="1834">
        <f t="shared" ref="J12:J18" si="1">SUM(H12:I12)</f>
        <v>163330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27202</v>
      </c>
      <c r="G15" s="1834">
        <f t="shared" si="0"/>
        <v>27202</v>
      </c>
      <c r="H15" s="1041"/>
      <c r="I15" s="1041">
        <v>28700</v>
      </c>
      <c r="J15" s="1834">
        <f t="shared" si="1"/>
        <v>28700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2" t="s">
        <v>7</v>
      </c>
      <c r="C18" s="2353"/>
      <c r="D18" s="235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155553</v>
      </c>
      <c r="F19" s="1836">
        <f t="shared" si="2"/>
        <v>27202</v>
      </c>
      <c r="G19" s="1836">
        <f t="shared" si="2"/>
        <v>182755</v>
      </c>
      <c r="H19" s="1836">
        <f t="shared" si="2"/>
        <v>163330</v>
      </c>
      <c r="I19" s="1836">
        <f t="shared" si="2"/>
        <v>28700</v>
      </c>
      <c r="J19" s="1836">
        <f t="shared" si="2"/>
        <v>192030</v>
      </c>
    </row>
    <row r="20" spans="1:10" ht="13.5" thickTop="1" x14ac:dyDescent="0.2">
      <c r="A20" s="1036">
        <v>9</v>
      </c>
      <c r="B20" s="2355" t="s">
        <v>1703</v>
      </c>
      <c r="C20" s="2355"/>
      <c r="D20" s="2356"/>
      <c r="E20" s="1047"/>
      <c r="F20" s="1047"/>
      <c r="G20" s="1047"/>
      <c r="H20" s="1047"/>
      <c r="I20" s="1047"/>
      <c r="J20" s="1837">
        <f>IF(AND(G19&gt;0,J19&gt;0),(((J19-G19)/G19)),"Enter Budget Data")</f>
        <v>5.0751005444447488E-2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1942</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J69"/>
  <sheetViews>
    <sheetView showGridLines="0" zoomScale="110" zoomScaleNormal="110" workbookViewId="0">
      <selection activeCell="O15" sqref="O15"/>
    </sheetView>
  </sheetViews>
  <sheetFormatPr defaultColWidth="9.140625" defaultRowHeight="12.75" x14ac:dyDescent="0.2"/>
  <cols>
    <col min="1" max="1" width="3" style="329" customWidth="1"/>
    <col min="2" max="2" width="17" style="329" customWidth="1"/>
    <col min="3" max="3" width="1.5703125" style="329" customWidth="1"/>
    <col min="4" max="4" width="9.140625" style="329"/>
    <col min="5" max="5" width="1.42578125" style="329" customWidth="1"/>
    <col min="6" max="6" width="10.85546875" style="329" bestFit="1" customWidth="1"/>
    <col min="7" max="7" width="1.85546875" style="329" customWidth="1"/>
    <col min="8" max="8" width="29.85546875" style="329" customWidth="1"/>
    <col min="9" max="9" width="1.7109375" style="329" customWidth="1"/>
    <col min="10" max="10" width="11" style="329" bestFit="1" customWidth="1"/>
    <col min="11" max="16384" width="9.140625" style="329"/>
  </cols>
  <sheetData>
    <row r="2" spans="1:10" x14ac:dyDescent="0.2">
      <c r="A2" s="389" t="s">
        <v>276</v>
      </c>
    </row>
    <row r="3" spans="1:10" x14ac:dyDescent="0.2">
      <c r="A3" s="329" t="s">
        <v>277</v>
      </c>
    </row>
    <row r="5" spans="1:10" x14ac:dyDescent="0.2">
      <c r="B5" s="1959" t="s">
        <v>2097</v>
      </c>
      <c r="C5" s="1958"/>
      <c r="D5" s="1959" t="s">
        <v>1137</v>
      </c>
      <c r="E5" s="1958"/>
      <c r="F5" s="1959" t="s">
        <v>2098</v>
      </c>
      <c r="G5" s="1958"/>
      <c r="H5" s="1959" t="s">
        <v>502</v>
      </c>
      <c r="I5" s="1958"/>
      <c r="J5" s="1959" t="s">
        <v>920</v>
      </c>
    </row>
    <row r="6" spans="1:10" ht="15" x14ac:dyDescent="0.35">
      <c r="A6" s="1069">
        <v>1</v>
      </c>
      <c r="B6" s="329">
        <v>190</v>
      </c>
      <c r="D6" s="329">
        <v>10</v>
      </c>
      <c r="H6" s="329" t="s">
        <v>2099</v>
      </c>
      <c r="J6" s="1960">
        <v>5356</v>
      </c>
    </row>
    <row r="7" spans="1:10" x14ac:dyDescent="0.2">
      <c r="A7" s="1069"/>
    </row>
    <row r="8" spans="1:10" x14ac:dyDescent="0.2">
      <c r="A8" s="1069">
        <v>2</v>
      </c>
      <c r="B8" s="329">
        <v>1999</v>
      </c>
      <c r="D8" s="329">
        <v>10</v>
      </c>
      <c r="H8" s="329" t="s">
        <v>2100</v>
      </c>
      <c r="J8" s="1961">
        <v>1443</v>
      </c>
    </row>
    <row r="9" spans="1:10" x14ac:dyDescent="0.2">
      <c r="A9" s="1069"/>
      <c r="H9" s="329" t="s">
        <v>2101</v>
      </c>
      <c r="J9" s="1962">
        <v>1219</v>
      </c>
    </row>
    <row r="10" spans="1:10" x14ac:dyDescent="0.2">
      <c r="H10" s="329" t="s">
        <v>2102</v>
      </c>
      <c r="J10" s="1962">
        <v>4862</v>
      </c>
    </row>
    <row r="11" spans="1:10" x14ac:dyDescent="0.2">
      <c r="H11" s="329" t="s">
        <v>2103</v>
      </c>
      <c r="J11" s="1962">
        <v>4950</v>
      </c>
    </row>
    <row r="12" spans="1:10" ht="15" x14ac:dyDescent="0.35">
      <c r="A12" s="1070"/>
      <c r="H12" s="329" t="s">
        <v>2104</v>
      </c>
      <c r="J12" s="1963">
        <v>6884</v>
      </c>
    </row>
    <row r="13" spans="1:10" ht="15" x14ac:dyDescent="0.35">
      <c r="A13" s="1070"/>
      <c r="J13" s="1964">
        <f>SUM(J8:J12)</f>
        <v>19358</v>
      </c>
    </row>
    <row r="14" spans="1:10" x14ac:dyDescent="0.2">
      <c r="A14" s="1070"/>
    </row>
    <row r="15" spans="1:10" ht="15" x14ac:dyDescent="0.35">
      <c r="A15" s="1069">
        <v>3</v>
      </c>
      <c r="B15" s="329">
        <v>1999</v>
      </c>
      <c r="D15" s="329">
        <v>40</v>
      </c>
      <c r="H15" s="329" t="s">
        <v>2104</v>
      </c>
      <c r="J15" s="1960">
        <v>400</v>
      </c>
    </row>
    <row r="16" spans="1:10" x14ac:dyDescent="0.2">
      <c r="A16" s="1069"/>
    </row>
    <row r="17" spans="1:10" ht="15" x14ac:dyDescent="0.35">
      <c r="A17" s="1069">
        <v>4</v>
      </c>
      <c r="B17" s="329">
        <v>4399</v>
      </c>
      <c r="D17" s="329">
        <v>10</v>
      </c>
      <c r="H17" s="329" t="s">
        <v>2105</v>
      </c>
      <c r="J17" s="1960">
        <v>9726</v>
      </c>
    </row>
    <row r="18" spans="1:10" x14ac:dyDescent="0.2">
      <c r="A18" s="1070"/>
    </row>
    <row r="19" spans="1:10" x14ac:dyDescent="0.2">
      <c r="A19" s="1069">
        <v>5</v>
      </c>
      <c r="B19" s="329">
        <v>2190</v>
      </c>
      <c r="D19" s="329">
        <v>10</v>
      </c>
      <c r="F19" s="329">
        <v>100</v>
      </c>
      <c r="H19" s="329" t="s">
        <v>2106</v>
      </c>
      <c r="J19" s="1961">
        <v>20118</v>
      </c>
    </row>
    <row r="20" spans="1:10" ht="15" x14ac:dyDescent="0.35">
      <c r="A20" s="1069"/>
      <c r="F20" s="329">
        <v>200</v>
      </c>
      <c r="H20" s="329" t="s">
        <v>2107</v>
      </c>
      <c r="J20" s="1963">
        <v>243</v>
      </c>
    </row>
    <row r="21" spans="1:10" ht="15" x14ac:dyDescent="0.35">
      <c r="A21" s="1069"/>
      <c r="J21" s="1964">
        <f>SUM(J19:J20)</f>
        <v>20361</v>
      </c>
    </row>
    <row r="22" spans="1:10" x14ac:dyDescent="0.2">
      <c r="A22" s="1069"/>
    </row>
    <row r="23" spans="1:10" ht="15" x14ac:dyDescent="0.35">
      <c r="A23" s="1069">
        <v>6</v>
      </c>
      <c r="B23" s="329">
        <v>2190</v>
      </c>
      <c r="D23" s="329">
        <v>50</v>
      </c>
      <c r="F23" s="329">
        <v>200</v>
      </c>
      <c r="H23" s="329" t="s">
        <v>2107</v>
      </c>
      <c r="J23" s="1960">
        <v>906</v>
      </c>
    </row>
    <row r="24" spans="1:10" x14ac:dyDescent="0.2">
      <c r="A24" s="1070"/>
    </row>
    <row r="25" spans="1:10" x14ac:dyDescent="0.2">
      <c r="A25" s="1070"/>
    </row>
    <row r="26" spans="1:10" x14ac:dyDescent="0.2">
      <c r="A26" s="1070"/>
    </row>
    <row r="27" spans="1:10" x14ac:dyDescent="0.2">
      <c r="A27" s="1070"/>
    </row>
    <row r="28" spans="1:10" x14ac:dyDescent="0.2">
      <c r="A28" s="1070"/>
    </row>
    <row r="29" spans="1:10" x14ac:dyDescent="0.2">
      <c r="A29" s="1070"/>
    </row>
    <row r="30" spans="1:10" x14ac:dyDescent="0.2">
      <c r="A30" s="1070"/>
    </row>
    <row r="31" spans="1:10" x14ac:dyDescent="0.2">
      <c r="A31" s="1070"/>
    </row>
    <row r="32" spans="1:10"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c r="B68" s="258" t="str">
        <f>COVER!A17</f>
        <v>Joppa Maple Grove USD 38</v>
      </c>
    </row>
    <row r="69" spans="1:2" x14ac:dyDescent="0.2">
      <c r="B69" s="1071">
        <f>COVER!A13</f>
        <v>21061038026</v>
      </c>
    </row>
  </sheetData>
  <phoneticPr fontId="13" type="noConversion"/>
  <printOptions horizontalCentered="1" verticalCentered="1"/>
  <pageMargins left="1" right="1" top="1" bottom="1" header="0.5" footer="1"/>
  <pageSetup scale="74"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O15" sqref="O1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9" t="s">
        <v>1709</v>
      </c>
    </row>
    <row r="23" spans="1:5" x14ac:dyDescent="0.2">
      <c r="A23" s="168"/>
      <c r="B23" s="162" t="s">
        <v>1967</v>
      </c>
      <c r="D23" s="167" t="s">
        <v>658</v>
      </c>
      <c r="E23" s="1859"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O15" sqref="O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2" t="s">
        <v>1784</v>
      </c>
      <c r="B18" s="236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6" r:id="rId4">
          <objectPr defaultSize="0" r:id="rId5">
            <anchor moveWithCells="1">
              <from>
                <xdr:col>1</xdr:col>
                <xdr:colOff>628650</xdr:colOff>
                <xdr:row>4</xdr:row>
                <xdr:rowOff>9525</xdr:rowOff>
              </from>
              <to>
                <xdr:col>1</xdr:col>
                <xdr:colOff>1543050</xdr:colOff>
                <xdr:row>8</xdr:row>
                <xdr:rowOff>47625</xdr:rowOff>
              </to>
            </anchor>
          </objectPr>
        </oleObject>
      </mc:Choice>
      <mc:Fallback>
        <oleObject progId="Acrobat Document" dvAspect="DVASPECT_ICON" shapeId="3891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L6" sqref="L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5"/>
      <c r="H2" s="1075"/>
    </row>
    <row r="3" spans="1:8" ht="57" customHeight="1" x14ac:dyDescent="0.2">
      <c r="A3" s="2376" t="s">
        <v>1786</v>
      </c>
      <c r="B3" s="2377"/>
      <c r="C3" s="2377"/>
      <c r="D3" s="2377"/>
      <c r="E3" s="2377"/>
      <c r="F3" s="2378"/>
      <c r="G3" s="1075"/>
      <c r="H3" s="1075"/>
    </row>
    <row r="4" spans="1:8" ht="14.25" customHeight="1" x14ac:dyDescent="0.2">
      <c r="A4" s="2382" t="s">
        <v>2053</v>
      </c>
      <c r="B4" s="2383"/>
      <c r="C4" s="2383"/>
      <c r="D4" s="2383"/>
      <c r="E4" s="2383"/>
      <c r="F4" s="2384"/>
      <c r="G4" s="1075"/>
      <c r="H4" s="1075"/>
    </row>
    <row r="5" spans="1:8" ht="14.25" customHeight="1" x14ac:dyDescent="0.2">
      <c r="A5" s="2385" t="s">
        <v>2054</v>
      </c>
      <c r="B5" s="2386"/>
      <c r="C5" s="2386"/>
      <c r="D5" s="2386"/>
      <c r="E5" s="2386"/>
      <c r="F5" s="2387"/>
      <c r="G5" s="1075"/>
      <c r="H5" s="1075"/>
    </row>
    <row r="6" spans="1:8" s="1076" customFormat="1" ht="41.25" customHeight="1" x14ac:dyDescent="0.2">
      <c r="A6" s="2379" t="s">
        <v>1792</v>
      </c>
      <c r="B6" s="2380"/>
      <c r="C6" s="2380"/>
      <c r="D6" s="2380"/>
      <c r="E6" s="2380"/>
      <c r="F6" s="238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2221914</v>
      </c>
      <c r="C8" s="1838">
        <f>'Acct Summary 7-8'!D8</f>
        <v>350474</v>
      </c>
      <c r="D8" s="1838">
        <f>'Acct Summary 7-8'!F8</f>
        <v>278587</v>
      </c>
      <c r="E8" s="1838">
        <f>'Acct Summary 7-8'!I8</f>
        <v>11329</v>
      </c>
      <c r="F8" s="1838">
        <f>SUM(B8:E8)</f>
        <v>2862304</v>
      </c>
    </row>
    <row r="9" spans="1:8" s="1080" customFormat="1" ht="14.25" customHeight="1" thickBot="1" x14ac:dyDescent="0.25">
      <c r="A9" s="1079" t="s">
        <v>1436</v>
      </c>
      <c r="B9" s="1839">
        <f>'Acct Summary 7-8'!C17</f>
        <v>2769979</v>
      </c>
      <c r="C9" s="1839">
        <f>'Acct Summary 7-8'!D17</f>
        <v>387953</v>
      </c>
      <c r="D9" s="1839">
        <f>'Acct Summary 7-8'!F17</f>
        <v>280663</v>
      </c>
      <c r="E9" s="1838"/>
      <c r="F9" s="1838">
        <f>SUM(B9:E9)</f>
        <v>3438595</v>
      </c>
    </row>
    <row r="10" spans="1:8" s="1080" customFormat="1" ht="14.25" thickTop="1" thickBot="1" x14ac:dyDescent="0.25">
      <c r="A10" s="1081" t="s">
        <v>1437</v>
      </c>
      <c r="B10" s="1840">
        <f>(B8-B9)</f>
        <v>-548065</v>
      </c>
      <c r="C10" s="1840">
        <f>(C8-C9)</f>
        <v>-37479</v>
      </c>
      <c r="D10" s="1840">
        <f>(D8-D9)</f>
        <v>-2076</v>
      </c>
      <c r="E10" s="1839">
        <f>(E8-E9)</f>
        <v>11329</v>
      </c>
      <c r="F10" s="1841">
        <f>SUM(F8-F9)</f>
        <v>-576291</v>
      </c>
    </row>
    <row r="11" spans="1:8" s="1080" customFormat="1" ht="14.25" thickTop="1" thickBot="1" x14ac:dyDescent="0.25">
      <c r="A11" s="1082" t="s">
        <v>1785</v>
      </c>
      <c r="B11" s="1842">
        <f>'Acct Summary 7-8'!C81</f>
        <v>1532259</v>
      </c>
      <c r="C11" s="1842">
        <f>'Acct Summary 7-8'!D81</f>
        <v>722813</v>
      </c>
      <c r="D11" s="1842">
        <f>'Acct Summary 7-8'!F81</f>
        <v>190173</v>
      </c>
      <c r="E11" s="1842">
        <f>'Acct Summary 7-8'!I81</f>
        <v>0</v>
      </c>
      <c r="F11" s="1843">
        <f>SUM(B11:E11)</f>
        <v>2445245</v>
      </c>
    </row>
    <row r="12" spans="1:8" ht="16.5" customHeight="1" thickTop="1" x14ac:dyDescent="0.2">
      <c r="A12" s="1083"/>
      <c r="B12" s="1084"/>
      <c r="C12" s="2367" t="str">
        <f>IF(AND(F10&lt;0,F11&gt;=0,ABS(F10*3)&gt;ABS(F11)),A16,IF(AND(F10&lt;0,F11&gt;0,ABS(F10*3)&lt;=ABS(F11)),A17,IF(AND(F10&lt;0,F11&lt;0),A16,IF(F11=0,A19,A18))))</f>
        <v>Unbalanced -  however, a deficit reduction plan is not required at this time.</v>
      </c>
      <c r="D12" s="2368"/>
      <c r="E12" s="2368"/>
      <c r="F12" s="2369"/>
    </row>
    <row r="13" spans="1:8" ht="19.5" customHeight="1" x14ac:dyDescent="0.2">
      <c r="A13" s="1085"/>
      <c r="B13" s="1086"/>
      <c r="C13" s="2367"/>
      <c r="D13" s="2368"/>
      <c r="E13" s="2368"/>
      <c r="F13" s="2369"/>
      <c r="H13" s="1075"/>
    </row>
    <row r="14" spans="1:8" ht="19.5" customHeight="1" x14ac:dyDescent="0.2">
      <c r="A14" s="1085"/>
      <c r="B14" s="1086"/>
      <c r="C14" s="2367"/>
      <c r="D14" s="2368"/>
      <c r="E14" s="2368"/>
      <c r="F14" s="2369"/>
      <c r="H14" s="1075"/>
    </row>
    <row r="15" spans="1:8" ht="17.25" customHeight="1" x14ac:dyDescent="0.2">
      <c r="A15" s="1085"/>
      <c r="B15" s="1086"/>
      <c r="C15" s="2370"/>
      <c r="D15" s="2371"/>
      <c r="E15" s="2371"/>
      <c r="F15" s="2372"/>
      <c r="H15" s="1075"/>
    </row>
    <row r="16" spans="1:8" s="310" customFormat="1" ht="51.75" hidden="1" customHeight="1" x14ac:dyDescent="0.2">
      <c r="A16" s="2366" t="s">
        <v>1787</v>
      </c>
      <c r="B16" s="2366"/>
      <c r="C16" s="2366"/>
      <c r="D16" s="2366"/>
      <c r="E16" s="236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8" t="s">
        <v>686</v>
      </c>
      <c r="B3" s="2389"/>
      <c r="C3" s="2389"/>
      <c r="D3" s="2390"/>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9" t="s">
        <v>1584</v>
      </c>
      <c r="D7" s="2400"/>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3" t="s">
        <v>332</v>
      </c>
      <c r="D21" s="2404"/>
    </row>
    <row r="22" spans="1:10" ht="12.75" x14ac:dyDescent="0.2">
      <c r="A22" s="1140"/>
      <c r="B22" s="1141">
        <v>2</v>
      </c>
      <c r="C22" s="2401" t="s">
        <v>1605</v>
      </c>
      <c r="D22" s="240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5" t="s">
        <v>557</v>
      </c>
      <c r="D43" s="240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7" t="s">
        <v>817</v>
      </c>
      <c r="D56" s="239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7" t="s">
        <v>1797</v>
      </c>
      <c r="D70" s="239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21061038026</v>
      </c>
    </row>
    <row r="3" spans="1:2" x14ac:dyDescent="0.2">
      <c r="A3" t="s">
        <v>1013</v>
      </c>
      <c r="B3" s="138" t="str">
        <f>COVER!A15</f>
        <v>Massac</v>
      </c>
    </row>
    <row r="4" spans="1:2" x14ac:dyDescent="0.2">
      <c r="A4" t="s">
        <v>1064</v>
      </c>
      <c r="B4" s="138" t="str">
        <f>COVER!A17</f>
        <v>Joppa Maple Grove USD 38</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666-003889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Yes</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36847</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5356</v>
      </c>
      <c r="D76" s="2" t="str">
        <f t="shared" si="0"/>
        <v>Error?</v>
      </c>
    </row>
    <row r="77" spans="1:4" x14ac:dyDescent="0.2">
      <c r="A77" s="5">
        <v>16</v>
      </c>
      <c r="B77" s="138">
        <f>'Assets-Liab 5-6'!C13</f>
        <v>1532259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1532259</v>
      </c>
      <c r="D92" s="2" t="str">
        <f t="shared" si="0"/>
        <v>Error?</v>
      </c>
    </row>
    <row r="93" spans="1:4" x14ac:dyDescent="0.2">
      <c r="A93" s="5">
        <v>32</v>
      </c>
      <c r="B93" s="138">
        <f>'Assets-Liab 5-6'!C41</f>
        <v>1532259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722813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722813</v>
      </c>
      <c r="D123" s="2" t="str">
        <f t="shared" si="0"/>
        <v>Error?</v>
      </c>
    </row>
    <row r="124" spans="1:4" x14ac:dyDescent="0.2">
      <c r="A124" s="5">
        <v>63</v>
      </c>
      <c r="B124" s="138">
        <f>'Assets-Liab 5-6'!D41</f>
        <v>722813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190173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190173</v>
      </c>
      <c r="D170" s="2" t="str">
        <f t="shared" si="1"/>
        <v>Error?</v>
      </c>
    </row>
    <row r="171" spans="1:4" x14ac:dyDescent="0.2">
      <c r="A171" s="5">
        <v>110</v>
      </c>
      <c r="B171" s="138">
        <f>'Assets-Liab 5-6'!F41</f>
        <v>190173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41318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41318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38022</v>
      </c>
      <c r="D273" s="2" t="str">
        <f t="shared" si="3"/>
        <v>Error?</v>
      </c>
    </row>
    <row r="274" spans="1:4" x14ac:dyDescent="0.2">
      <c r="A274" s="5">
        <v>213</v>
      </c>
      <c r="B274" s="138">
        <f>'Assets-Liab 5-6'!M17</f>
        <v>3400328</v>
      </c>
      <c r="D274" s="2" t="str">
        <f t="shared" si="3"/>
        <v>Error?</v>
      </c>
    </row>
    <row r="275" spans="1:4" x14ac:dyDescent="0.2">
      <c r="A275" s="5">
        <v>214</v>
      </c>
      <c r="B275" s="138">
        <f>'Assets-Liab 5-6'!M18</f>
        <v>1339827</v>
      </c>
      <c r="D275" s="2" t="str">
        <f t="shared" si="3"/>
        <v>Error?</v>
      </c>
    </row>
    <row r="276" spans="1:4" x14ac:dyDescent="0.2">
      <c r="A276" s="5">
        <v>215</v>
      </c>
      <c r="B276" s="138">
        <f>'Assets-Liab 5-6'!M19</f>
        <v>1435312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6215078</v>
      </c>
      <c r="C279" s="2" t="s">
        <v>594</v>
      </c>
      <c r="D279" s="2" t="str">
        <f t="shared" si="3"/>
        <v>Error?</v>
      </c>
    </row>
    <row r="280" spans="1:4" x14ac:dyDescent="0.2">
      <c r="A280" s="5">
        <v>219</v>
      </c>
      <c r="B280" s="138">
        <f>'Assets-Liab 5-6'!M40</f>
        <v>6215078</v>
      </c>
      <c r="D280" s="2" t="str">
        <f t="shared" si="3"/>
        <v>Error?</v>
      </c>
    </row>
    <row r="281" spans="1:4" x14ac:dyDescent="0.2">
      <c r="A281" s="5">
        <v>220</v>
      </c>
      <c r="B281" s="138">
        <f>'Assets-Liab 5-6'!M41</f>
        <v>6215078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285134</v>
      </c>
      <c r="D283" s="2" t="str">
        <f t="shared" si="3"/>
        <v>Error?</v>
      </c>
    </row>
    <row r="284" spans="1:4" x14ac:dyDescent="0.2">
      <c r="A284" s="5">
        <v>223</v>
      </c>
      <c r="B284" s="138">
        <f>'Assets-Liab 5-6'!N23</f>
        <v>285134</v>
      </c>
      <c r="C284" s="2" t="s">
        <v>594</v>
      </c>
      <c r="D284" s="2" t="str">
        <f t="shared" si="3"/>
        <v>Error?</v>
      </c>
    </row>
    <row r="285" spans="1:4" x14ac:dyDescent="0.2">
      <c r="A285" s="5">
        <v>224</v>
      </c>
      <c r="B285" s="138">
        <f>'Assets-Liab 5-6'!N36</f>
        <v>285134</v>
      </c>
      <c r="D285" s="2" t="str">
        <f t="shared" si="3"/>
        <v>Error?</v>
      </c>
    </row>
    <row r="286" spans="1:4" x14ac:dyDescent="0.2">
      <c r="A286" s="10">
        <v>225</v>
      </c>
      <c r="D286" s="2" t="str">
        <f t="shared" si="3"/>
        <v>OK</v>
      </c>
    </row>
    <row r="287" spans="1:4" x14ac:dyDescent="0.2">
      <c r="A287" s="5">
        <v>226</v>
      </c>
      <c r="B287" s="138">
        <f>'Assets-Liab 5-6'!N37</f>
        <v>285134</v>
      </c>
      <c r="C287" s="2" t="s">
        <v>594</v>
      </c>
      <c r="D287" s="2" t="str">
        <f t="shared" si="3"/>
        <v>Error?</v>
      </c>
    </row>
    <row r="288" spans="1:4" x14ac:dyDescent="0.2">
      <c r="A288" s="5">
        <v>227</v>
      </c>
      <c r="B288" s="138">
        <f>'Assets-Liab 5-6'!N41</f>
        <v>285134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11329</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982974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25179</v>
      </c>
      <c r="D717" s="2" t="str">
        <f t="shared" si="10"/>
        <v>Error?</v>
      </c>
    </row>
    <row r="718" spans="1:4" x14ac:dyDescent="0.2">
      <c r="A718" s="5">
        <v>657</v>
      </c>
      <c r="B718" s="138">
        <f>'Expenditures 15-22'!C14</f>
        <v>38535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1402805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31949</v>
      </c>
      <c r="D722" s="2" t="str">
        <f t="shared" si="10"/>
        <v>Error?</v>
      </c>
    </row>
    <row r="723" spans="1:4" x14ac:dyDescent="0.2">
      <c r="A723" s="5">
        <v>662</v>
      </c>
      <c r="B723" s="138">
        <f>'Expenditures 15-22'!C38</f>
        <v>24064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20118</v>
      </c>
      <c r="D726" s="2" t="str">
        <f t="shared" si="10"/>
        <v>Error?</v>
      </c>
    </row>
    <row r="727" spans="1:4" x14ac:dyDescent="0.2">
      <c r="A727" s="5">
        <v>666</v>
      </c>
      <c r="B727" s="138">
        <f>'Expenditures 15-22'!C42</f>
        <v>76131</v>
      </c>
      <c r="C727" s="2" t="s">
        <v>594</v>
      </c>
      <c r="D727" s="2" t="str">
        <f t="shared" si="10"/>
        <v>Error?</v>
      </c>
    </row>
    <row r="728" spans="1:4" x14ac:dyDescent="0.2">
      <c r="A728" s="5">
        <v>667</v>
      </c>
      <c r="B728" s="138">
        <f>'Expenditures 15-22'!C44</f>
        <v>1807</v>
      </c>
      <c r="D728" s="2" t="str">
        <f t="shared" si="10"/>
        <v>Error?</v>
      </c>
    </row>
    <row r="729" spans="1:4" x14ac:dyDescent="0.2">
      <c r="A729" s="5">
        <v>668</v>
      </c>
      <c r="B729" s="138">
        <f>'Expenditures 15-22'!C45</f>
        <v>12636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14443</v>
      </c>
      <c r="C731" s="2" t="s">
        <v>594</v>
      </c>
      <c r="D731" s="2" t="str">
        <f t="shared" si="10"/>
        <v>Error?</v>
      </c>
    </row>
    <row r="732" spans="1:4" x14ac:dyDescent="0.2">
      <c r="A732" s="5">
        <v>671</v>
      </c>
      <c r="B732" s="138">
        <f>'Expenditures 15-22'!C49</f>
        <v>6235</v>
      </c>
      <c r="D732" s="2" t="str">
        <f t="shared" si="10"/>
        <v>Error?</v>
      </c>
    </row>
    <row r="733" spans="1:4" x14ac:dyDescent="0.2">
      <c r="A733" s="5">
        <v>672</v>
      </c>
      <c r="B733" s="138">
        <f>'Expenditures 15-22'!C50</f>
        <v>89000</v>
      </c>
      <c r="D733" s="2" t="str">
        <f t="shared" si="10"/>
        <v>Error?</v>
      </c>
    </row>
    <row r="734" spans="1:4" x14ac:dyDescent="0.2">
      <c r="A734" s="5">
        <v>673</v>
      </c>
      <c r="B734" s="138">
        <f>'Expenditures 15-22'!C53</f>
        <v>95235</v>
      </c>
      <c r="C734" s="2" t="s">
        <v>594</v>
      </c>
      <c r="D734" s="2" t="str">
        <f t="shared" si="10"/>
        <v>Error?</v>
      </c>
    </row>
    <row r="735" spans="1:4" x14ac:dyDescent="0.2">
      <c r="A735" s="5">
        <v>674</v>
      </c>
      <c r="B735" s="138">
        <f>'Expenditures 15-22'!C55</f>
        <v>121828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121828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72069</v>
      </c>
      <c r="D739" s="2" t="str">
        <f t="shared" si="10"/>
        <v>Error?</v>
      </c>
    </row>
    <row r="740" spans="1:4" x14ac:dyDescent="0.2">
      <c r="A740" s="5">
        <v>679</v>
      </c>
      <c r="B740" s="138">
        <f>'Expenditures 15-22'!C61</f>
        <v>5472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64212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141753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449390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1852195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144482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370</v>
      </c>
      <c r="D775" s="2" t="str">
        <f t="shared" si="11"/>
        <v>Error?</v>
      </c>
    </row>
    <row r="776" spans="1:4" x14ac:dyDescent="0.2">
      <c r="A776" s="5">
        <v>715</v>
      </c>
      <c r="B776" s="138">
        <f>'Expenditures 15-22'!D14</f>
        <v>410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239095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468</v>
      </c>
      <c r="D780" s="2" t="str">
        <f t="shared" si="11"/>
        <v>Error?</v>
      </c>
    </row>
    <row r="781" spans="1:4" x14ac:dyDescent="0.2">
      <c r="A781" s="5">
        <v>720</v>
      </c>
      <c r="B781" s="138">
        <f>'Expenditures 15-22'!D38</f>
        <v>1134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243</v>
      </c>
      <c r="D784" s="2" t="str">
        <f t="shared" si="11"/>
        <v>Error?</v>
      </c>
    </row>
    <row r="785" spans="1:4" x14ac:dyDescent="0.2">
      <c r="A785" s="5">
        <v>724</v>
      </c>
      <c r="B785" s="138">
        <f>'Expenditures 15-22'!D42</f>
        <v>1845</v>
      </c>
      <c r="C785" s="2" t="s">
        <v>594</v>
      </c>
      <c r="D785" s="2" t="str">
        <f t="shared" si="11"/>
        <v>Error?</v>
      </c>
    </row>
    <row r="786" spans="1:4" x14ac:dyDescent="0.2">
      <c r="A786" s="5">
        <v>725</v>
      </c>
      <c r="B786" s="138">
        <f>'Expenditures 15-22'!D44</f>
        <v>25</v>
      </c>
      <c r="D786" s="2" t="str">
        <f t="shared" si="11"/>
        <v>Error?</v>
      </c>
    </row>
    <row r="787" spans="1:4" x14ac:dyDescent="0.2">
      <c r="A787" s="5">
        <v>726</v>
      </c>
      <c r="B787" s="138">
        <f>'Expenditures 15-22'!D45</f>
        <v>5521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5546</v>
      </c>
      <c r="C789" s="2" t="s">
        <v>594</v>
      </c>
      <c r="D789" s="2" t="str">
        <f t="shared" si="11"/>
        <v>Error?</v>
      </c>
    </row>
    <row r="790" spans="1:4" x14ac:dyDescent="0.2">
      <c r="A790" s="5">
        <v>729</v>
      </c>
      <c r="B790" s="138">
        <f>'Expenditures 15-22'!D49</f>
        <v>268</v>
      </c>
      <c r="D790" s="2" t="str">
        <f t="shared" si="11"/>
        <v>Error?</v>
      </c>
    </row>
    <row r="791" spans="1:4" x14ac:dyDescent="0.2">
      <c r="A791" s="5">
        <v>730</v>
      </c>
      <c r="B791" s="138">
        <f>'Expenditures 15-22'!D50</f>
        <v>5043</v>
      </c>
      <c r="D791" s="2" t="str">
        <f t="shared" si="11"/>
        <v>Error?</v>
      </c>
    </row>
    <row r="792" spans="1:4" x14ac:dyDescent="0.2">
      <c r="A792" s="5">
        <v>731</v>
      </c>
      <c r="B792" s="138">
        <f>'Expenditures 15-22'!D53</f>
        <v>5311</v>
      </c>
      <c r="C792" s="2" t="s">
        <v>594</v>
      </c>
      <c r="D792" s="2" t="str">
        <f t="shared" si="11"/>
        <v>Error?</v>
      </c>
    </row>
    <row r="793" spans="1:4" x14ac:dyDescent="0.2">
      <c r="A793" s="5">
        <v>732</v>
      </c>
      <c r="B793" s="138">
        <f>'Expenditures 15-22'!D55</f>
        <v>41183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41183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10606</v>
      </c>
      <c r="D797" s="2" t="str">
        <f t="shared" si="11"/>
        <v>Error?</v>
      </c>
    </row>
    <row r="798" spans="1:4" x14ac:dyDescent="0.2">
      <c r="A798" s="5">
        <v>737</v>
      </c>
      <c r="B798" s="138">
        <f>'Expenditures 15-22'!D61</f>
        <v>268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19192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30066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83951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323046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28768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9612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38412</v>
      </c>
      <c r="C836" s="2" t="s">
        <v>594</v>
      </c>
      <c r="D836" s="2" t="str">
        <f t="shared" si="12"/>
        <v>Error?</v>
      </c>
    </row>
    <row r="837" spans="1:4" x14ac:dyDescent="0.2">
      <c r="A837" s="5">
        <v>776</v>
      </c>
      <c r="B837" s="138">
        <f>'Expenditures 15-22'!E36</f>
        <v>16000</v>
      </c>
      <c r="D837" s="2" t="str">
        <f t="shared" si="12"/>
        <v>Error?</v>
      </c>
    </row>
    <row r="838" spans="1:4" x14ac:dyDescent="0.2">
      <c r="A838" s="5">
        <v>777</v>
      </c>
      <c r="B838" s="138">
        <f>'Expenditures 15-22'!E37</f>
        <v>557</v>
      </c>
      <c r="D838" s="2" t="str">
        <f t="shared" si="12"/>
        <v>Error?</v>
      </c>
    </row>
    <row r="839" spans="1:4" x14ac:dyDescent="0.2">
      <c r="A839" s="5">
        <v>778</v>
      </c>
      <c r="B839" s="138">
        <f>'Expenditures 15-22'!E38</f>
        <v>403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16960</v>
      </c>
      <c r="C843" s="2" t="s">
        <v>594</v>
      </c>
      <c r="D843" s="2" t="str">
        <f t="shared" si="12"/>
        <v>Error?</v>
      </c>
    </row>
    <row r="844" spans="1:4" x14ac:dyDescent="0.2">
      <c r="A844" s="5">
        <v>783</v>
      </c>
      <c r="B844" s="138">
        <f>'Expenditures 15-22'!E44</f>
        <v>1585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1585</v>
      </c>
      <c r="C847" s="2" t="s">
        <v>594</v>
      </c>
      <c r="D847" s="2" t="str">
        <f t="shared" si="12"/>
        <v>Error?</v>
      </c>
    </row>
    <row r="848" spans="1:4" x14ac:dyDescent="0.2">
      <c r="A848" s="5">
        <v>787</v>
      </c>
      <c r="B848" s="138">
        <f>'Expenditures 15-22'!E49</f>
        <v>171550</v>
      </c>
      <c r="D848" s="2" t="str">
        <f t="shared" si="12"/>
        <v>Error?</v>
      </c>
    </row>
    <row r="849" spans="1:4" x14ac:dyDescent="0.2">
      <c r="A849" s="5">
        <v>788</v>
      </c>
      <c r="B849" s="138">
        <f>'Expenditures 15-22'!E50</f>
        <v>18564</v>
      </c>
      <c r="D849" s="2" t="str">
        <f t="shared" si="12"/>
        <v>Error?</v>
      </c>
    </row>
    <row r="850" spans="1:4" x14ac:dyDescent="0.2">
      <c r="A850" s="5">
        <v>789</v>
      </c>
      <c r="B850" s="138">
        <f>'Expenditures 15-22'!E53</f>
        <v>190114</v>
      </c>
      <c r="C850" s="2" t="s">
        <v>594</v>
      </c>
      <c r="D850" s="2" t="str">
        <f t="shared" si="12"/>
        <v>Error?</v>
      </c>
    </row>
    <row r="851" spans="1:4" x14ac:dyDescent="0.2">
      <c r="A851" s="5">
        <v>790</v>
      </c>
      <c r="B851" s="138">
        <f>'Expenditures 15-22'!E55</f>
        <v>2773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2773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2259</v>
      </c>
      <c r="D855" s="2" t="str">
        <f t="shared" si="12"/>
        <v>Error?</v>
      </c>
    </row>
    <row r="856" spans="1:4" x14ac:dyDescent="0.2">
      <c r="A856" s="5">
        <v>795</v>
      </c>
      <c r="B856" s="138">
        <f>'Expenditures 15-22'!E61</f>
        <v>7204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222022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391240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18186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1269</v>
      </c>
      <c r="D891" s="2" t="str">
        <f t="shared" si="12"/>
        <v>Error?</v>
      </c>
    </row>
    <row r="892" spans="1:4" x14ac:dyDescent="0.2">
      <c r="A892" s="5">
        <v>831</v>
      </c>
      <c r="B892" s="138">
        <f>'Expenditures 15-22'!F14</f>
        <v>6277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27116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640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279</v>
      </c>
      <c r="C905" s="2" t="s">
        <v>594</v>
      </c>
      <c r="D905" s="2" t="str">
        <f t="shared" si="13"/>
        <v>Error?</v>
      </c>
    </row>
    <row r="906" spans="1:4" x14ac:dyDescent="0.2">
      <c r="A906" s="5">
        <v>845</v>
      </c>
      <c r="B906" s="138">
        <f>'Expenditures 15-22'!F49</f>
        <v>3176</v>
      </c>
      <c r="D906" s="2" t="str">
        <f t="shared" si="13"/>
        <v>Error?</v>
      </c>
    </row>
    <row r="907" spans="1:4" x14ac:dyDescent="0.2">
      <c r="A907" s="5">
        <v>846</v>
      </c>
      <c r="B907" s="138">
        <f>'Expenditures 15-22'!F50</f>
        <v>31806</v>
      </c>
      <c r="D907" s="2" t="str">
        <f t="shared" si="13"/>
        <v>Error?</v>
      </c>
    </row>
    <row r="908" spans="1:4" x14ac:dyDescent="0.2">
      <c r="A908" s="5">
        <v>847</v>
      </c>
      <c r="B908" s="138">
        <f>'Expenditures 15-22'!F53</f>
        <v>34982</v>
      </c>
      <c r="C908" s="2" t="s">
        <v>594</v>
      </c>
      <c r="D908" s="2" t="str">
        <f t="shared" si="13"/>
        <v>Error?</v>
      </c>
    </row>
    <row r="909" spans="1:4" x14ac:dyDescent="0.2">
      <c r="A909" s="5">
        <v>848</v>
      </c>
      <c r="B909" s="138">
        <f>'Expenditures 15-22'!F55</f>
        <v>4583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4583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2111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91675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93786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134270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161386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11140</v>
      </c>
      <c r="D965" s="2" t="str">
        <f t="shared" si="14"/>
        <v>Error?</v>
      </c>
    </row>
    <row r="966" spans="1:4" x14ac:dyDescent="0.2">
      <c r="A966" s="5">
        <v>905</v>
      </c>
      <c r="B966" s="138">
        <f>'Expenditures 15-22'!G53</f>
        <v>11140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357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357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11497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12151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16480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100</v>
      </c>
      <c r="D1007" s="2" t="str">
        <f t="shared" si="14"/>
        <v>Error?</v>
      </c>
    </row>
    <row r="1008" spans="1:4" x14ac:dyDescent="0.2">
      <c r="A1008" s="5">
        <v>947</v>
      </c>
      <c r="B1008" s="138">
        <f>'Expenditures 15-22'!H14</f>
        <v>905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17485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9638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9638</v>
      </c>
      <c r="C1024" s="2" t="s">
        <v>594</v>
      </c>
      <c r="D1024" s="2" t="str">
        <f t="shared" si="15"/>
        <v>Error?</v>
      </c>
    </row>
    <row r="1025" spans="1:4" x14ac:dyDescent="0.2">
      <c r="A1025" s="5">
        <v>964</v>
      </c>
      <c r="B1025" s="138">
        <f>'Expenditures 15-22'!H55</f>
        <v>2778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2778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12476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29961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1190890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26918</v>
      </c>
      <c r="C1105" s="2" t="s">
        <v>594</v>
      </c>
      <c r="D1105" s="2" t="str">
        <f t="shared" si="16"/>
        <v>Error?</v>
      </c>
    </row>
    <row r="1106" spans="1:4" x14ac:dyDescent="0.2">
      <c r="A1106" s="5">
        <v>1045</v>
      </c>
      <c r="B1106" s="138">
        <f>'Expenditures 15-22'!K14</f>
        <v>55739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1725567</v>
      </c>
      <c r="C1108" s="2" t="s">
        <v>594</v>
      </c>
      <c r="D1108" s="2" t="str">
        <f t="shared" si="16"/>
        <v>Error?</v>
      </c>
    </row>
    <row r="1109" spans="1:4" x14ac:dyDescent="0.2">
      <c r="A1109" s="5">
        <v>1048</v>
      </c>
      <c r="B1109" s="138">
        <f>'Expenditures 15-22'!K36</f>
        <v>16000</v>
      </c>
      <c r="C1109" s="2" t="s">
        <v>594</v>
      </c>
      <c r="D1109" s="2" t="str">
        <f t="shared" si="16"/>
        <v>Error?</v>
      </c>
    </row>
    <row r="1110" spans="1:4" x14ac:dyDescent="0.2">
      <c r="A1110" s="5">
        <v>1049</v>
      </c>
      <c r="B1110" s="138">
        <f>'Expenditures 15-22'!K37</f>
        <v>32974</v>
      </c>
      <c r="C1110" s="2" t="s">
        <v>594</v>
      </c>
      <c r="D1110" s="2" t="str">
        <f t="shared" si="16"/>
        <v>Error?</v>
      </c>
    </row>
    <row r="1111" spans="1:4" x14ac:dyDescent="0.2">
      <c r="A1111" s="5">
        <v>1050</v>
      </c>
      <c r="B1111" s="138">
        <f>'Expenditures 15-22'!K38</f>
        <v>26301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20361</v>
      </c>
      <c r="C1114" s="2" t="s">
        <v>594</v>
      </c>
      <c r="D1114" s="2" t="str">
        <f t="shared" si="16"/>
        <v>Error?</v>
      </c>
    </row>
    <row r="1115" spans="1:4" x14ac:dyDescent="0.2">
      <c r="A1115" s="5">
        <v>1054</v>
      </c>
      <c r="B1115" s="138">
        <f>'Expenditures 15-22'!K42</f>
        <v>95636</v>
      </c>
      <c r="C1115" s="2" t="s">
        <v>594</v>
      </c>
      <c r="D1115" s="2" t="str">
        <f t="shared" si="16"/>
        <v>Error?</v>
      </c>
    </row>
    <row r="1116" spans="1:4" x14ac:dyDescent="0.2">
      <c r="A1116" s="5">
        <v>1055</v>
      </c>
      <c r="B1116" s="138">
        <f>'Expenditures 15-22'!K44</f>
        <v>3417</v>
      </c>
      <c r="C1116" s="2" t="s">
        <v>594</v>
      </c>
      <c r="D1116" s="2" t="str">
        <f t="shared" si="16"/>
        <v>Error?</v>
      </c>
    </row>
    <row r="1117" spans="1:4" x14ac:dyDescent="0.2">
      <c r="A1117" s="5">
        <v>1056</v>
      </c>
      <c r="B1117" s="138">
        <f>'Expenditures 15-22'!K45</f>
        <v>18436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21853</v>
      </c>
      <c r="C1119" s="2" t="s">
        <v>594</v>
      </c>
      <c r="D1119" s="2" t="str">
        <f t="shared" si="16"/>
        <v>Error?</v>
      </c>
    </row>
    <row r="1120" spans="1:4" x14ac:dyDescent="0.2">
      <c r="A1120" s="5">
        <v>1059</v>
      </c>
      <c r="B1120" s="138">
        <f>'Expenditures 15-22'!K49</f>
        <v>190867</v>
      </c>
      <c r="C1120" s="2" t="s">
        <v>594</v>
      </c>
      <c r="D1120" s="2" t="str">
        <f t="shared" si="16"/>
        <v>Error?</v>
      </c>
    </row>
    <row r="1121" spans="1:4" x14ac:dyDescent="0.2">
      <c r="A1121" s="5">
        <v>1060</v>
      </c>
      <c r="B1121" s="138">
        <f>'Expenditures 15-22'!K50</f>
        <v>155553</v>
      </c>
      <c r="C1121" s="2" t="s">
        <v>594</v>
      </c>
      <c r="D1121" s="2" t="str">
        <f t="shared" si="16"/>
        <v>Error?</v>
      </c>
    </row>
    <row r="1122" spans="1:4" x14ac:dyDescent="0.2">
      <c r="A1122" s="5">
        <v>1061</v>
      </c>
      <c r="B1122" s="138">
        <f>'Expenditures 15-22'!K53</f>
        <v>346420</v>
      </c>
      <c r="C1122" s="2" t="s">
        <v>594</v>
      </c>
      <c r="D1122" s="2" t="str">
        <f t="shared" si="16"/>
        <v>Error?</v>
      </c>
    </row>
    <row r="1123" spans="1:4" x14ac:dyDescent="0.2">
      <c r="A1123" s="5">
        <v>1062</v>
      </c>
      <c r="B1123" s="138">
        <f>'Expenditures 15-22'!K55</f>
        <v>173145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173145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87402</v>
      </c>
      <c r="C1127" s="2" t="s">
        <v>594</v>
      </c>
      <c r="D1127" s="2" t="str">
        <f t="shared" si="16"/>
        <v>Error?</v>
      </c>
    </row>
    <row r="1128" spans="1:4" x14ac:dyDescent="0.2">
      <c r="A1128" s="5">
        <v>1067</v>
      </c>
      <c r="B1128" s="138">
        <f>'Expenditures 15-22'!K61</f>
        <v>12944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176206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276552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913606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130806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2769979</v>
      </c>
      <c r="C1152" s="2" t="s">
        <v>594</v>
      </c>
      <c r="D1152" s="2" t="str">
        <f t="shared" si="17"/>
        <v>Error?</v>
      </c>
    </row>
    <row r="1153" spans="1:4" x14ac:dyDescent="0.2">
      <c r="A1153" s="5">
        <v>1092</v>
      </c>
      <c r="B1153" s="138">
        <f>'Expenditures 15-22'!K115</f>
        <v>-548065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18000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122461</v>
      </c>
      <c r="D1221" s="2" t="str">
        <f t="shared" si="18"/>
        <v>Error?</v>
      </c>
    </row>
    <row r="1222" spans="1:4" x14ac:dyDescent="0.2">
      <c r="A1222" s="10">
        <v>1161</v>
      </c>
      <c r="D1222" s="2" t="str">
        <f t="shared" si="18"/>
        <v>OK</v>
      </c>
    </row>
    <row r="1223" spans="1:4" x14ac:dyDescent="0.2">
      <c r="A1223" s="5">
        <v>1162</v>
      </c>
      <c r="B1223" s="138">
        <f>'Expenditures 15-22'!C127</f>
        <v>140461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140461</v>
      </c>
      <c r="C1225" s="2" t="s">
        <v>594</v>
      </c>
      <c r="D1225" s="2" t="str">
        <f t="shared" si="18"/>
        <v>Error?</v>
      </c>
    </row>
    <row r="1226" spans="1:4" x14ac:dyDescent="0.2">
      <c r="A1226" s="5">
        <v>1165</v>
      </c>
      <c r="B1226" s="138">
        <f>'Expenditures 15-22'!C151</f>
        <v>140461</v>
      </c>
      <c r="C1226" s="2" t="s">
        <v>594</v>
      </c>
      <c r="D1226" s="2" t="str">
        <f t="shared" si="18"/>
        <v>Error?</v>
      </c>
    </row>
    <row r="1227" spans="1:4" x14ac:dyDescent="0.2">
      <c r="A1227" s="5">
        <v>1166</v>
      </c>
      <c r="B1227" s="138">
        <f>'Expenditures 15-22'!D122</f>
        <v>2303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26663</v>
      </c>
      <c r="D1229" s="2" t="str">
        <f t="shared" si="18"/>
        <v>Error?</v>
      </c>
    </row>
    <row r="1230" spans="1:4" x14ac:dyDescent="0.2">
      <c r="A1230" s="10">
        <v>1169</v>
      </c>
      <c r="D1230" s="2" t="str">
        <f t="shared" si="18"/>
        <v>OK</v>
      </c>
    </row>
    <row r="1231" spans="1:4" x14ac:dyDescent="0.2">
      <c r="A1231" s="5">
        <v>1170</v>
      </c>
      <c r="B1231" s="138">
        <f>'Expenditures 15-22'!D127</f>
        <v>28966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28966</v>
      </c>
      <c r="C1233" s="2" t="s">
        <v>594</v>
      </c>
      <c r="D1233" s="2" t="str">
        <f t="shared" si="18"/>
        <v>Error?</v>
      </c>
    </row>
    <row r="1234" spans="1:4" x14ac:dyDescent="0.2">
      <c r="A1234" s="5">
        <v>1173</v>
      </c>
      <c r="B1234" s="138">
        <f>'Expenditures 15-22'!D151</f>
        <v>28966</v>
      </c>
      <c r="C1234" s="2" t="s">
        <v>594</v>
      </c>
      <c r="D1234" s="2" t="str">
        <f t="shared" si="18"/>
        <v>Error?</v>
      </c>
    </row>
    <row r="1235" spans="1:4" x14ac:dyDescent="0.2">
      <c r="A1235" s="5">
        <v>1174</v>
      </c>
      <c r="B1235" s="138">
        <f>'Expenditures 15-22'!E122</f>
        <v>6899</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77297</v>
      </c>
      <c r="D1237" s="2" t="str">
        <f t="shared" si="18"/>
        <v>Error?</v>
      </c>
    </row>
    <row r="1238" spans="1:4" x14ac:dyDescent="0.2">
      <c r="A1238" s="10">
        <v>1177</v>
      </c>
      <c r="D1238" s="2" t="str">
        <f t="shared" si="18"/>
        <v>OK</v>
      </c>
    </row>
    <row r="1239" spans="1:4" x14ac:dyDescent="0.2">
      <c r="A1239" s="5">
        <v>1178</v>
      </c>
      <c r="B1239" s="138">
        <f>'Expenditures 15-22'!E127</f>
        <v>84196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84196</v>
      </c>
      <c r="C1241" s="2" t="s">
        <v>594</v>
      </c>
      <c r="D1241" s="2" t="str">
        <f t="shared" si="18"/>
        <v>Error?</v>
      </c>
    </row>
    <row r="1242" spans="1:4" x14ac:dyDescent="0.2">
      <c r="A1242" s="5">
        <v>1181</v>
      </c>
      <c r="B1242" s="138">
        <f>'Expenditures 15-22'!E151</f>
        <v>84196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111136</v>
      </c>
      <c r="D1245" s="2" t="str">
        <f t="shared" si="18"/>
        <v>Error?</v>
      </c>
    </row>
    <row r="1246" spans="1:4" x14ac:dyDescent="0.2">
      <c r="A1246" s="10">
        <v>1185</v>
      </c>
      <c r="D1246" s="2" t="str">
        <f t="shared" si="18"/>
        <v>OK</v>
      </c>
    </row>
    <row r="1247" spans="1:4" x14ac:dyDescent="0.2">
      <c r="A1247" s="5">
        <v>1186</v>
      </c>
      <c r="B1247" s="138">
        <f>'Expenditures 15-22'!F127</f>
        <v>111136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111136</v>
      </c>
      <c r="C1249" s="2" t="s">
        <v>594</v>
      </c>
      <c r="D1249" s="2" t="str">
        <f t="shared" si="18"/>
        <v>Error?</v>
      </c>
    </row>
    <row r="1250" spans="1:4" x14ac:dyDescent="0.2">
      <c r="A1250" s="5">
        <v>1189</v>
      </c>
      <c r="B1250" s="138">
        <f>'Expenditures 15-22'!F151</f>
        <v>111136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23194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23194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23194</v>
      </c>
      <c r="C1258" s="2" t="s">
        <v>594</v>
      </c>
      <c r="D1258" s="2" t="str">
        <f t="shared" si="18"/>
        <v>Error?</v>
      </c>
    </row>
    <row r="1259" spans="1:4" x14ac:dyDescent="0.2">
      <c r="A1259" s="5">
        <v>1198</v>
      </c>
      <c r="B1259" s="138">
        <f>'Expenditures 15-22'!G151</f>
        <v>23194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27202</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360751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387953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387953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387953</v>
      </c>
      <c r="C1288" s="2" t="s">
        <v>594</v>
      </c>
      <c r="D1288" s="2" t="str">
        <f t="shared" si="19"/>
        <v>Error?</v>
      </c>
    </row>
    <row r="1289" spans="1:4" x14ac:dyDescent="0.2">
      <c r="A1289" s="5">
        <v>1228</v>
      </c>
      <c r="B1289" s="138">
        <f>'Expenditures 15-22'!K152</f>
        <v>-37479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4690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54720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59410</v>
      </c>
      <c r="C1317" s="2" t="s">
        <v>594</v>
      </c>
      <c r="D1317" s="2" t="str">
        <f t="shared" si="19"/>
        <v>Error?</v>
      </c>
    </row>
    <row r="1318" spans="1:4" x14ac:dyDescent="0.2">
      <c r="A1318" s="5">
        <v>1257</v>
      </c>
      <c r="B1318" s="138">
        <f>'Expenditures 15-22'!H174</f>
        <v>59410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4690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54720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59410</v>
      </c>
      <c r="C1331" s="2" t="s">
        <v>594</v>
      </c>
      <c r="D1331" s="2" t="str">
        <f t="shared" si="19"/>
        <v>Error?</v>
      </c>
    </row>
    <row r="1332" spans="1:4" x14ac:dyDescent="0.2">
      <c r="A1332" s="5">
        <v>1271</v>
      </c>
      <c r="B1332" s="138">
        <f>'Expenditures 15-22'!K174</f>
        <v>59410</v>
      </c>
      <c r="C1332" s="2" t="s">
        <v>594</v>
      </c>
      <c r="D1332" s="2" t="str">
        <f t="shared" si="19"/>
        <v>Error?</v>
      </c>
    </row>
    <row r="1333" spans="1:4" x14ac:dyDescent="0.2">
      <c r="A1333" s="5">
        <v>1272</v>
      </c>
      <c r="B1333" s="138">
        <f>'Expenditures 15-22'!K175</f>
        <v>-59410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280663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280663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280663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280663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280663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280663</v>
      </c>
      <c r="C1388" s="2" t="s">
        <v>594</v>
      </c>
      <c r="D1388" s="2" t="str">
        <f t="shared" si="20"/>
        <v>Error?</v>
      </c>
    </row>
    <row r="1389" spans="1:4" x14ac:dyDescent="0.2">
      <c r="A1389" s="5">
        <v>1328</v>
      </c>
      <c r="B1389" s="138">
        <f>'Expenditures 15-22'!K211</f>
        <v>-2076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365</v>
      </c>
      <c r="D1407" s="2" t="str">
        <f t="shared" ref="D1407:D1470" si="21">IF(ISBLANK(B1407),"OK",IF(A1407-B1407=0,"OK","Error?"))</f>
        <v>Error?</v>
      </c>
    </row>
    <row r="1408" spans="1:4" x14ac:dyDescent="0.2">
      <c r="A1408" s="5">
        <v>1347</v>
      </c>
      <c r="B1408" s="138">
        <f>'Expenditures 15-22'!D223</f>
        <v>1940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46428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463</v>
      </c>
      <c r="D1412" s="2" t="str">
        <f t="shared" si="21"/>
        <v>Error?</v>
      </c>
    </row>
    <row r="1413" spans="1:4" x14ac:dyDescent="0.2">
      <c r="A1413" s="5">
        <v>1352</v>
      </c>
      <c r="B1413" s="138">
        <f>'Expenditures 15-22'!D234</f>
        <v>4158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906</v>
      </c>
      <c r="D1416" s="2" t="str">
        <f t="shared" si="21"/>
        <v>Error?</v>
      </c>
    </row>
    <row r="1417" spans="1:4" x14ac:dyDescent="0.2">
      <c r="A1417" s="5">
        <v>1356</v>
      </c>
      <c r="B1417" s="138">
        <f>'Expenditures 15-22'!D238</f>
        <v>5527</v>
      </c>
      <c r="C1417" s="2" t="s">
        <v>594</v>
      </c>
      <c r="D1417" s="2" t="str">
        <f t="shared" si="21"/>
        <v>Error?</v>
      </c>
    </row>
    <row r="1418" spans="1:4" x14ac:dyDescent="0.2">
      <c r="A1418" s="5">
        <v>1357</v>
      </c>
      <c r="B1418" s="138">
        <f>'Expenditures 15-22'!D240</f>
        <v>54</v>
      </c>
      <c r="D1418" s="2" t="str">
        <f t="shared" si="21"/>
        <v>Error?</v>
      </c>
    </row>
    <row r="1419" spans="1:4" x14ac:dyDescent="0.2">
      <c r="A1419" s="5">
        <v>1358</v>
      </c>
      <c r="B1419" s="138">
        <f>'Expenditures 15-22'!D241</f>
        <v>2184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2238</v>
      </c>
      <c r="C1421" s="2" t="s">
        <v>594</v>
      </c>
      <c r="D1421" s="2" t="str">
        <f t="shared" si="21"/>
        <v>Error?</v>
      </c>
    </row>
    <row r="1422" spans="1:4" x14ac:dyDescent="0.2">
      <c r="A1422" s="5">
        <v>1361</v>
      </c>
      <c r="B1422" s="138">
        <f>'Expenditures 15-22'!D245</f>
        <v>1026</v>
      </c>
      <c r="D1422" s="2" t="str">
        <f t="shared" si="21"/>
        <v>Error?</v>
      </c>
    </row>
    <row r="1423" spans="1:4" x14ac:dyDescent="0.2">
      <c r="A1423" s="5">
        <v>1362</v>
      </c>
      <c r="B1423" s="138">
        <f>'Expenditures 15-22'!D246</f>
        <v>1211</v>
      </c>
      <c r="D1423" s="2" t="str">
        <f t="shared" si="21"/>
        <v>Error?</v>
      </c>
    </row>
    <row r="1424" spans="1:4" x14ac:dyDescent="0.2">
      <c r="A1424" s="5">
        <v>1363</v>
      </c>
      <c r="B1424" s="138">
        <f>'Expenditures 15-22'!D257</f>
        <v>2664</v>
      </c>
      <c r="C1424" s="2" t="s">
        <v>594</v>
      </c>
      <c r="D1424" s="2" t="str">
        <f t="shared" si="21"/>
        <v>Error?</v>
      </c>
    </row>
    <row r="1425" spans="1:4" x14ac:dyDescent="0.2">
      <c r="A1425" s="5">
        <v>1364</v>
      </c>
      <c r="B1425" s="138">
        <f>'Expenditures 15-22'!D259</f>
        <v>9687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9687</v>
      </c>
      <c r="C1427" s="2" t="s">
        <v>594</v>
      </c>
      <c r="D1427" s="2" t="str">
        <f t="shared" si="21"/>
        <v>Error?</v>
      </c>
    </row>
    <row r="1428" spans="1:4" x14ac:dyDescent="0.2">
      <c r="A1428" s="5">
        <v>1367</v>
      </c>
      <c r="B1428" s="138">
        <f>'Expenditures 15-22'!D263</f>
        <v>261</v>
      </c>
      <c r="D1428" s="2" t="str">
        <f t="shared" si="21"/>
        <v>Error?</v>
      </c>
    </row>
    <row r="1429" spans="1:4" x14ac:dyDescent="0.2">
      <c r="A1429" s="5">
        <v>1368</v>
      </c>
      <c r="B1429" s="138">
        <f>'Expenditures 15-22'!D264</f>
        <v>12483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22705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11434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46883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66999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113427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365</v>
      </c>
      <c r="C1471" s="2" t="s">
        <v>594</v>
      </c>
      <c r="D1471" s="2" t="str">
        <f t="shared" ref="D1471:D1534" si="22">IF(ISBLANK(B1471),"OK",IF(A1471-B1471=0,"OK","Error?"))</f>
        <v>Error?</v>
      </c>
    </row>
    <row r="1472" spans="1:4" x14ac:dyDescent="0.2">
      <c r="A1472" s="5">
        <v>1411</v>
      </c>
      <c r="B1472" s="138">
        <f>'Expenditures 15-22'!K223</f>
        <v>1940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46428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463</v>
      </c>
      <c r="C1476" s="2" t="s">
        <v>594</v>
      </c>
      <c r="D1476" s="2" t="str">
        <f t="shared" si="22"/>
        <v>Error?</v>
      </c>
    </row>
    <row r="1477" spans="1:4" x14ac:dyDescent="0.2">
      <c r="A1477" s="5">
        <v>1416</v>
      </c>
      <c r="B1477" s="138">
        <f>'Expenditures 15-22'!K234</f>
        <v>4158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906</v>
      </c>
      <c r="C1480" s="2" t="s">
        <v>594</v>
      </c>
      <c r="D1480" s="2" t="str">
        <f t="shared" si="22"/>
        <v>Error?</v>
      </c>
    </row>
    <row r="1481" spans="1:4" x14ac:dyDescent="0.2">
      <c r="A1481" s="5">
        <v>1420</v>
      </c>
      <c r="B1481" s="138">
        <f>'Expenditures 15-22'!K238</f>
        <v>5527</v>
      </c>
      <c r="C1481" s="2" t="s">
        <v>594</v>
      </c>
      <c r="D1481" s="2" t="str">
        <f t="shared" si="22"/>
        <v>Error?</v>
      </c>
    </row>
    <row r="1482" spans="1:4" x14ac:dyDescent="0.2">
      <c r="A1482" s="5">
        <v>1421</v>
      </c>
      <c r="B1482" s="138">
        <f>'Expenditures 15-22'!K240</f>
        <v>54</v>
      </c>
      <c r="C1482" s="2" t="s">
        <v>594</v>
      </c>
      <c r="D1482" s="2" t="str">
        <f t="shared" si="22"/>
        <v>Error?</v>
      </c>
    </row>
    <row r="1483" spans="1:4" x14ac:dyDescent="0.2">
      <c r="A1483" s="5">
        <v>1422</v>
      </c>
      <c r="B1483" s="138">
        <f>'Expenditures 15-22'!K241</f>
        <v>2184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2238</v>
      </c>
      <c r="C1485" s="2" t="s">
        <v>594</v>
      </c>
      <c r="D1485" s="2" t="str">
        <f t="shared" si="22"/>
        <v>Error?</v>
      </c>
    </row>
    <row r="1486" spans="1:4" x14ac:dyDescent="0.2">
      <c r="A1486" s="5">
        <v>1425</v>
      </c>
      <c r="B1486" s="138">
        <f>'Expenditures 15-22'!K245</f>
        <v>1026</v>
      </c>
      <c r="C1486" s="2" t="s">
        <v>594</v>
      </c>
      <c r="D1486" s="2" t="str">
        <f t="shared" si="22"/>
        <v>Error?</v>
      </c>
    </row>
    <row r="1487" spans="1:4" x14ac:dyDescent="0.2">
      <c r="A1487" s="5">
        <v>1426</v>
      </c>
      <c r="B1487" s="138">
        <f>'Expenditures 15-22'!K246</f>
        <v>1211</v>
      </c>
      <c r="C1487" s="2" t="s">
        <v>594</v>
      </c>
      <c r="D1487" s="2" t="str">
        <f t="shared" si="22"/>
        <v>Error?</v>
      </c>
    </row>
    <row r="1488" spans="1:4" x14ac:dyDescent="0.2">
      <c r="A1488" s="5">
        <v>1427</v>
      </c>
      <c r="B1488" s="138">
        <f>'Expenditures 15-22'!K257</f>
        <v>2664</v>
      </c>
      <c r="C1488" s="2" t="s">
        <v>594</v>
      </c>
      <c r="D1488" s="2" t="str">
        <f t="shared" si="22"/>
        <v>Error?</v>
      </c>
    </row>
    <row r="1489" spans="1:4" x14ac:dyDescent="0.2">
      <c r="A1489" s="5">
        <v>1428</v>
      </c>
      <c r="B1489" s="138">
        <f>'Expenditures 15-22'!K259</f>
        <v>9687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9687</v>
      </c>
      <c r="C1491" s="2" t="s">
        <v>594</v>
      </c>
      <c r="D1491" s="2" t="str">
        <f t="shared" si="22"/>
        <v>Error?</v>
      </c>
    </row>
    <row r="1492" spans="1:4" x14ac:dyDescent="0.2">
      <c r="A1492" s="5">
        <v>1431</v>
      </c>
      <c r="B1492" s="138">
        <f>'Expenditures 15-22'!K263</f>
        <v>261</v>
      </c>
      <c r="C1492" s="2" t="s">
        <v>594</v>
      </c>
      <c r="D1492" s="2" t="str">
        <f t="shared" si="22"/>
        <v>Error?</v>
      </c>
    </row>
    <row r="1493" spans="1:4" x14ac:dyDescent="0.2">
      <c r="A1493" s="5">
        <v>1432</v>
      </c>
      <c r="B1493" s="138">
        <f>'Expenditures 15-22'!K264</f>
        <v>12483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22705</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11434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46883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66999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113427</v>
      </c>
      <c r="C1517" s="2" t="s">
        <v>594</v>
      </c>
      <c r="D1517" s="2" t="str">
        <f t="shared" si="22"/>
        <v>Error?</v>
      </c>
    </row>
    <row r="1518" spans="1:4" x14ac:dyDescent="0.2">
      <c r="A1518" s="5">
        <v>1457</v>
      </c>
      <c r="B1518" s="138">
        <f>'Expenditures 15-22'!K296</f>
        <v>11911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2068995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1532259</v>
      </c>
      <c r="C1630" s="2" t="s">
        <v>594</v>
      </c>
      <c r="D1630" s="2" t="str">
        <f t="shared" si="24"/>
        <v>Error?</v>
      </c>
    </row>
    <row r="1631" spans="1:4" x14ac:dyDescent="0.2">
      <c r="A1631" s="5">
        <v>1570</v>
      </c>
      <c r="B1631" s="138">
        <f>'Acct Summary 7-8'!D79</f>
        <v>819702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722813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192249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190173</v>
      </c>
      <c r="C1672" s="2" t="s">
        <v>594</v>
      </c>
      <c r="D1672" s="2" t="str">
        <f t="shared" si="25"/>
        <v>Error?</v>
      </c>
    </row>
    <row r="1673" spans="1:4" x14ac:dyDescent="0.2">
      <c r="A1673" s="5">
        <v>1612</v>
      </c>
      <c r="B1673" s="138">
        <f>'Acct Summary 7-8'!G79</f>
        <v>29407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41318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904486</v>
      </c>
      <c r="C1744" s="2" t="s">
        <v>594</v>
      </c>
      <c r="D1744" s="2" t="str">
        <f t="shared" si="26"/>
        <v>Error?</v>
      </c>
    </row>
    <row r="1745" spans="1:5" x14ac:dyDescent="0.2">
      <c r="A1745" s="5">
        <v>1684</v>
      </c>
      <c r="B1745" s="138">
        <f>'Tax Sched 23'!B5</f>
        <v>169835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107350</v>
      </c>
      <c r="C1747" s="2" t="s">
        <v>594</v>
      </c>
      <c r="D1747" s="2" t="str">
        <f t="shared" si="26"/>
        <v>Error?</v>
      </c>
    </row>
    <row r="1748" spans="1:5" x14ac:dyDescent="0.2">
      <c r="A1748" s="5">
        <v>1687</v>
      </c>
      <c r="B1748" s="138">
        <f>'Tax Sched 23'!B8</f>
        <v>28597</v>
      </c>
      <c r="C1748" s="2" t="s">
        <v>594</v>
      </c>
      <c r="D1748" s="2" t="str">
        <f t="shared" si="26"/>
        <v>Error?</v>
      </c>
    </row>
    <row r="1749" spans="1:5" x14ac:dyDescent="0.2">
      <c r="A1749" s="5">
        <v>1688</v>
      </c>
      <c r="B1749" s="138">
        <f>'Tax Sched 23'!B10</f>
        <v>11253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54205</v>
      </c>
      <c r="C1752" s="2" t="s">
        <v>594</v>
      </c>
      <c r="D1752" s="2" t="str">
        <f t="shared" si="26"/>
        <v>Error?</v>
      </c>
    </row>
    <row r="1753" spans="1:5" x14ac:dyDescent="0.2">
      <c r="A1753" s="5">
        <v>1692</v>
      </c>
      <c r="B1753" s="138">
        <f>'Tax Sched 23'!B12</f>
        <v>11253</v>
      </c>
      <c r="C1753" s="2" t="s">
        <v>594</v>
      </c>
      <c r="D1753" s="2" t="str">
        <f t="shared" si="26"/>
        <v>Error?</v>
      </c>
    </row>
    <row r="1754" spans="1:5" x14ac:dyDescent="0.2">
      <c r="A1754" s="5">
        <v>1693</v>
      </c>
      <c r="B1754" s="138">
        <f>'Tax Sched 23'!B14</f>
        <v>8993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1307309</v>
      </c>
      <c r="C1759" s="2" t="s">
        <v>594</v>
      </c>
      <c r="D1759" s="2" t="str">
        <f t="shared" si="26"/>
        <v>Error?</v>
      </c>
    </row>
    <row r="1760" spans="1:5" x14ac:dyDescent="0.2">
      <c r="A1760" s="5">
        <v>1699</v>
      </c>
      <c r="B1760" s="138">
        <f>'Tax Sched 23'!D4</f>
        <v>904486</v>
      </c>
      <c r="C1760" s="2" t="s">
        <v>594</v>
      </c>
      <c r="D1760" s="2" t="str">
        <f t="shared" si="26"/>
        <v>Error?</v>
      </c>
    </row>
    <row r="1761" spans="1:5" x14ac:dyDescent="0.2">
      <c r="A1761" s="5">
        <v>1700</v>
      </c>
      <c r="B1761" s="138">
        <f>'Tax Sched 23'!D5</f>
        <v>169835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107350</v>
      </c>
      <c r="C1763" s="2" t="s">
        <v>594</v>
      </c>
      <c r="D1763" s="2" t="str">
        <f t="shared" si="26"/>
        <v>Error?</v>
      </c>
    </row>
    <row r="1764" spans="1:5" x14ac:dyDescent="0.2">
      <c r="A1764" s="5">
        <v>1703</v>
      </c>
      <c r="B1764" s="138">
        <f>'Tax Sched 23'!D8</f>
        <v>28597</v>
      </c>
      <c r="C1764" s="2" t="s">
        <v>594</v>
      </c>
      <c r="D1764" s="2" t="str">
        <f t="shared" si="26"/>
        <v>Error?</v>
      </c>
    </row>
    <row r="1765" spans="1:5" x14ac:dyDescent="0.2">
      <c r="A1765" s="5">
        <v>1704</v>
      </c>
      <c r="B1765" s="138">
        <f>'Tax Sched 23'!D10</f>
        <v>11253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54205</v>
      </c>
      <c r="C1768" s="2" t="s">
        <v>594</v>
      </c>
      <c r="D1768" s="2" t="str">
        <f t="shared" si="26"/>
        <v>Error?</v>
      </c>
    </row>
    <row r="1769" spans="1:5" x14ac:dyDescent="0.2">
      <c r="A1769" s="5">
        <v>1708</v>
      </c>
      <c r="B1769" s="138">
        <f>'Tax Sched 23'!D12</f>
        <v>11253</v>
      </c>
      <c r="C1769" s="2" t="s">
        <v>594</v>
      </c>
      <c r="D1769" s="2" t="str">
        <f t="shared" si="26"/>
        <v>Error?</v>
      </c>
    </row>
    <row r="1770" spans="1:5" x14ac:dyDescent="0.2">
      <c r="A1770" s="5">
        <v>1709</v>
      </c>
      <c r="B1770" s="138">
        <f>'Tax Sched 23'!D14</f>
        <v>8993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1307309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339854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8993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8993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38022</v>
      </c>
      <c r="D2008" s="2" t="str">
        <f t="shared" si="30"/>
        <v>Error?</v>
      </c>
    </row>
    <row r="2009" spans="1:4" x14ac:dyDescent="0.2">
      <c r="A2009" s="5">
        <v>1948</v>
      </c>
      <c r="B2009" s="138">
        <f>'Cap Outlay Deprec 26'!C8</f>
        <v>3396590</v>
      </c>
      <c r="D2009" s="2" t="str">
        <f t="shared" si="30"/>
        <v>Error?</v>
      </c>
    </row>
    <row r="2010" spans="1:4" x14ac:dyDescent="0.2">
      <c r="A2010" s="5">
        <v>1949</v>
      </c>
      <c r="B2010" s="138">
        <f>'Cap Outlay Deprec 26'!C10</f>
        <v>1337107</v>
      </c>
      <c r="D2010" s="2" t="str">
        <f t="shared" si="30"/>
        <v>Error?</v>
      </c>
    </row>
    <row r="2011" spans="1:4" x14ac:dyDescent="0.2">
      <c r="A2011" s="5">
        <v>1950</v>
      </c>
      <c r="B2011" s="138">
        <f>'Cap Outlay Deprec 26'!C12</f>
        <v>1157988</v>
      </c>
      <c r="D2011" s="2" t="str">
        <f t="shared" si="30"/>
        <v>Error?</v>
      </c>
    </row>
    <row r="2012" spans="1:4" x14ac:dyDescent="0.2">
      <c r="A2012" s="5">
        <v>1951</v>
      </c>
      <c r="B2012" s="138">
        <f>'Cap Outlay Deprec 26'!C13</f>
        <v>260183</v>
      </c>
      <c r="D2012" s="2" t="str">
        <f t="shared" si="30"/>
        <v>Error?</v>
      </c>
    </row>
    <row r="2013" spans="1:4" x14ac:dyDescent="0.2">
      <c r="A2013" s="5">
        <v>1952</v>
      </c>
      <c r="B2013" s="138">
        <f>'Cap Outlay Deprec 26'!C16</f>
        <v>6191884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3738</v>
      </c>
      <c r="D2015" s="2" t="str">
        <f t="shared" si="30"/>
        <v>Error?</v>
      </c>
    </row>
    <row r="2016" spans="1:4" x14ac:dyDescent="0.2">
      <c r="A2016" s="5">
        <v>1955</v>
      </c>
      <c r="B2016" s="138">
        <f>'Cap Outlay Deprec 26'!D10</f>
        <v>2720</v>
      </c>
      <c r="D2016" s="2" t="str">
        <f t="shared" si="30"/>
        <v>Error?</v>
      </c>
    </row>
    <row r="2017" spans="1:4" x14ac:dyDescent="0.2">
      <c r="A2017" s="5">
        <v>1956</v>
      </c>
      <c r="B2017" s="138">
        <f>'Cap Outlay Deprec 26'!D12</f>
        <v>15147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23194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38022</v>
      </c>
      <c r="C2026" s="2" t="s">
        <v>594</v>
      </c>
      <c r="D2026" s="2" t="str">
        <f t="shared" si="30"/>
        <v>Error?</v>
      </c>
    </row>
    <row r="2027" spans="1:4" x14ac:dyDescent="0.2">
      <c r="A2027" s="5">
        <v>1966</v>
      </c>
      <c r="B2027" s="138">
        <f>'Cap Outlay Deprec 26'!F8</f>
        <v>3400328</v>
      </c>
      <c r="C2027" s="2" t="s">
        <v>594</v>
      </c>
      <c r="D2027" s="2" t="str">
        <f t="shared" si="30"/>
        <v>Error?</v>
      </c>
    </row>
    <row r="2028" spans="1:4" x14ac:dyDescent="0.2">
      <c r="A2028" s="5">
        <v>1967</v>
      </c>
      <c r="B2028" s="138">
        <f>'Cap Outlay Deprec 26'!F10</f>
        <v>1339827</v>
      </c>
      <c r="C2028" s="2" t="s">
        <v>594</v>
      </c>
      <c r="D2028" s="2" t="str">
        <f t="shared" si="30"/>
        <v>Error?</v>
      </c>
    </row>
    <row r="2029" spans="1:4" x14ac:dyDescent="0.2">
      <c r="A2029" s="5">
        <v>1968</v>
      </c>
      <c r="B2029" s="138">
        <f>'Cap Outlay Deprec 26'!F12</f>
        <v>1173135</v>
      </c>
      <c r="C2029" s="2" t="s">
        <v>594</v>
      </c>
      <c r="D2029" s="2" t="str">
        <f t="shared" si="30"/>
        <v>Error?</v>
      </c>
    </row>
    <row r="2030" spans="1:4" x14ac:dyDescent="0.2">
      <c r="A2030" s="5">
        <v>1969</v>
      </c>
      <c r="B2030" s="138">
        <f>'Cap Outlay Deprec 26'!F13</f>
        <v>260183</v>
      </c>
      <c r="C2030" s="2" t="s">
        <v>594</v>
      </c>
      <c r="D2030" s="2" t="str">
        <f t="shared" si="30"/>
        <v>Error?</v>
      </c>
    </row>
    <row r="2031" spans="1:4" x14ac:dyDescent="0.2">
      <c r="A2031" s="5">
        <v>1970</v>
      </c>
      <c r="B2031" s="138">
        <f>'Cap Outlay Deprec 26'!F16</f>
        <v>6215078</v>
      </c>
      <c r="C2031" s="2" t="s">
        <v>594</v>
      </c>
      <c r="D2031" s="2" t="str">
        <f t="shared" si="30"/>
        <v>Error?</v>
      </c>
    </row>
    <row r="2032" spans="1:4" x14ac:dyDescent="0.2">
      <c r="A2032" s="10">
        <v>1971</v>
      </c>
      <c r="D2032" s="2" t="str">
        <f t="shared" si="30"/>
        <v>OK</v>
      </c>
    </row>
    <row r="2033" spans="1:4" x14ac:dyDescent="0.2">
      <c r="A2033" s="5">
        <v>1972</v>
      </c>
      <c r="B2033" s="138">
        <f>'Cap Outlay Deprec 26'!H8</f>
        <v>2817007</v>
      </c>
      <c r="D2033" s="2" t="str">
        <f t="shared" si="30"/>
        <v>Error?</v>
      </c>
    </row>
    <row r="2034" spans="1:4" x14ac:dyDescent="0.2">
      <c r="A2034" s="5">
        <v>1973</v>
      </c>
      <c r="B2034" s="138">
        <f>'Cap Outlay Deprec 26'!H10</f>
        <v>545466</v>
      </c>
      <c r="D2034" s="2" t="str">
        <f t="shared" si="30"/>
        <v>Error?</v>
      </c>
    </row>
    <row r="2035" spans="1:4" x14ac:dyDescent="0.2">
      <c r="A2035" s="5">
        <v>1974</v>
      </c>
      <c r="B2035" s="138">
        <f>'Cap Outlay Deprec 26'!H12</f>
        <v>1125886</v>
      </c>
      <c r="D2035" s="2" t="str">
        <f t="shared" si="30"/>
        <v>Error?</v>
      </c>
    </row>
    <row r="2036" spans="1:4" x14ac:dyDescent="0.2">
      <c r="A2036" s="5">
        <v>1975</v>
      </c>
      <c r="B2036" s="138">
        <f>'Cap Outlay Deprec 26'!H13</f>
        <v>231447</v>
      </c>
      <c r="D2036" s="2" t="str">
        <f t="shared" si="30"/>
        <v>Error?</v>
      </c>
    </row>
    <row r="2037" spans="1:4" x14ac:dyDescent="0.2">
      <c r="A2037" s="5">
        <v>1976</v>
      </c>
      <c r="B2037" s="138">
        <f>'Cap Outlay Deprec 26'!H16</f>
        <v>4721800</v>
      </c>
      <c r="C2037" s="2" t="s">
        <v>594</v>
      </c>
      <c r="D2037" s="2" t="str">
        <f t="shared" si="30"/>
        <v>Error?</v>
      </c>
    </row>
    <row r="2038" spans="1:4" x14ac:dyDescent="0.2">
      <c r="A2038" s="10">
        <v>1977</v>
      </c>
      <c r="D2038" s="2" t="str">
        <f t="shared" si="30"/>
        <v>OK</v>
      </c>
    </row>
    <row r="2039" spans="1:4" x14ac:dyDescent="0.2">
      <c r="A2039" s="5">
        <v>1978</v>
      </c>
      <c r="B2039" s="138">
        <f>'Cap Outlay Deprec 26'!I8</f>
        <v>67950</v>
      </c>
      <c r="D2039" s="2" t="str">
        <f t="shared" si="30"/>
        <v>Error?</v>
      </c>
    </row>
    <row r="2040" spans="1:4" x14ac:dyDescent="0.2">
      <c r="A2040" s="5">
        <v>1979</v>
      </c>
      <c r="B2040" s="138">
        <f>'Cap Outlay Deprec 26'!I10</f>
        <v>66281</v>
      </c>
      <c r="D2040" s="2" t="str">
        <f t="shared" si="30"/>
        <v>Error?</v>
      </c>
    </row>
    <row r="2041" spans="1:4" x14ac:dyDescent="0.2">
      <c r="A2041" s="5">
        <v>1980</v>
      </c>
      <c r="B2041" s="138">
        <f>'Cap Outlay Deprec 26'!I12</f>
        <v>8664</v>
      </c>
      <c r="D2041" s="2" t="str">
        <f t="shared" si="30"/>
        <v>Error?</v>
      </c>
    </row>
    <row r="2042" spans="1:4" x14ac:dyDescent="0.2">
      <c r="A2042" s="5">
        <v>1981</v>
      </c>
      <c r="B2042" s="138">
        <f>'Cap Outlay Deprec 26'!I13</f>
        <v>13475</v>
      </c>
      <c r="D2042" s="2" t="str">
        <f t="shared" si="30"/>
        <v>Error?</v>
      </c>
    </row>
    <row r="2043" spans="1:4" x14ac:dyDescent="0.2">
      <c r="A2043" s="5">
        <v>1982</v>
      </c>
      <c r="B2043" s="138">
        <f>'Cap Outlay Deprec 26'!I16</f>
        <v>156370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2884957</v>
      </c>
      <c r="C2051" s="2" t="s">
        <v>594</v>
      </c>
      <c r="D2051" s="2" t="str">
        <f t="shared" si="31"/>
        <v>Error?</v>
      </c>
    </row>
    <row r="2052" spans="1:4" x14ac:dyDescent="0.2">
      <c r="A2052" s="5">
        <v>1991</v>
      </c>
      <c r="B2052" s="138">
        <f>'Cap Outlay Deprec 26'!K10</f>
        <v>611747</v>
      </c>
      <c r="C2052" s="2" t="s">
        <v>594</v>
      </c>
      <c r="D2052" s="2" t="str">
        <f t="shared" si="31"/>
        <v>Error?</v>
      </c>
    </row>
    <row r="2053" spans="1:4" x14ac:dyDescent="0.2">
      <c r="A2053" s="5">
        <v>1992</v>
      </c>
      <c r="B2053" s="138">
        <f>'Cap Outlay Deprec 26'!K12</f>
        <v>1134550</v>
      </c>
      <c r="C2053" s="2" t="s">
        <v>594</v>
      </c>
      <c r="D2053" s="2" t="str">
        <f t="shared" si="31"/>
        <v>Error?</v>
      </c>
    </row>
    <row r="2054" spans="1:4" x14ac:dyDescent="0.2">
      <c r="A2054" s="5">
        <v>1993</v>
      </c>
      <c r="B2054" s="138">
        <f>'Cap Outlay Deprec 26'!K13</f>
        <v>244922</v>
      </c>
      <c r="C2054" s="2" t="s">
        <v>594</v>
      </c>
      <c r="D2054" s="2" t="str">
        <f t="shared" si="31"/>
        <v>Error?</v>
      </c>
    </row>
    <row r="2055" spans="1:4" x14ac:dyDescent="0.2">
      <c r="A2055" s="5">
        <v>1994</v>
      </c>
      <c r="B2055" s="138">
        <f>'Cap Outlay Deprec 26'!K16</f>
        <v>4878170</v>
      </c>
      <c r="C2055" s="2" t="s">
        <v>594</v>
      </c>
      <c r="D2055" s="2" t="str">
        <f t="shared" si="31"/>
        <v>Error?</v>
      </c>
    </row>
    <row r="2056" spans="1:4" x14ac:dyDescent="0.2">
      <c r="A2056" s="5">
        <v>1995</v>
      </c>
      <c r="B2056" s="138">
        <f>'Cap Outlay Deprec 26'!L5</f>
        <v>38022</v>
      </c>
      <c r="C2056" s="2" t="s">
        <v>594</v>
      </c>
      <c r="D2056" s="2" t="str">
        <f t="shared" si="31"/>
        <v>Error?</v>
      </c>
    </row>
    <row r="2057" spans="1:4" x14ac:dyDescent="0.2">
      <c r="A2057" s="5">
        <v>1996</v>
      </c>
      <c r="B2057" s="138">
        <f>'Cap Outlay Deprec 26'!L8</f>
        <v>515371</v>
      </c>
      <c r="C2057" s="2" t="s">
        <v>594</v>
      </c>
      <c r="D2057" s="2" t="str">
        <f t="shared" si="31"/>
        <v>Error?</v>
      </c>
    </row>
    <row r="2058" spans="1:4" x14ac:dyDescent="0.2">
      <c r="A2058" s="5">
        <v>1997</v>
      </c>
      <c r="B2058" s="138">
        <f>'Cap Outlay Deprec 26'!L10</f>
        <v>728080</v>
      </c>
      <c r="C2058" s="2" t="s">
        <v>594</v>
      </c>
      <c r="D2058" s="2" t="str">
        <f t="shared" si="31"/>
        <v>Error?</v>
      </c>
    </row>
    <row r="2059" spans="1:4" x14ac:dyDescent="0.2">
      <c r="A2059" s="5">
        <v>1998</v>
      </c>
      <c r="B2059" s="138">
        <f>'Cap Outlay Deprec 26'!L12</f>
        <v>38585</v>
      </c>
      <c r="C2059" s="2" t="s">
        <v>594</v>
      </c>
      <c r="D2059" s="2" t="str">
        <f t="shared" si="31"/>
        <v>Error?</v>
      </c>
    </row>
    <row r="2060" spans="1:4" x14ac:dyDescent="0.2">
      <c r="A2060" s="5">
        <v>1999</v>
      </c>
      <c r="B2060" s="138">
        <f>'Cap Outlay Deprec 26'!L13</f>
        <v>15261</v>
      </c>
      <c r="C2060" s="2" t="s">
        <v>594</v>
      </c>
      <c r="D2060" s="2" t="str">
        <f t="shared" si="31"/>
        <v>Error?</v>
      </c>
    </row>
    <row r="2061" spans="1:4" x14ac:dyDescent="0.2">
      <c r="A2061" s="5">
        <v>2000</v>
      </c>
      <c r="B2061" s="138">
        <f>'Cap Outlay Deprec 26'!L16</f>
        <v>1336908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130806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11329</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41318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1363565</v>
      </c>
      <c r="C2551" s="2" t="s">
        <v>594</v>
      </c>
      <c r="D2551" s="2" t="str">
        <f t="shared" si="38"/>
        <v>Error?</v>
      </c>
    </row>
    <row r="2552" spans="1:4" x14ac:dyDescent="0.2">
      <c r="A2552" s="10">
        <v>2491</v>
      </c>
      <c r="D2552" s="2" t="str">
        <f t="shared" si="38"/>
        <v>OK</v>
      </c>
    </row>
    <row r="2553" spans="1:4" x14ac:dyDescent="0.2">
      <c r="A2553" s="5">
        <v>2492</v>
      </c>
      <c r="B2553" s="138">
        <f>'Acct Summary 7-8'!C6</f>
        <v>508064</v>
      </c>
      <c r="C2553" s="2" t="s">
        <v>594</v>
      </c>
      <c r="D2553" s="2" t="str">
        <f t="shared" si="38"/>
        <v>Error?</v>
      </c>
    </row>
    <row r="2554" spans="1:4" x14ac:dyDescent="0.2">
      <c r="A2554" s="5">
        <v>2493</v>
      </c>
      <c r="B2554" s="138">
        <f>'Acct Summary 7-8'!C7</f>
        <v>322426</v>
      </c>
      <c r="C2554" s="2" t="s">
        <v>594</v>
      </c>
      <c r="D2554" s="2" t="str">
        <f t="shared" si="38"/>
        <v>Error?</v>
      </c>
    </row>
    <row r="2555" spans="1:4" x14ac:dyDescent="0.2">
      <c r="A2555" s="5">
        <v>2494</v>
      </c>
      <c r="B2555" s="138">
        <f>'Acct Summary 7-8'!C8</f>
        <v>2221914</v>
      </c>
      <c r="C2555" s="2" t="s">
        <v>594</v>
      </c>
      <c r="D2555" s="2" t="str">
        <f t="shared" si="38"/>
        <v>Error?</v>
      </c>
    </row>
    <row r="2556" spans="1:4" x14ac:dyDescent="0.2">
      <c r="A2556" s="5">
        <v>2495</v>
      </c>
      <c r="B2556" s="138">
        <f>'Acct Summary 7-8'!C12</f>
        <v>1725567</v>
      </c>
      <c r="C2556" s="2" t="s">
        <v>594</v>
      </c>
      <c r="D2556" s="2" t="str">
        <f t="shared" si="38"/>
        <v>Error?</v>
      </c>
    </row>
    <row r="2557" spans="1:4" x14ac:dyDescent="0.2">
      <c r="A2557" s="5">
        <v>2496</v>
      </c>
      <c r="B2557" s="138">
        <f>'Acct Summary 7-8'!C13</f>
        <v>913606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130806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2769979</v>
      </c>
      <c r="C2561" s="2" t="s">
        <v>594</v>
      </c>
      <c r="D2561" s="2" t="str">
        <f t="shared" si="39"/>
        <v>Error?</v>
      </c>
    </row>
    <row r="2562" spans="1:4" x14ac:dyDescent="0.2">
      <c r="A2562" s="5">
        <v>2501</v>
      </c>
      <c r="B2562" s="138">
        <f>'Acct Summary 7-8'!C20</f>
        <v>-548065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350474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350474</v>
      </c>
      <c r="C2568" s="2" t="s">
        <v>594</v>
      </c>
      <c r="D2568" s="2" t="str">
        <f t="shared" si="39"/>
        <v>Error?</v>
      </c>
    </row>
    <row r="2569" spans="1:4" x14ac:dyDescent="0.2">
      <c r="A2569" s="5">
        <v>2508</v>
      </c>
      <c r="B2569" s="138">
        <f>'Acct Summary 7-8'!D13</f>
        <v>387953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387953</v>
      </c>
      <c r="C2573" s="2" t="s">
        <v>594</v>
      </c>
      <c r="D2573" s="2" t="str">
        <f t="shared" si="39"/>
        <v>Error?</v>
      </c>
    </row>
    <row r="2574" spans="1:4" x14ac:dyDescent="0.2">
      <c r="A2574" s="5">
        <v>2513</v>
      </c>
      <c r="B2574" s="138">
        <f>'Acct Summary 7-8'!D20</f>
        <v>-37479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109635</v>
      </c>
      <c r="C2591" s="2" t="s">
        <v>594</v>
      </c>
      <c r="D2591" s="2" t="str">
        <f t="shared" si="39"/>
        <v>Error?</v>
      </c>
    </row>
    <row r="2592" spans="1:4" x14ac:dyDescent="0.2">
      <c r="A2592" s="10">
        <v>2531</v>
      </c>
      <c r="D2592" s="2" t="str">
        <f t="shared" si="39"/>
        <v>OK</v>
      </c>
    </row>
    <row r="2593" spans="1:4" x14ac:dyDescent="0.2">
      <c r="A2593" s="5">
        <v>2532</v>
      </c>
      <c r="B2593" s="138">
        <f>'Acct Summary 7-8'!F6</f>
        <v>168952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278587</v>
      </c>
      <c r="C2595" s="2" t="s">
        <v>594</v>
      </c>
      <c r="D2595" s="2" t="str">
        <f t="shared" si="39"/>
        <v>Error?</v>
      </c>
    </row>
    <row r="2596" spans="1:4" x14ac:dyDescent="0.2">
      <c r="A2596" s="5">
        <v>2535</v>
      </c>
      <c r="B2596" s="138">
        <f>'Acct Summary 7-8'!F13</f>
        <v>280663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280663</v>
      </c>
      <c r="C2600" s="2" t="s">
        <v>594</v>
      </c>
      <c r="D2600" s="2" t="str">
        <f t="shared" si="39"/>
        <v>Error?</v>
      </c>
    </row>
    <row r="2601" spans="1:4" x14ac:dyDescent="0.2">
      <c r="A2601" s="5">
        <v>2540</v>
      </c>
      <c r="B2601" s="138">
        <f>'Acct Summary 7-8'!F20</f>
        <v>-2076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106109</v>
      </c>
      <c r="C2603" s="2" t="s">
        <v>594</v>
      </c>
      <c r="D2603" s="2" t="str">
        <f t="shared" si="39"/>
        <v>Error?</v>
      </c>
    </row>
    <row r="2604" spans="1:4" x14ac:dyDescent="0.2">
      <c r="A2604" s="5">
        <v>2543</v>
      </c>
      <c r="B2604" s="138">
        <f>'Acct Summary 7-8'!G6</f>
        <v>19229</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125338</v>
      </c>
      <c r="C2606" s="2" t="s">
        <v>594</v>
      </c>
      <c r="D2606" s="2" t="str">
        <f t="shared" si="39"/>
        <v>Error?</v>
      </c>
    </row>
    <row r="2607" spans="1:4" x14ac:dyDescent="0.2">
      <c r="A2607" s="5">
        <v>2546</v>
      </c>
      <c r="B2607" s="138">
        <f>'Acct Summary 7-8'!G12</f>
        <v>46428</v>
      </c>
      <c r="C2607" s="2" t="s">
        <v>594</v>
      </c>
      <c r="D2607" s="2" t="str">
        <f t="shared" si="39"/>
        <v>Error?</v>
      </c>
    </row>
    <row r="2608" spans="1:4" x14ac:dyDescent="0.2">
      <c r="A2608" s="5">
        <v>2547</v>
      </c>
      <c r="B2608" s="138">
        <f>'Acct Summary 7-8'!G13</f>
        <v>66999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113427</v>
      </c>
      <c r="C2612" s="2" t="s">
        <v>594</v>
      </c>
      <c r="D2612" s="2" t="str">
        <f t="shared" si="39"/>
        <v>Error?</v>
      </c>
    </row>
    <row r="2613" spans="1:4" x14ac:dyDescent="0.2">
      <c r="A2613" s="5">
        <v>2552</v>
      </c>
      <c r="B2613" s="138">
        <f>'Acct Summary 7-8'!G20</f>
        <v>11911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59410</v>
      </c>
      <c r="C2634" s="2" t="s">
        <v>594</v>
      </c>
      <c r="D2634" s="2" t="str">
        <f t="shared" si="40"/>
        <v>Error?</v>
      </c>
    </row>
    <row r="2635" spans="1:4" x14ac:dyDescent="0.2">
      <c r="A2635" s="5">
        <v>2574</v>
      </c>
      <c r="B2635" s="138">
        <f>'Acct Summary 7-8'!E17</f>
        <v>59410</v>
      </c>
      <c r="C2635" s="2" t="s">
        <v>594</v>
      </c>
      <c r="D2635" s="2" t="str">
        <f t="shared" si="40"/>
        <v>Error?</v>
      </c>
    </row>
    <row r="2636" spans="1:4" x14ac:dyDescent="0.2">
      <c r="A2636" s="5">
        <v>2575</v>
      </c>
      <c r="B2636" s="138">
        <f>'Acct Summary 7-8'!E20</f>
        <v>-59410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130806</v>
      </c>
      <c r="C2789" s="2" t="s">
        <v>594</v>
      </c>
      <c r="D2789" s="2" t="str">
        <f t="shared" si="42"/>
        <v>Error?</v>
      </c>
    </row>
    <row r="2790" spans="1:4" x14ac:dyDescent="0.2">
      <c r="A2790" s="5">
        <v>2729</v>
      </c>
      <c r="B2790" s="138">
        <f>'Expenditures 15-22'!E102</f>
        <v>130806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1500</v>
      </c>
      <c r="D2854" s="2" t="str">
        <f t="shared" si="43"/>
        <v>Error?</v>
      </c>
    </row>
    <row r="2855" spans="1:4" x14ac:dyDescent="0.2">
      <c r="A2855" s="5">
        <v>2794</v>
      </c>
      <c r="B2855" s="138">
        <f>'ICR Computation 30'!E8</f>
        <v>330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1589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29514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29514</v>
      </c>
      <c r="D2914" s="2" t="str">
        <f t="shared" si="44"/>
        <v>Error?</v>
      </c>
    </row>
    <row r="2915" spans="1:4" x14ac:dyDescent="0.2">
      <c r="A2915" s="10">
        <v>2854</v>
      </c>
      <c r="D2915" s="2" t="str">
        <f t="shared" si="44"/>
        <v>OK</v>
      </c>
    </row>
    <row r="2916" spans="1:4" x14ac:dyDescent="0.2">
      <c r="A2916" s="5">
        <v>2855</v>
      </c>
      <c r="B2916" s="138">
        <f>'Assets-Liab 5-6'!L34</f>
        <v>29514</v>
      </c>
      <c r="C2916" s="2" t="s">
        <v>594</v>
      </c>
      <c r="D2916" s="2" t="str">
        <f t="shared" si="44"/>
        <v>Error?</v>
      </c>
    </row>
    <row r="2917" spans="1:4" x14ac:dyDescent="0.2">
      <c r="A2917" s="5">
        <v>2856</v>
      </c>
      <c r="B2917" s="138">
        <f>'Assets-Liab 5-6'!L41</f>
        <v>29514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106258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22944</v>
      </c>
      <c r="D2952" s="2" t="str">
        <f t="shared" si="45"/>
        <v>Error?</v>
      </c>
    </row>
    <row r="2953" spans="1:4" x14ac:dyDescent="0.2">
      <c r="A2953" s="5">
        <v>2892</v>
      </c>
      <c r="B2953" s="138">
        <f>'Expenditures 15-22'!E82</f>
        <v>1604</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106258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22944</v>
      </c>
      <c r="C2976" s="2" t="s">
        <v>594</v>
      </c>
      <c r="D2976" s="2" t="str">
        <f t="shared" si="45"/>
        <v>Error?</v>
      </c>
    </row>
    <row r="2977" spans="1:4" x14ac:dyDescent="0.2">
      <c r="A2977" s="5">
        <v>2916</v>
      </c>
      <c r="B2977" s="138">
        <f>'Expenditures 15-22'!K82</f>
        <v>1604</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89691</v>
      </c>
      <c r="D3055" s="2" t="str">
        <f t="shared" si="46"/>
        <v>Error?</v>
      </c>
    </row>
    <row r="3056" spans="1:4" x14ac:dyDescent="0.2">
      <c r="A3056" s="5">
        <v>2995</v>
      </c>
      <c r="B3056" s="138">
        <f>'Expenditures 15-22'!D10</f>
        <v>30756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120500</v>
      </c>
      <c r="C3062" s="2" t="s">
        <v>594</v>
      </c>
      <c r="D3062" s="2" t="str">
        <f t="shared" si="46"/>
        <v>Error?</v>
      </c>
    </row>
    <row r="3063" spans="1:4" x14ac:dyDescent="0.2">
      <c r="A3063" s="10">
        <v>3002</v>
      </c>
      <c r="D3063" s="2" t="str">
        <f t="shared" si="46"/>
        <v>OK</v>
      </c>
    </row>
    <row r="3064" spans="1:4" x14ac:dyDescent="0.2">
      <c r="A3064" s="5">
        <v>3003</v>
      </c>
      <c r="B3064" s="138">
        <f>'Expenditures 15-22'!D219</f>
        <v>7212</v>
      </c>
      <c r="D3064" s="2" t="str">
        <f t="shared" si="46"/>
        <v>Error?</v>
      </c>
    </row>
    <row r="3065" spans="1:4" x14ac:dyDescent="0.2">
      <c r="A3065" s="5">
        <v>3004</v>
      </c>
      <c r="B3065" s="138">
        <f>'Expenditures 15-22'!K219</f>
        <v>7212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11329</v>
      </c>
      <c r="C3225" s="2" t="s">
        <v>594</v>
      </c>
      <c r="D3225" s="2" t="str">
        <f t="shared" si="49"/>
        <v>Error?</v>
      </c>
    </row>
    <row r="3226" spans="1:4" x14ac:dyDescent="0.2">
      <c r="A3226" s="5">
        <v>3165</v>
      </c>
      <c r="B3226" s="138">
        <f>'Acct Summary 7-8'!I8</f>
        <v>11329</v>
      </c>
      <c r="C3226" s="2" t="s">
        <v>594</v>
      </c>
      <c r="D3226" s="2" t="str">
        <f t="shared" si="49"/>
        <v>Error?</v>
      </c>
    </row>
    <row r="3227" spans="1:4" x14ac:dyDescent="0.2">
      <c r="A3227" s="5">
        <v>3166</v>
      </c>
      <c r="B3227" s="138">
        <f>'Acct Summary 7-8'!I20</f>
        <v>11329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11329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11329</v>
      </c>
      <c r="C3232" s="2" t="s">
        <v>594</v>
      </c>
      <c r="D3232" s="2" t="str">
        <f t="shared" si="49"/>
        <v>Error?</v>
      </c>
    </row>
    <row r="3233" spans="1:4" x14ac:dyDescent="0.2">
      <c r="A3233" s="5">
        <v>3172</v>
      </c>
      <c r="B3233" s="138">
        <f>'Acct Summary 7-8'!C78</f>
        <v>-536736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59410</v>
      </c>
      <c r="C3237" s="2" t="s">
        <v>594</v>
      </c>
      <c r="D3237" s="2" t="str">
        <f t="shared" si="49"/>
        <v>Error?</v>
      </c>
    </row>
    <row r="3238" spans="1:4" x14ac:dyDescent="0.2">
      <c r="A3238" s="5">
        <v>3177</v>
      </c>
      <c r="B3238" s="138">
        <f>'Acct Summary 7-8'!D77</f>
        <v>-59410</v>
      </c>
      <c r="C3238" s="2" t="s">
        <v>594</v>
      </c>
      <c r="D3238" s="2" t="str">
        <f t="shared" si="49"/>
        <v>Error?</v>
      </c>
    </row>
    <row r="3239" spans="1:4" x14ac:dyDescent="0.2">
      <c r="A3239" s="5">
        <v>3178</v>
      </c>
      <c r="B3239" s="138">
        <f>'Acct Summary 7-8'!D78</f>
        <v>-96889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-2076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11911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59410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59410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11329</v>
      </c>
      <c r="C3318" s="2" t="s">
        <v>594</v>
      </c>
      <c r="D3318" s="2" t="str">
        <f t="shared" si="50"/>
        <v>Error?</v>
      </c>
    </row>
    <row r="3319" spans="1:4" x14ac:dyDescent="0.2">
      <c r="A3319" s="5">
        <v>3258</v>
      </c>
      <c r="B3319" s="138">
        <f>'Acct Summary 7-8'!I77</f>
        <v>-11329</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196029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56081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654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253792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15396</v>
      </c>
      <c r="D3387" s="2" t="str">
        <f t="shared" si="51"/>
        <v>Error?</v>
      </c>
    </row>
    <row r="3388" spans="1:4" x14ac:dyDescent="0.2">
      <c r="A3388" s="5">
        <v>3327</v>
      </c>
      <c r="B3388" s="138">
        <f>'Expenditures 15-22'!D217</f>
        <v>18473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15396</v>
      </c>
      <c r="C3390" s="2" t="s">
        <v>594</v>
      </c>
      <c r="D3390" s="2" t="str">
        <f t="shared" si="51"/>
        <v>Error?</v>
      </c>
    </row>
    <row r="3391" spans="1:4" x14ac:dyDescent="0.2">
      <c r="A3391" s="5">
        <v>3330</v>
      </c>
      <c r="B3391" s="138">
        <f>'Expenditures 15-22'!K217</f>
        <v>18473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27859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1526903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722813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190173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41318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29514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11119</v>
      </c>
      <c r="C3446" s="2" t="s">
        <v>594</v>
      </c>
      <c r="D3446" s="2" t="str">
        <f t="shared" si="52"/>
        <v>Error?</v>
      </c>
    </row>
    <row r="3447" spans="1:4" x14ac:dyDescent="0.2">
      <c r="A3447" s="5">
        <v>3386</v>
      </c>
      <c r="B3447" s="138">
        <f>'Tax Sched 23'!D16</f>
        <v>11119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1589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1589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1589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106687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106687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106687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106687</v>
      </c>
      <c r="C3568" s="2" t="s">
        <v>594</v>
      </c>
      <c r="D3568" s="2" t="str">
        <f t="shared" si="54"/>
        <v>Error?</v>
      </c>
    </row>
    <row r="3569" spans="1:4" x14ac:dyDescent="0.2">
      <c r="A3569" s="5">
        <v>3508</v>
      </c>
      <c r="B3569" s="138">
        <f>'Acct Summary 7-8'!K4</f>
        <v>12028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12028</v>
      </c>
      <c r="C3571" s="2" t="s">
        <v>594</v>
      </c>
      <c r="D3571" s="2" t="str">
        <f t="shared" si="54"/>
        <v>Error?</v>
      </c>
    </row>
    <row r="3572" spans="1:4" x14ac:dyDescent="0.2">
      <c r="A3572" s="5">
        <v>3511</v>
      </c>
      <c r="B3572" s="138">
        <f>'Acct Summary 7-8'!K13</f>
        <v>2473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2473</v>
      </c>
      <c r="C3575" s="2" t="s">
        <v>594</v>
      </c>
      <c r="D3575" s="2" t="str">
        <f t="shared" si="54"/>
        <v>Error?</v>
      </c>
    </row>
    <row r="3576" spans="1:4" x14ac:dyDescent="0.2">
      <c r="A3576" s="5">
        <v>3515</v>
      </c>
      <c r="B3576" s="138">
        <f>'Acct Summary 7-8'!K20</f>
        <v>9555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9555</v>
      </c>
      <c r="C3588" s="2" t="s">
        <v>594</v>
      </c>
      <c r="D3588" s="2" t="str">
        <f t="shared" si="55"/>
        <v>Error?</v>
      </c>
    </row>
    <row r="3589" spans="1:4" x14ac:dyDescent="0.2">
      <c r="A3589" s="5">
        <v>3528</v>
      </c>
      <c r="B3589" s="138">
        <f>'Acct Summary 7-8'!K79</f>
        <v>97132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106687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2473</v>
      </c>
      <c r="D3632" s="2" t="str">
        <f t="shared" si="55"/>
        <v>Error?</v>
      </c>
    </row>
    <row r="3633" spans="1:4" x14ac:dyDescent="0.2">
      <c r="A3633" s="5">
        <v>3572</v>
      </c>
      <c r="B3633" s="138">
        <f>'Expenditures 15-22'!E350</f>
        <v>2473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2473</v>
      </c>
      <c r="C3635" s="2" t="s">
        <v>594</v>
      </c>
      <c r="D3635" s="2" t="str">
        <f t="shared" si="55"/>
        <v>Error?</v>
      </c>
    </row>
    <row r="3636" spans="1:4" x14ac:dyDescent="0.2">
      <c r="A3636" s="5">
        <v>3575</v>
      </c>
      <c r="B3636" s="138">
        <f>'Expenditures 15-22'!E367</f>
        <v>2473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2473</v>
      </c>
      <c r="C3669" s="2" t="s">
        <v>594</v>
      </c>
      <c r="D3669" s="2" t="str">
        <f t="shared" si="56"/>
        <v>Error?</v>
      </c>
    </row>
    <row r="3670" spans="1:4" x14ac:dyDescent="0.2">
      <c r="A3670" s="5">
        <v>3609</v>
      </c>
      <c r="B3670" s="138">
        <f>'Expenditures 15-22'!K350</f>
        <v>2473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2473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2473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218</v>
      </c>
      <c r="C3725" s="2" t="s">
        <v>594</v>
      </c>
      <c r="D3725" s="2" t="str">
        <f t="shared" si="57"/>
        <v>Error?</v>
      </c>
    </row>
    <row r="3726" spans="1:4" x14ac:dyDescent="0.2">
      <c r="A3726" s="5">
        <v>3665</v>
      </c>
      <c r="B3726" s="138">
        <f>'Tax Sched 23'!D13</f>
        <v>218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92802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1022156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3244070</v>
      </c>
      <c r="C4122" s="2" t="s">
        <v>594</v>
      </c>
      <c r="D4122" s="2" t="str">
        <f t="shared" si="63"/>
        <v>Error?</v>
      </c>
    </row>
    <row r="4123" spans="1:4" x14ac:dyDescent="0.2">
      <c r="A4123" s="5">
        <v>4062</v>
      </c>
      <c r="B4123" s="138">
        <f>'Acct Summary 7-8'!D10</f>
        <v>350474</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278587</v>
      </c>
      <c r="C4125" s="2" t="s">
        <v>594</v>
      </c>
      <c r="D4125" s="2" t="str">
        <f t="shared" si="63"/>
        <v>Error?</v>
      </c>
    </row>
    <row r="4126" spans="1:4" x14ac:dyDescent="0.2">
      <c r="A4126" s="5">
        <v>4065</v>
      </c>
      <c r="B4126" s="138">
        <f>'Acct Summary 7-8'!G10</f>
        <v>125338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11329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12028</v>
      </c>
      <c r="C4130" s="2" t="s">
        <v>594</v>
      </c>
      <c r="D4130" s="2" t="str">
        <f t="shared" si="63"/>
        <v>Error?</v>
      </c>
    </row>
    <row r="4131" spans="1:4" x14ac:dyDescent="0.2">
      <c r="A4131" s="5">
        <v>4070</v>
      </c>
      <c r="B4131" s="138">
        <f>'Acct Summary 7-8'!C18</f>
        <v>1022156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3792135</v>
      </c>
      <c r="C4136" s="2" t="s">
        <v>594</v>
      </c>
      <c r="D4136" s="2" t="str">
        <f t="shared" si="63"/>
        <v>Error?</v>
      </c>
    </row>
    <row r="4137" spans="1:4" x14ac:dyDescent="0.2">
      <c r="A4137" s="5">
        <v>4076</v>
      </c>
      <c r="B4137" s="138">
        <f>'Acct Summary 7-8'!D19</f>
        <v>387953</v>
      </c>
      <c r="C4137" s="2" t="s">
        <v>594</v>
      </c>
      <c r="D4137" s="2" t="str">
        <f t="shared" si="63"/>
        <v>Error?</v>
      </c>
    </row>
    <row r="4138" spans="1:4" x14ac:dyDescent="0.2">
      <c r="A4138" s="5">
        <v>4077</v>
      </c>
      <c r="B4138" s="138">
        <f>'Acct Summary 7-8'!E19</f>
        <v>59410</v>
      </c>
      <c r="C4138" s="2" t="s">
        <v>594</v>
      </c>
      <c r="D4138" s="2" t="str">
        <f t="shared" si="63"/>
        <v>Error?</v>
      </c>
    </row>
    <row r="4139" spans="1:4" x14ac:dyDescent="0.2">
      <c r="A4139" s="5">
        <v>4078</v>
      </c>
      <c r="B4139" s="138">
        <f>'Acct Summary 7-8'!F19</f>
        <v>280663</v>
      </c>
      <c r="C4139" s="2" t="s">
        <v>594</v>
      </c>
      <c r="D4139" s="2" t="str">
        <f t="shared" si="63"/>
        <v>Error?</v>
      </c>
    </row>
    <row r="4140" spans="1:4" x14ac:dyDescent="0.2">
      <c r="A4140" s="5">
        <v>4079</v>
      </c>
      <c r="B4140" s="138">
        <f>'Acct Summary 7-8'!G19</f>
        <v>113427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2473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285134</v>
      </c>
      <c r="C4171" s="2" t="s">
        <v>594</v>
      </c>
      <c r="D4171" s="2" t="str">
        <f t="shared" si="64"/>
        <v>Error?</v>
      </c>
    </row>
    <row r="4172" spans="1:4" x14ac:dyDescent="0.2">
      <c r="A4172" s="5">
        <v>4111</v>
      </c>
      <c r="B4172" s="138">
        <f>'Short-Term Long-Term Debt 24'!J49</f>
        <v>285134</v>
      </c>
      <c r="C4172" s="2" t="s">
        <v>594</v>
      </c>
      <c r="D4172" s="2" t="str">
        <f t="shared" si="64"/>
        <v>Error?</v>
      </c>
    </row>
    <row r="4173" spans="1:4" x14ac:dyDescent="0.2">
      <c r="A4173" s="5">
        <v>4112</v>
      </c>
      <c r="B4173" s="138">
        <f>'Short-Term Long-Term Debt 24'!H49</f>
        <v>54720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3617.67</v>
      </c>
      <c r="C4265" s="2" t="s">
        <v>594</v>
      </c>
      <c r="D4265" s="2" t="str">
        <f t="shared" si="65"/>
        <v>Error?</v>
      </c>
      <c r="E4265" s="128"/>
    </row>
    <row r="4266" spans="1:5" x14ac:dyDescent="0.2">
      <c r="A4266" s="12">
        <v>4205</v>
      </c>
      <c r="B4266" s="138">
        <f>('FP Info 3'!F10)*100000</f>
        <v>661.92000000000007</v>
      </c>
      <c r="C4266" s="2" t="s">
        <v>594</v>
      </c>
      <c r="D4266" s="2" t="str">
        <f t="shared" si="65"/>
        <v>Error?</v>
      </c>
      <c r="E4266" s="128"/>
    </row>
    <row r="4267" spans="1:5" x14ac:dyDescent="0.2">
      <c r="A4267" s="12">
        <v>4206</v>
      </c>
      <c r="B4267" s="138">
        <f>('FP Info 3'!H10)*100000</f>
        <v>368.82</v>
      </c>
      <c r="C4267" s="2" t="s">
        <v>594</v>
      </c>
      <c r="D4267" s="2" t="str">
        <f t="shared" si="65"/>
        <v>Error?</v>
      </c>
      <c r="E4267" s="128"/>
    </row>
    <row r="4268" spans="1:5" x14ac:dyDescent="0.2">
      <c r="A4268" s="12">
        <v>4207</v>
      </c>
      <c r="B4268" s="138">
        <f>('FP Info 3'!J10)*100000</f>
        <v>4648</v>
      </c>
      <c r="C4268" s="2" t="s">
        <v>594</v>
      </c>
      <c r="D4268" s="2" t="str">
        <f t="shared" si="65"/>
        <v>Error?</v>
      </c>
    </row>
    <row r="4269" spans="1:5" x14ac:dyDescent="0.2">
      <c r="A4269" s="12">
        <v>4208</v>
      </c>
      <c r="B4269" s="138">
        <f>'FP Info 3'!J16</f>
        <v>2445245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9726</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13835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30795161</v>
      </c>
      <c r="D4995" s="2" t="str">
        <f t="shared" si="77"/>
        <v>Error?</v>
      </c>
    </row>
    <row r="4996" spans="1:4" x14ac:dyDescent="0.2">
      <c r="A4996" s="12">
        <v>4935</v>
      </c>
      <c r="B4996" s="138">
        <f>'FP Info 3'!H31</f>
        <v>4249732.2180000003</v>
      </c>
      <c r="D4996" s="2" t="str">
        <f t="shared" si="77"/>
        <v>Error?</v>
      </c>
    </row>
    <row r="4997" spans="1:4" x14ac:dyDescent="0.2">
      <c r="A4997" s="12">
        <v>4936</v>
      </c>
      <c r="B4997" s="138">
        <f>'FP Info 3'!H37</f>
        <v>285134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904486</v>
      </c>
      <c r="D5061" s="2" t="str">
        <f t="shared" si="78"/>
        <v>Error?</v>
      </c>
    </row>
    <row r="5062" spans="1:4" x14ac:dyDescent="0.2">
      <c r="A5062" s="10">
        <v>5001</v>
      </c>
      <c r="D5062" s="2" t="str">
        <f t="shared" si="78"/>
        <v>OK</v>
      </c>
    </row>
    <row r="5063" spans="1:4" x14ac:dyDescent="0.2">
      <c r="A5063" s="5">
        <v>5002</v>
      </c>
      <c r="B5063" s="138">
        <f>'Revenues 9-14'!C7</f>
        <v>8993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913479</v>
      </c>
      <c r="C5066" s="2" t="s">
        <v>594</v>
      </c>
      <c r="D5066" s="2" t="str">
        <f t="shared" si="78"/>
        <v>Error?</v>
      </c>
    </row>
    <row r="5067" spans="1:4" x14ac:dyDescent="0.2">
      <c r="A5067" s="5">
        <v>5006</v>
      </c>
      <c r="B5067" s="138">
        <f>'Revenues 9-14'!C14</f>
        <v>6083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398008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404091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11050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11050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1383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1704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3123</v>
      </c>
      <c r="C5096" s="2" t="s">
        <v>594</v>
      </c>
      <c r="D5096" s="2" t="str">
        <f t="shared" si="78"/>
        <v>Error?</v>
      </c>
    </row>
    <row r="5097" spans="1:4" x14ac:dyDescent="0.2">
      <c r="A5097" s="5">
        <v>5036</v>
      </c>
      <c r="B5097" s="138">
        <f>'Revenues 9-14'!C77</f>
        <v>7714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8769</v>
      </c>
      <c r="C5102" s="2" t="s">
        <v>594</v>
      </c>
      <c r="D5102" s="2" t="str">
        <f t="shared" si="78"/>
        <v>Error?</v>
      </c>
    </row>
    <row r="5103" spans="1:4" x14ac:dyDescent="0.2">
      <c r="A5103" s="5">
        <v>5042</v>
      </c>
      <c r="B5103" s="138">
        <f>'Revenues 9-14'!C84</f>
        <v>2140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2140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19358</v>
      </c>
      <c r="D5119" s="2" t="str">
        <f t="shared" ref="D5119:D5182" si="79">IF(ISBLANK(B5119),"OK",IF(A5119-B5119=0,"OK","Error?"))</f>
        <v>Error?</v>
      </c>
    </row>
    <row r="5120" spans="1:4" x14ac:dyDescent="0.2">
      <c r="A5120" s="5">
        <v>5059</v>
      </c>
      <c r="B5120" s="138">
        <f>'Revenues 9-14'!C108</f>
        <v>20913</v>
      </c>
      <c r="C5120" s="2" t="s">
        <v>594</v>
      </c>
      <c r="D5120" s="2" t="str">
        <f t="shared" si="79"/>
        <v>Error?</v>
      </c>
    </row>
    <row r="5121" spans="1:4" x14ac:dyDescent="0.2">
      <c r="A5121" s="5">
        <v>5060</v>
      </c>
      <c r="B5121" s="138">
        <f>'Revenues 9-14'!C109</f>
        <v>1363565</v>
      </c>
      <c r="C5121" s="2" t="s">
        <v>594</v>
      </c>
      <c r="D5121" s="2" t="str">
        <f t="shared" si="79"/>
        <v>Error?</v>
      </c>
    </row>
    <row r="5122" spans="1:4" x14ac:dyDescent="0.2">
      <c r="A5122" s="5">
        <v>5061</v>
      </c>
      <c r="B5122" s="138">
        <f>'Revenues 9-14'!C111</f>
        <v>15253</v>
      </c>
      <c r="D5122" s="2" t="str">
        <f t="shared" si="79"/>
        <v>Error?</v>
      </c>
    </row>
    <row r="5123" spans="1:4" x14ac:dyDescent="0.2">
      <c r="A5123" s="5">
        <v>5062</v>
      </c>
      <c r="B5123" s="138">
        <f>'Revenues 9-14'!C112</f>
        <v>12606</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27859</v>
      </c>
      <c r="C5125" s="2" t="s">
        <v>594</v>
      </c>
      <c r="D5125" s="2" t="str">
        <f t="shared" si="79"/>
        <v>Error?</v>
      </c>
    </row>
    <row r="5126" spans="1:4" x14ac:dyDescent="0.2">
      <c r="A5126" s="5">
        <v>5065</v>
      </c>
      <c r="B5126" s="138">
        <f>'Revenues 9-14'!C117</f>
        <v>376133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376133</v>
      </c>
      <c r="C5132" s="2" t="s">
        <v>594</v>
      </c>
      <c r="D5132" s="2" t="str">
        <f t="shared" si="79"/>
        <v>Error?</v>
      </c>
    </row>
    <row r="5133" spans="1:4" x14ac:dyDescent="0.2">
      <c r="A5133" s="5">
        <v>5072</v>
      </c>
      <c r="B5133" s="138">
        <f>'Revenues 9-14'!C124</f>
        <v>2701</v>
      </c>
      <c r="D5133" s="2" t="str">
        <f t="shared" si="79"/>
        <v>Error?</v>
      </c>
    </row>
    <row r="5134" spans="1:4" x14ac:dyDescent="0.2">
      <c r="A5134" s="5">
        <v>5073</v>
      </c>
      <c r="B5134" s="138">
        <f>'Revenues 9-14'!C125</f>
        <v>18780</v>
      </c>
      <c r="D5134" s="2" t="str">
        <f t="shared" si="79"/>
        <v>Error?</v>
      </c>
    </row>
    <row r="5135" spans="1:4" x14ac:dyDescent="0.2">
      <c r="A5135" s="5">
        <v>5074</v>
      </c>
      <c r="B5135" s="138">
        <f>'Revenues 9-14'!C126</f>
        <v>21894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43375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2551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2925</v>
      </c>
      <c r="D5167" s="2" t="str">
        <f t="shared" si="79"/>
        <v>Error?</v>
      </c>
    </row>
    <row r="5168" spans="1:4" x14ac:dyDescent="0.2">
      <c r="A5168" s="5">
        <v>5107</v>
      </c>
      <c r="B5168" s="138">
        <f>'Revenues 9-14'!C147</f>
        <v>3730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79350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131931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508064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118084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57122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175206</v>
      </c>
      <c r="C5246" s="2" t="s">
        <v>594</v>
      </c>
      <c r="D5246" s="2" t="str">
        <f t="shared" si="80"/>
        <v>Error?</v>
      </c>
    </row>
    <row r="5247" spans="1:4" x14ac:dyDescent="0.2">
      <c r="A5247" s="5">
        <v>5186</v>
      </c>
      <c r="B5247" s="138">
        <f>'Revenues 9-14'!C203</f>
        <v>123659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133385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322426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322426</v>
      </c>
      <c r="C5326" s="2" t="s">
        <v>594</v>
      </c>
      <c r="D5326" s="2" t="str">
        <f t="shared" si="82"/>
        <v>Error?</v>
      </c>
    </row>
    <row r="5327" spans="1:4" x14ac:dyDescent="0.2">
      <c r="A5327" s="5">
        <v>5266</v>
      </c>
      <c r="B5327" s="138">
        <f>'Revenues 9-14'!C275</f>
        <v>2221914</v>
      </c>
      <c r="C5327" s="2" t="s">
        <v>594</v>
      </c>
      <c r="D5327" s="2" t="str">
        <f t="shared" si="82"/>
        <v>Error?</v>
      </c>
    </row>
    <row r="5328" spans="1:4" x14ac:dyDescent="0.2">
      <c r="A5328" s="5">
        <v>5267</v>
      </c>
      <c r="B5328" s="138">
        <f>'Revenues 9-14'!D5</f>
        <v>169835</v>
      </c>
      <c r="D5328" s="2" t="str">
        <f t="shared" si="82"/>
        <v>Error?</v>
      </c>
    </row>
    <row r="5329" spans="1:4" x14ac:dyDescent="0.2">
      <c r="A5329" s="10">
        <v>5268</v>
      </c>
      <c r="D5329" s="2" t="str">
        <f t="shared" si="82"/>
        <v>OK</v>
      </c>
    </row>
    <row r="5330" spans="1:4" x14ac:dyDescent="0.2">
      <c r="A5330" s="5">
        <v>5269</v>
      </c>
      <c r="B5330" s="138">
        <f>'Revenues 9-14'!D6</f>
        <v>218</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170053</v>
      </c>
      <c r="C5334" s="2" t="s">
        <v>594</v>
      </c>
      <c r="D5334" s="2" t="str">
        <f t="shared" si="82"/>
        <v>Error?</v>
      </c>
    </row>
    <row r="5335" spans="1:4" x14ac:dyDescent="0.2">
      <c r="A5335" s="5">
        <v>5274</v>
      </c>
      <c r="B5335" s="138">
        <f>'Revenues 9-14'!D14</f>
        <v>1132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175000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176132</v>
      </c>
      <c r="C5339" s="2" t="s">
        <v>594</v>
      </c>
      <c r="D5339" s="2" t="str">
        <f t="shared" si="82"/>
        <v>Error?</v>
      </c>
    </row>
    <row r="5340" spans="1:4" x14ac:dyDescent="0.2">
      <c r="A5340" s="5">
        <v>5279</v>
      </c>
      <c r="B5340" s="138">
        <f>'Revenues 9-14'!D65</f>
        <v>4289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350474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350474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107350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107350</v>
      </c>
      <c r="C5557" s="2" t="s">
        <v>594</v>
      </c>
      <c r="D5557" s="2" t="str">
        <f t="shared" si="85"/>
        <v>Error?</v>
      </c>
    </row>
    <row r="5558" spans="1:4" x14ac:dyDescent="0.2">
      <c r="A5558" s="5">
        <v>5497</v>
      </c>
      <c r="B5558" s="138">
        <f>'Revenues 9-14'!F14</f>
        <v>715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715</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400</v>
      </c>
      <c r="D5586" s="2" t="str">
        <f t="shared" si="86"/>
        <v>Error?</v>
      </c>
    </row>
    <row r="5587" spans="1:4" x14ac:dyDescent="0.2">
      <c r="A5587" s="5">
        <v>5526</v>
      </c>
      <c r="B5587" s="138">
        <f>'Revenues 9-14'!F108</f>
        <v>400</v>
      </c>
      <c r="C5587" s="2" t="s">
        <v>594</v>
      </c>
      <c r="D5587" s="2" t="str">
        <f t="shared" si="86"/>
        <v>Error?</v>
      </c>
    </row>
    <row r="5588" spans="1:4" x14ac:dyDescent="0.2">
      <c r="A5588" s="5">
        <v>5527</v>
      </c>
      <c r="B5588" s="138">
        <f>'Revenues 9-14'!F109</f>
        <v>109635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38458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38458</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110734</v>
      </c>
      <c r="D5615" s="2" t="str">
        <f t="shared" si="86"/>
        <v>Error?</v>
      </c>
    </row>
    <row r="5616" spans="1:4" x14ac:dyDescent="0.2">
      <c r="A5616" s="10">
        <v>5555</v>
      </c>
      <c r="D5616" s="2" t="str">
        <f t="shared" si="86"/>
        <v>OK</v>
      </c>
    </row>
    <row r="5617" spans="1:4" x14ac:dyDescent="0.2">
      <c r="A5617" s="5">
        <v>5556</v>
      </c>
      <c r="B5617" s="138">
        <f>'Revenues 9-14'!F152</f>
        <v>19760</v>
      </c>
      <c r="D5617" s="2" t="str">
        <f t="shared" si="86"/>
        <v>Error?</v>
      </c>
    </row>
    <row r="5618" spans="1:4" x14ac:dyDescent="0.2">
      <c r="A5618" s="5">
        <v>5557</v>
      </c>
      <c r="B5618" s="138">
        <f>'Revenues 9-14'!F154</f>
        <v>130494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130494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168952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278587</v>
      </c>
      <c r="C5720" s="2" t="s">
        <v>594</v>
      </c>
      <c r="D5720" s="2" t="str">
        <f t="shared" si="88"/>
        <v>Error?</v>
      </c>
    </row>
    <row r="5721" spans="1:4" x14ac:dyDescent="0.2">
      <c r="A5721" s="5">
        <v>5660</v>
      </c>
      <c r="B5721" s="138">
        <f>'Revenues 9-14'!G5</f>
        <v>28597</v>
      </c>
      <c r="D5721" s="2" t="str">
        <f t="shared" si="88"/>
        <v>Error?</v>
      </c>
    </row>
    <row r="5722" spans="1:4" x14ac:dyDescent="0.2">
      <c r="A5722" s="5">
        <v>5661</v>
      </c>
      <c r="B5722" s="138">
        <f>'Revenues 9-14'!G7</f>
        <v>0</v>
      </c>
      <c r="D5722" s="2" t="str">
        <f t="shared" si="88"/>
        <v>Error?</v>
      </c>
    </row>
    <row r="5723" spans="1:4" x14ac:dyDescent="0.2">
      <c r="A5723" s="5">
        <v>5662</v>
      </c>
      <c r="B5723" s="138">
        <f>'Revenues 9-14'!G8</f>
        <v>11119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39716</v>
      </c>
      <c r="C5725" s="2" t="s">
        <v>594</v>
      </c>
      <c r="D5725" s="2" t="str">
        <f t="shared" si="88"/>
        <v>Error?</v>
      </c>
    </row>
    <row r="5726" spans="1:4" x14ac:dyDescent="0.2">
      <c r="A5726" s="5">
        <v>5665</v>
      </c>
      <c r="B5726" s="138">
        <f>'Revenues 9-14'!G14</f>
        <v>264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66264</v>
      </c>
      <c r="C5730" s="2" t="s">
        <v>594</v>
      </c>
      <c r="D5730" s="2" t="str">
        <f t="shared" si="88"/>
        <v>Error?</v>
      </c>
    </row>
    <row r="5731" spans="1:4" x14ac:dyDescent="0.2">
      <c r="A5731" s="5">
        <v>5670</v>
      </c>
      <c r="B5731" s="138">
        <f>'Revenues 9-14'!G65</f>
        <v>129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19229</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19229</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19229</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125338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11253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11253</v>
      </c>
      <c r="C5918" s="2" t="s">
        <v>594</v>
      </c>
      <c r="D5918" s="2" t="str">
        <f t="shared" si="91"/>
        <v>Error?</v>
      </c>
    </row>
    <row r="5919" spans="1:4" x14ac:dyDescent="0.2">
      <c r="A5919" s="5">
        <v>5858</v>
      </c>
      <c r="B5919" s="138">
        <f>'Revenues 9-14'!I14</f>
        <v>75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75</v>
      </c>
      <c r="C5923" s="2" t="s">
        <v>594</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11329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11253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11253</v>
      </c>
      <c r="C5987" s="2" t="s">
        <v>594</v>
      </c>
      <c r="D5987" s="2" t="str">
        <f t="shared" si="92"/>
        <v>Error?</v>
      </c>
    </row>
    <row r="5988" spans="1:4" x14ac:dyDescent="0.2">
      <c r="A5988" s="5">
        <v>5927</v>
      </c>
      <c r="B5988" s="138">
        <f>'Revenues 9-14'!K14</f>
        <v>75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75</v>
      </c>
      <c r="C5992" s="2" t="s">
        <v>594</v>
      </c>
      <c r="D5992" s="2" t="str">
        <f t="shared" si="92"/>
        <v>Error?</v>
      </c>
    </row>
    <row r="5993" spans="1:4" x14ac:dyDescent="0.2">
      <c r="A5993" s="5">
        <v>5932</v>
      </c>
      <c r="B5993" s="138">
        <f>'Revenues 9-14'!K65</f>
        <v>700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700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12028</v>
      </c>
      <c r="C6023" s="2" t="s">
        <v>594</v>
      </c>
      <c r="D6023" s="2" t="str">
        <f t="shared" si="93"/>
        <v>Error?</v>
      </c>
    </row>
    <row r="6024" spans="1:5" x14ac:dyDescent="0.2">
      <c r="A6024" s="5">
        <v>5963</v>
      </c>
      <c r="B6024" s="138">
        <f>'Revenues 9-14'!G109</f>
        <v>106109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11329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12028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16821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247.76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91583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91583</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91583</v>
      </c>
      <c r="D6216" s="2" t="str">
        <f t="shared" si="96"/>
        <v>Error?</v>
      </c>
      <c r="E6216" s="2" t="s">
        <v>199</v>
      </c>
    </row>
    <row r="6217" spans="1:5" x14ac:dyDescent="0.2">
      <c r="A6217">
        <v>6156</v>
      </c>
      <c r="B6217" s="138">
        <f>'Assets-Liab 5-6'!J4</f>
        <v>91583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58303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58303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58303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53542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53542</v>
      </c>
      <c r="D6229" s="2" t="str">
        <f t="shared" si="96"/>
        <v>Error?</v>
      </c>
      <c r="E6229" s="2" t="s">
        <v>199</v>
      </c>
    </row>
    <row r="6230" spans="1:5" x14ac:dyDescent="0.2">
      <c r="A6230">
        <v>6169</v>
      </c>
      <c r="B6230" s="138">
        <f>'Acct Summary 7-8'!J20</f>
        <v>4761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4761</v>
      </c>
      <c r="D6263" s="2" t="str">
        <f t="shared" si="96"/>
        <v>Error?</v>
      </c>
      <c r="E6263" s="2" t="s">
        <v>199</v>
      </c>
    </row>
    <row r="6264" spans="1:5" x14ac:dyDescent="0.2">
      <c r="A6264">
        <v>6203</v>
      </c>
      <c r="B6264" s="138">
        <f>'Acct Summary 7-8'!J79</f>
        <v>86822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91583</v>
      </c>
      <c r="D6266" s="2" t="str">
        <f t="shared" si="96"/>
        <v>Error?</v>
      </c>
      <c r="E6266" s="2" t="s">
        <v>199</v>
      </c>
    </row>
    <row r="6267" spans="1:5" x14ac:dyDescent="0.2">
      <c r="A6267">
        <v>6206</v>
      </c>
      <c r="B6267" s="138">
        <f>'Acct Summary 7-8'!C82</f>
        <v>-536736</v>
      </c>
      <c r="D6267" s="2" t="str">
        <f t="shared" si="96"/>
        <v>Error?</v>
      </c>
      <c r="E6267" s="2" t="s">
        <v>199</v>
      </c>
    </row>
    <row r="6268" spans="1:5" x14ac:dyDescent="0.2">
      <c r="A6268">
        <v>6207</v>
      </c>
      <c r="B6268" s="138">
        <f>'Acct Summary 7-8'!D82</f>
        <v>-96889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-2076</v>
      </c>
      <c r="D6270" s="2" t="str">
        <f t="shared" si="96"/>
        <v>Error?</v>
      </c>
      <c r="E6270" s="2" t="s">
        <v>199</v>
      </c>
    </row>
    <row r="6271" spans="1:5" x14ac:dyDescent="0.2">
      <c r="A6271">
        <v>6210</v>
      </c>
      <c r="B6271" s="138">
        <f>'Acct Summary 7-8'!G82</f>
        <v>11911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4761</v>
      </c>
      <c r="D6274" s="2" t="str">
        <f t="shared" si="97"/>
        <v>Error?</v>
      </c>
      <c r="E6274" s="2" t="s">
        <v>199</v>
      </c>
    </row>
    <row r="6275" spans="1:5" x14ac:dyDescent="0.2">
      <c r="A6275">
        <v>6214</v>
      </c>
      <c r="B6275" s="138">
        <f>'Acct Summary 7-8'!K82</f>
        <v>9555</v>
      </c>
      <c r="D6275" s="2" t="str">
        <f t="shared" si="97"/>
        <v>Error?</v>
      </c>
      <c r="E6275" s="2" t="s">
        <v>199</v>
      </c>
    </row>
    <row r="6276" spans="1:5" x14ac:dyDescent="0.2">
      <c r="A6276">
        <v>6215</v>
      </c>
      <c r="B6276" s="138">
        <f>'Acct Summary 7-8'!C83</f>
        <v>-0.35029064929623516</v>
      </c>
      <c r="D6276" s="2" t="str">
        <f t="shared" si="97"/>
        <v>Error?</v>
      </c>
      <c r="E6276" s="2" t="s">
        <v>199</v>
      </c>
    </row>
    <row r="6277" spans="1:5" x14ac:dyDescent="0.2">
      <c r="A6277">
        <v>6216</v>
      </c>
      <c r="B6277" s="138">
        <f>'Acct Summary 7-8'!D83</f>
        <v>-0.1340443517202928</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-1.0916376141723588E-2</v>
      </c>
      <c r="D6279" s="2" t="str">
        <f t="shared" si="97"/>
        <v>Error?</v>
      </c>
      <c r="E6279" s="2" t="s">
        <v>199</v>
      </c>
    </row>
    <row r="6280" spans="1:5" x14ac:dyDescent="0.2">
      <c r="A6280">
        <v>6219</v>
      </c>
      <c r="B6280" s="138">
        <f>'Acct Summary 7-8'!G83</f>
        <v>0.28827629604530713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5.1985630520948213E-2</v>
      </c>
      <c r="D6283" s="2" t="str">
        <f t="shared" si="97"/>
        <v>Error?</v>
      </c>
      <c r="E6283" s="2" t="s">
        <v>199</v>
      </c>
    </row>
    <row r="6284" spans="1:5" x14ac:dyDescent="0.2">
      <c r="A6284">
        <v>6223</v>
      </c>
      <c r="B6284" s="138">
        <f>'Acct Summary 7-8'!K83</f>
        <v>8.9561052424381601E-2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54720</v>
      </c>
      <c r="D6287" s="2" t="str">
        <f t="shared" si="97"/>
        <v>Error?</v>
      </c>
      <c r="E6287" s="2" t="s">
        <v>199</v>
      </c>
    </row>
    <row r="6288" spans="1:5" x14ac:dyDescent="0.2">
      <c r="A6288">
        <v>6227</v>
      </c>
      <c r="B6288" s="138">
        <f>'Acct Summary 7-8'!E40</f>
        <v>4690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54205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54205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3863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3863</v>
      </c>
      <c r="D6351" s="2" t="str">
        <f t="shared" si="98"/>
        <v>Error?</v>
      </c>
      <c r="E6351" s="2" t="s">
        <v>199</v>
      </c>
    </row>
    <row r="6352" spans="1:5" x14ac:dyDescent="0.2">
      <c r="A6352">
        <v>6291</v>
      </c>
      <c r="B6352" s="138">
        <f>'Revenues 9-14'!J109</f>
        <v>58303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2551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56244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63033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14695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53542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58303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2837</v>
      </c>
      <c r="D7073" s="2" t="str">
        <f t="shared" si="109"/>
        <v>Error?</v>
      </c>
    </row>
    <row r="7074" spans="1:4" x14ac:dyDescent="0.2">
      <c r="A7074">
        <v>7013</v>
      </c>
      <c r="B7074" s="138">
        <f>'Expenditures 15-22'!K216</f>
        <v>2837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205</v>
      </c>
      <c r="D7079" s="2" t="str">
        <f t="shared" si="109"/>
        <v>Error?</v>
      </c>
    </row>
    <row r="7080" spans="1:4" x14ac:dyDescent="0.2">
      <c r="A7080">
        <v>7019</v>
      </c>
      <c r="B7080" s="138">
        <f>'Expenditures 15-22'!K226</f>
        <v>205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427</v>
      </c>
      <c r="D7089" s="2" t="str">
        <f t="shared" si="109"/>
        <v>Error?</v>
      </c>
    </row>
    <row r="7090" spans="1:4" x14ac:dyDescent="0.2">
      <c r="A7090">
        <v>7029</v>
      </c>
      <c r="B7090" s="138">
        <f>'Expenditures 15-22'!K252</f>
        <v>427</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17969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17969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4848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4848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25016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25016</v>
      </c>
      <c r="D7153" s="2" t="str">
        <f t="shared" si="110"/>
        <v>Error?</v>
      </c>
    </row>
    <row r="7154" spans="1:4" x14ac:dyDescent="0.2">
      <c r="A7154">
        <v>7093</v>
      </c>
      <c r="B7154" s="138">
        <f>'Expenditures 15-22'!C323</f>
        <v>5220</v>
      </c>
      <c r="D7154" s="2" t="str">
        <f t="shared" si="110"/>
        <v>Error?</v>
      </c>
    </row>
    <row r="7155" spans="1:4" x14ac:dyDescent="0.2">
      <c r="A7155">
        <v>7094</v>
      </c>
      <c r="B7155" s="138">
        <f>'Expenditures 15-22'!D323</f>
        <v>489</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5709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5220</v>
      </c>
      <c r="D7199" s="2" t="str">
        <f t="shared" si="111"/>
        <v>Error?</v>
      </c>
    </row>
    <row r="7200" spans="1:4" x14ac:dyDescent="0.2">
      <c r="A7200">
        <v>7139</v>
      </c>
      <c r="B7200" s="138">
        <f>'Expenditures 15-22'!D330</f>
        <v>489</v>
      </c>
      <c r="D7200" s="2" t="str">
        <f t="shared" si="111"/>
        <v>Error?</v>
      </c>
    </row>
    <row r="7201" spans="1:4" x14ac:dyDescent="0.2">
      <c r="A7201">
        <v>7140</v>
      </c>
      <c r="B7201" s="138">
        <f>'Expenditures 15-22'!E330</f>
        <v>47833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53542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5220</v>
      </c>
      <c r="D7216" s="2" t="str">
        <f t="shared" si="111"/>
        <v>Error?</v>
      </c>
    </row>
    <row r="7217" spans="1:4" x14ac:dyDescent="0.2">
      <c r="A7217">
        <v>7156</v>
      </c>
      <c r="B7217" s="138">
        <f>'Expenditures 15-22'!D342</f>
        <v>489</v>
      </c>
      <c r="D7217" s="2" t="str">
        <f t="shared" si="111"/>
        <v>Error?</v>
      </c>
    </row>
    <row r="7218" spans="1:4" x14ac:dyDescent="0.2">
      <c r="A7218">
        <v>7157</v>
      </c>
      <c r="B7218" s="138">
        <f>'Expenditures 15-22'!E342</f>
        <v>47833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53542</v>
      </c>
      <c r="D7224" s="2" t="str">
        <f t="shared" si="111"/>
        <v>Error?</v>
      </c>
    </row>
    <row r="7225" spans="1:4" x14ac:dyDescent="0.2">
      <c r="A7225">
        <v>7164</v>
      </c>
      <c r="B7225" s="138">
        <f>'Expenditures 15-22'!K343</f>
        <v>4761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6789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14153</v>
      </c>
      <c r="D7263" s="2" t="str">
        <f t="shared" si="112"/>
        <v>Error?</v>
      </c>
    </row>
    <row r="7264" spans="1:4" x14ac:dyDescent="0.2">
      <c r="A7264">
        <f t="shared" si="113"/>
        <v>7203</v>
      </c>
      <c r="B7264" s="138">
        <f>'Expenditures 15-22'!D17</f>
        <v>207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335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1994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1994</v>
      </c>
      <c r="D7618" s="2" t="str">
        <f t="shared" si="124"/>
        <v>Error?</v>
      </c>
      <c r="E7618" s="2" t="s">
        <v>19</v>
      </c>
    </row>
    <row r="7619" spans="1:5" x14ac:dyDescent="0.2">
      <c r="A7619">
        <f t="shared" si="123"/>
        <v>7558</v>
      </c>
      <c r="B7619" s="138">
        <f>'Cap Outlay Deprec 26'!H14</f>
        <v>1994</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1994</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156370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54720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4690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3730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4080</v>
      </c>
      <c r="D7719" s="2" t="str">
        <f t="shared" si="126"/>
        <v>Error?</v>
      </c>
      <c r="E7719" s="2" t="s">
        <v>881</v>
      </c>
    </row>
    <row r="7720" spans="1:6" x14ac:dyDescent="0.2">
      <c r="A7720">
        <v>7659</v>
      </c>
      <c r="B7720" s="138">
        <f>'Rest Tax Levies-Tort Im 25'!H14</f>
        <v>8993</v>
      </c>
      <c r="D7720" s="2" t="str">
        <f t="shared" si="126"/>
        <v>Error?</v>
      </c>
      <c r="E7720" s="2" t="s">
        <v>881</v>
      </c>
    </row>
    <row r="7721" spans="1:6" x14ac:dyDescent="0.2">
      <c r="A7721">
        <v>7660</v>
      </c>
      <c r="B7721" s="138">
        <f>'Rest Tax Levies-Tort Im 25'!K14</f>
        <v>4080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202442</v>
      </c>
      <c r="D7797" s="2" t="str">
        <f t="shared" si="127"/>
        <v>Error?</v>
      </c>
      <c r="E7797" s="4" t="s">
        <v>2018</v>
      </c>
    </row>
    <row r="7798" spans="1:5" x14ac:dyDescent="0.2">
      <c r="A7798">
        <v>7737</v>
      </c>
      <c r="B7798" s="138">
        <f>'Contracts Paid in CY 29'!F141</f>
        <v>50000</v>
      </c>
      <c r="D7798" s="2" t="str">
        <f t="shared" si="127"/>
        <v>Error?</v>
      </c>
      <c r="E7798" s="4" t="s">
        <v>2018</v>
      </c>
    </row>
    <row r="7799" spans="1:5" x14ac:dyDescent="0.2">
      <c r="A7799">
        <v>7738</v>
      </c>
      <c r="B7799" s="138">
        <f>'Contracts Paid in CY 29'!G141</f>
        <v>152442</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R23" sqref="R2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0" t="s">
        <v>1253</v>
      </c>
      <c r="B2" s="2430"/>
      <c r="C2" s="2430"/>
      <c r="D2" s="2430"/>
      <c r="E2" s="2430"/>
      <c r="F2" s="2430"/>
      <c r="G2" s="2430"/>
      <c r="H2" s="2430"/>
      <c r="I2" s="2430"/>
      <c r="J2" s="2430"/>
      <c r="K2" s="2430"/>
      <c r="L2" s="2430"/>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0" t="s">
        <v>1799</v>
      </c>
      <c r="B4" s="2447"/>
      <c r="C4" s="2447"/>
      <c r="D4" s="2447"/>
      <c r="E4" s="2447"/>
      <c r="F4" s="2447"/>
      <c r="G4" s="2447"/>
      <c r="H4" s="2447"/>
      <c r="I4" s="2447"/>
      <c r="J4" s="2447"/>
      <c r="K4" s="2447"/>
      <c r="L4" s="244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0" t="str">
        <f>COVER!A17</f>
        <v>Joppa Maple Grove USD 38</v>
      </c>
      <c r="B7" s="2411"/>
      <c r="C7" s="2411"/>
      <c r="D7" s="2448"/>
      <c r="E7" s="2449">
        <f>COVER!A13</f>
        <v>21061038026</v>
      </c>
      <c r="F7" s="2450"/>
      <c r="G7" s="2417" t="str">
        <f>COVER!T23</f>
        <v>666-003889</v>
      </c>
      <c r="H7" s="2418"/>
      <c r="I7" s="2418"/>
      <c r="J7" s="2418"/>
      <c r="K7" s="2418"/>
      <c r="L7" s="241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0"/>
      <c r="B9" s="2421"/>
      <c r="C9" s="2421"/>
      <c r="D9" s="2421"/>
      <c r="E9" s="2421"/>
      <c r="F9" s="2422"/>
      <c r="G9" s="2423" t="str">
        <f>COVER!T13</f>
        <v>Beussink, Hey, Roe &amp; Stroder, LLC</v>
      </c>
      <c r="H9" s="2424"/>
      <c r="I9" s="2424"/>
      <c r="J9" s="2424"/>
      <c r="K9" s="2424"/>
      <c r="L9" s="2425"/>
    </row>
    <row r="10" spans="1:29" ht="13.5" customHeight="1" x14ac:dyDescent="0.2">
      <c r="A10" s="2407">
        <f>COVER!A38</f>
        <v>0</v>
      </c>
      <c r="B10" s="2408"/>
      <c r="C10" s="2408"/>
      <c r="D10" s="2408"/>
      <c r="E10" s="2408"/>
      <c r="F10" s="2409"/>
      <c r="G10" s="2423" t="str">
        <f>COVER!T17</f>
        <v>16 S. Silver Springs Road</v>
      </c>
      <c r="H10" s="2436"/>
      <c r="I10" s="2436"/>
      <c r="J10" s="2436"/>
      <c r="K10" s="2436"/>
      <c r="L10" s="2437"/>
    </row>
    <row r="11" spans="1:29" ht="13.5" customHeight="1" x14ac:dyDescent="0.2">
      <c r="A11" s="1185" t="s">
        <v>1599</v>
      </c>
      <c r="B11" s="1186"/>
      <c r="C11" s="1187"/>
      <c r="D11" s="1192"/>
      <c r="E11" s="1187"/>
      <c r="F11" s="1191"/>
      <c r="G11" s="2423" t="str">
        <f>COVER!T19</f>
        <v>Cape Girardeau</v>
      </c>
      <c r="H11" s="2436"/>
      <c r="I11" s="2436"/>
      <c r="J11" s="2436"/>
      <c r="K11" s="2436"/>
      <c r="L11" s="2437"/>
    </row>
    <row r="12" spans="1:29" ht="13.5" customHeight="1" x14ac:dyDescent="0.2">
      <c r="A12" s="2441" t="s">
        <v>1598</v>
      </c>
      <c r="B12" s="2442"/>
      <c r="C12" s="2442"/>
      <c r="D12" s="2442"/>
      <c r="E12" s="2442"/>
      <c r="F12" s="2443"/>
      <c r="G12" s="2438"/>
      <c r="H12" s="2439"/>
      <c r="I12" s="2439"/>
      <c r="J12" s="2439"/>
      <c r="K12" s="2439"/>
      <c r="L12" s="2440"/>
    </row>
    <row r="13" spans="1:29" ht="13.5" customHeight="1" x14ac:dyDescent="0.2">
      <c r="A13" s="2423"/>
      <c r="B13" s="2436"/>
      <c r="C13" s="2436"/>
      <c r="D13" s="2436"/>
      <c r="E13" s="2436"/>
      <c r="F13" s="2437"/>
      <c r="G13" s="2431" t="s">
        <v>1600</v>
      </c>
      <c r="H13" s="2432"/>
      <c r="I13" s="2444" t="str">
        <f>COVER!T25</f>
        <v>jstroder@bhrcpas.com</v>
      </c>
      <c r="J13" s="2445"/>
      <c r="K13" s="2445"/>
      <c r="L13" s="2446"/>
    </row>
    <row r="14" spans="1:29" ht="13.5" customHeight="1" x14ac:dyDescent="0.2">
      <c r="A14" s="2423" t="str">
        <f>COVER!A19</f>
        <v>911 Joppa North Avenue</v>
      </c>
      <c r="B14" s="2436"/>
      <c r="C14" s="2436"/>
      <c r="D14" s="2436"/>
      <c r="E14" s="2436"/>
      <c r="F14" s="2437"/>
      <c r="G14" s="1196" t="s">
        <v>1247</v>
      </c>
      <c r="H14" s="1194"/>
      <c r="I14" s="1194"/>
      <c r="J14" s="1194"/>
      <c r="K14" s="1194"/>
      <c r="L14" s="1195"/>
    </row>
    <row r="15" spans="1:29" ht="13.5" customHeight="1" x14ac:dyDescent="0.2">
      <c r="A15" s="2423" t="str">
        <f>COVER!A21</f>
        <v xml:space="preserve">Joppa  </v>
      </c>
      <c r="B15" s="2436"/>
      <c r="C15" s="2436"/>
      <c r="D15" s="2436"/>
      <c r="E15" s="2436"/>
      <c r="F15" s="2437"/>
      <c r="G15" s="2433" t="str">
        <f>COVER!T15</f>
        <v>Jeffrey C. Stroder, CPA</v>
      </c>
      <c r="H15" s="2434"/>
      <c r="I15" s="2434"/>
      <c r="J15" s="2434"/>
      <c r="K15" s="2434"/>
      <c r="L15" s="2435"/>
    </row>
    <row r="16" spans="1:29" ht="12.2" customHeight="1" x14ac:dyDescent="0.2">
      <c r="A16" s="2413">
        <f>COVER!A25</f>
        <v>62963</v>
      </c>
      <c r="B16" s="2414"/>
      <c r="C16" s="2414"/>
      <c r="D16" s="2414"/>
      <c r="E16" s="2414"/>
      <c r="F16" s="2415"/>
      <c r="G16" s="2426"/>
      <c r="H16" s="2427"/>
      <c r="I16" s="2427"/>
      <c r="J16" s="2427"/>
      <c r="K16" s="2427"/>
      <c r="L16" s="2428"/>
    </row>
    <row r="17" spans="1:13" ht="12.2" customHeight="1" x14ac:dyDescent="0.2">
      <c r="A17" s="2429"/>
      <c r="B17" s="2414"/>
      <c r="C17" s="2414"/>
      <c r="D17" s="2414"/>
      <c r="E17" s="2414"/>
      <c r="F17" s="2415"/>
      <c r="G17" s="1196" t="s">
        <v>1246</v>
      </c>
      <c r="H17" s="1194"/>
      <c r="I17" s="1194"/>
      <c r="J17" s="1194"/>
      <c r="K17" s="1198" t="s">
        <v>1245</v>
      </c>
      <c r="L17" s="1191"/>
      <c r="M17" s="1184"/>
    </row>
    <row r="18" spans="1:13" ht="12.2" customHeight="1" x14ac:dyDescent="0.2">
      <c r="A18" s="2407"/>
      <c r="B18" s="2408"/>
      <c r="C18" s="2408"/>
      <c r="D18" s="2408"/>
      <c r="E18" s="2408"/>
      <c r="F18" s="2409"/>
      <c r="G18" s="2410" t="str">
        <f>COVER!T21</f>
        <v>573-334-7971</v>
      </c>
      <c r="H18" s="2411"/>
      <c r="I18" s="2411"/>
      <c r="J18" s="2411"/>
      <c r="K18" s="2410" t="str">
        <f>COVER!X21</f>
        <v>573-334-8875</v>
      </c>
      <c r="L18" s="241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R23" sqref="R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1" t="str">
        <f>'Single Audit Cover'!A7</f>
        <v>Joppa Maple Grove USD 38</v>
      </c>
      <c r="B1" s="2447"/>
      <c r="C1" s="2447"/>
      <c r="D1" s="2447"/>
    </row>
    <row r="2" spans="1:11" s="1215" customFormat="1" ht="12.75" x14ac:dyDescent="0.2">
      <c r="A2" s="2452">
        <f>'Single Audit Cover'!E7</f>
        <v>21061038026</v>
      </c>
      <c r="B2" s="2453"/>
      <c r="C2" s="2453"/>
      <c r="D2" s="2453"/>
    </row>
    <row r="3" spans="1:11" s="1215" customFormat="1" ht="12.75" x14ac:dyDescent="0.2">
      <c r="A3" s="2451" t="s">
        <v>1593</v>
      </c>
      <c r="B3" s="2447"/>
      <c r="C3" s="2447"/>
      <c r="D3" s="244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5" t="str">
        <f>'Single Audit Cover'!A7</f>
        <v>Joppa Maple Grove USD 38</v>
      </c>
      <c r="B1" s="2455"/>
      <c r="C1" s="2455"/>
      <c r="D1" s="2455"/>
      <c r="E1" s="2455"/>
    </row>
    <row r="2" spans="1:5" x14ac:dyDescent="0.2">
      <c r="A2" s="2456">
        <f>'Single Audit Cover'!E7</f>
        <v>21061038026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60" t="s">
        <v>1305</v>
      </c>
    </row>
    <row r="10" spans="1:5" x14ac:dyDescent="0.2">
      <c r="A10" s="1261" t="s">
        <v>1304</v>
      </c>
      <c r="B10" s="1262" t="s">
        <v>1303</v>
      </c>
      <c r="C10" s="1262"/>
      <c r="D10" s="1263">
        <f>SUM('Acct Summary 7-8'!C7:K7)</f>
        <v>322426</v>
      </c>
    </row>
    <row r="11" spans="1:5" ht="18" customHeight="1" x14ac:dyDescent="0.2">
      <c r="A11" s="1261" t="s">
        <v>1302</v>
      </c>
      <c r="B11" s="1262"/>
      <c r="C11" s="1262"/>
    </row>
    <row r="12" spans="1:5" x14ac:dyDescent="0.2">
      <c r="A12" s="1261" t="s">
        <v>1301</v>
      </c>
      <c r="B12" s="1262" t="s">
        <v>1300</v>
      </c>
      <c r="C12" s="1262"/>
      <c r="D12" s="1264">
        <f>SUM('Revenues 9-14'!C112:D112,'Revenues 9-14'!F112:G112)</f>
        <v>12606</v>
      </c>
    </row>
    <row r="13" spans="1:5" x14ac:dyDescent="0.2">
      <c r="A13" s="1261" t="s">
        <v>1299</v>
      </c>
      <c r="B13" s="1262"/>
      <c r="C13" s="1262"/>
    </row>
    <row r="14" spans="1:5" x14ac:dyDescent="0.2">
      <c r="A14" s="1261" t="s">
        <v>1830</v>
      </c>
      <c r="B14" s="1262"/>
      <c r="C14" s="1262"/>
      <c r="D14" s="1264">
        <f>'ICR Computation 30'!E11</f>
        <v>16821</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351853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7"/>
      <c r="B24" s="2457"/>
      <c r="D24" s="1268"/>
    </row>
    <row r="25" spans="1:4" x14ac:dyDescent="0.2">
      <c r="A25" s="2454"/>
      <c r="B25" s="2454"/>
      <c r="D25" s="1268"/>
    </row>
    <row r="26" spans="1:4" x14ac:dyDescent="0.2">
      <c r="A26" s="2454"/>
      <c r="B26" s="2454"/>
      <c r="D26" s="1268"/>
    </row>
    <row r="27" spans="1:4" x14ac:dyDescent="0.2">
      <c r="A27" s="2454"/>
      <c r="B27" s="2454"/>
      <c r="D27" s="1268"/>
    </row>
    <row r="28" spans="1:4" x14ac:dyDescent="0.2">
      <c r="A28" s="2454"/>
      <c r="B28" s="2454"/>
      <c r="D28" s="1268"/>
    </row>
    <row r="29" spans="1:4" x14ac:dyDescent="0.2">
      <c r="A29" s="2454"/>
      <c r="B29" s="2454"/>
      <c r="D29" s="1268"/>
    </row>
    <row r="30" spans="1:4" x14ac:dyDescent="0.2">
      <c r="A30" s="2454"/>
      <c r="B30" s="2454"/>
      <c r="D30" s="1268"/>
    </row>
    <row r="32" spans="1:4" x14ac:dyDescent="0.2">
      <c r="A32" s="1260" t="s">
        <v>1295</v>
      </c>
      <c r="D32" s="1263">
        <f>SUM(D19:D30)</f>
        <v>351853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4"/>
      <c r="B40" s="2454"/>
      <c r="D40" s="1268"/>
    </row>
    <row r="41" spans="1:4" x14ac:dyDescent="0.2">
      <c r="A41" s="2454"/>
      <c r="B41" s="2454"/>
      <c r="D41" s="1271"/>
    </row>
    <row r="42" spans="1:4" x14ac:dyDescent="0.2">
      <c r="A42" s="2454"/>
      <c r="B42" s="2454"/>
      <c r="D42" s="1271"/>
    </row>
    <row r="43" spans="1:4" x14ac:dyDescent="0.2">
      <c r="A43" s="2454"/>
      <c r="B43" s="2454"/>
      <c r="D43" s="1271"/>
    </row>
    <row r="44" spans="1:4" x14ac:dyDescent="0.2">
      <c r="A44" s="2454"/>
      <c r="B44" s="2454"/>
      <c r="D44" s="1271"/>
    </row>
    <row r="45" spans="1:4" x14ac:dyDescent="0.2">
      <c r="A45" s="2454"/>
      <c r="B45" s="2454"/>
      <c r="D45" s="1271"/>
    </row>
    <row r="47" spans="1:4" x14ac:dyDescent="0.2">
      <c r="B47" s="1272" t="s">
        <v>1289</v>
      </c>
      <c r="C47" s="1272"/>
      <c r="D47" s="1273">
        <f>SUM(D35:D45)</f>
        <v>0</v>
      </c>
    </row>
    <row r="49" spans="2:4" x14ac:dyDescent="0.2">
      <c r="B49" s="1272" t="s">
        <v>1288</v>
      </c>
      <c r="C49" s="1272"/>
      <c r="D49" s="1273">
        <f>D32-D47</f>
        <v>351853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R23" sqref="R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6" t="str">
        <f>'Single Audit Cover'!A7</f>
        <v>Joppa Maple Grove USD 38</v>
      </c>
      <c r="C1" s="2459"/>
      <c r="D1" s="2459"/>
      <c r="E1" s="2459"/>
      <c r="F1" s="2459"/>
      <c r="G1" s="2459"/>
      <c r="H1" s="2459"/>
      <c r="I1" s="2459"/>
      <c r="J1" s="2459"/>
      <c r="K1" s="2459"/>
      <c r="L1" s="2459"/>
      <c r="M1" s="2459"/>
    </row>
    <row r="2" spans="2:14" ht="15" x14ac:dyDescent="0.2">
      <c r="B2" s="2460">
        <f>'Single Audit Cover'!E7</f>
        <v>21061038026</v>
      </c>
      <c r="C2" s="2460"/>
      <c r="D2" s="2460"/>
      <c r="E2" s="2460"/>
      <c r="F2" s="2460"/>
      <c r="G2" s="2460"/>
      <c r="H2" s="2460"/>
      <c r="I2" s="2460"/>
      <c r="J2" s="2460"/>
      <c r="K2" s="2460"/>
      <c r="L2" s="2460"/>
      <c r="M2" s="2460"/>
      <c r="N2" s="1302"/>
    </row>
    <row r="3" spans="2:14" ht="15" x14ac:dyDescent="0.2">
      <c r="B3" s="2461" t="s">
        <v>1281</v>
      </c>
      <c r="C3" s="2461"/>
      <c r="D3" s="2461"/>
      <c r="E3" s="2461"/>
      <c r="F3" s="2461"/>
      <c r="G3" s="2461"/>
      <c r="H3" s="2461"/>
      <c r="I3" s="2461"/>
      <c r="J3" s="2461"/>
      <c r="K3" s="2461"/>
      <c r="L3" s="2461"/>
      <c r="M3" s="2461"/>
      <c r="N3" s="1302"/>
    </row>
    <row r="4" spans="2:14" ht="15" x14ac:dyDescent="0.2">
      <c r="B4" s="2462" t="str">
        <f>'Single Audit Cover'!A4</f>
        <v>Year Ending June 30, 2018</v>
      </c>
      <c r="C4" s="2462"/>
      <c r="D4" s="2462"/>
      <c r="E4" s="2462"/>
      <c r="F4" s="2462"/>
      <c r="G4" s="2462"/>
      <c r="H4" s="2462"/>
      <c r="I4" s="2462"/>
      <c r="J4" s="2462"/>
      <c r="K4" s="2462"/>
      <c r="L4" s="2462"/>
      <c r="M4" s="246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1838</v>
      </c>
      <c r="D9" s="1314" t="s">
        <v>1839</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1" right="1" top="1" bottom="1" header="0.25" footer="0.75"/>
  <pageSetup scale="71"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R23" sqref="R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Joppa Maple Grove USD 38</v>
      </c>
      <c r="B1" s="2464"/>
      <c r="C1" s="2464"/>
      <c r="D1" s="2464"/>
      <c r="E1" s="2464"/>
      <c r="F1" s="2464"/>
    </row>
    <row r="2" spans="1:7" ht="13.5" customHeight="1" x14ac:dyDescent="0.2">
      <c r="A2" s="2460">
        <f>'Single Audit Cover'!E7</f>
        <v>21061038026</v>
      </c>
      <c r="B2" s="2460"/>
      <c r="C2" s="2460"/>
      <c r="D2" s="2460"/>
      <c r="E2" s="2460"/>
      <c r="F2" s="2460"/>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3" t="s">
        <v>1832</v>
      </c>
      <c r="B7" s="2463"/>
      <c r="C7" s="2463"/>
      <c r="D7" s="2463"/>
      <c r="E7" s="2463"/>
      <c r="F7" s="246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3" t="s">
        <v>1834</v>
      </c>
      <c r="B13" s="2463"/>
      <c r="C13" s="2463"/>
      <c r="D13" s="2463"/>
      <c r="E13" s="2463"/>
      <c r="F13" s="2463"/>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c r="C17" s="1285"/>
      <c r="D17" s="2467"/>
      <c r="E17" s="2467"/>
      <c r="F17" s="2467"/>
    </row>
    <row r="18" spans="1:6" ht="20.65" customHeight="1" x14ac:dyDescent="0.2">
      <c r="A18" s="1283"/>
      <c r="B18" s="1284"/>
      <c r="C18" s="1285"/>
      <c r="D18" s="2467"/>
      <c r="E18" s="2467"/>
      <c r="F18" s="2467"/>
    </row>
    <row r="19" spans="1:6" ht="20.65" customHeight="1" x14ac:dyDescent="0.2">
      <c r="A19" s="1283"/>
      <c r="B19" s="1284"/>
      <c r="C19" s="1285"/>
      <c r="D19" s="2467"/>
      <c r="E19" s="2467"/>
      <c r="F19" s="2467"/>
    </row>
    <row r="20" spans="1:6" ht="20.65" customHeight="1" x14ac:dyDescent="0.2">
      <c r="A20" s="1283"/>
      <c r="B20" s="1284"/>
      <c r="C20" s="1285"/>
      <c r="D20" s="2467"/>
      <c r="E20" s="2467"/>
      <c r="F20" s="2467"/>
    </row>
    <row r="21" spans="1:6" ht="20.65" customHeight="1" x14ac:dyDescent="0.2">
      <c r="A21" s="1283"/>
      <c r="B21" s="1284"/>
      <c r="C21" s="1285"/>
      <c r="D21" s="2467"/>
      <c r="E21" s="2467"/>
      <c r="F21" s="2467"/>
    </row>
    <row r="22" spans="1:6" ht="20.65" customHeight="1" x14ac:dyDescent="0.2">
      <c r="A22" s="1283"/>
      <c r="B22" s="1284"/>
      <c r="C22" s="1285"/>
      <c r="D22" s="2467"/>
      <c r="E22" s="2467"/>
      <c r="F22" s="2467"/>
    </row>
    <row r="23" spans="1:6" ht="20.65" customHeight="1" x14ac:dyDescent="0.2">
      <c r="A23" s="1283"/>
      <c r="B23" s="1284"/>
      <c r="C23" s="1285"/>
      <c r="D23" s="2467"/>
      <c r="E23" s="2467"/>
      <c r="F23" s="2467"/>
    </row>
    <row r="24" spans="1:6" ht="20.65" customHeight="1" x14ac:dyDescent="0.2">
      <c r="A24" s="1283"/>
      <c r="B24" s="1284"/>
      <c r="C24" s="1285"/>
      <c r="D24" s="2467"/>
      <c r="E24" s="2467"/>
      <c r="F24" s="2467"/>
    </row>
    <row r="25" spans="1:6" ht="20.65" customHeight="1" x14ac:dyDescent="0.2">
      <c r="A25" s="1283"/>
      <c r="B25" s="1284"/>
      <c r="C25" s="1285"/>
      <c r="D25" s="2467"/>
      <c r="E25" s="2467"/>
      <c r="F25" s="2467"/>
    </row>
    <row r="26" spans="1:6" ht="20.65" customHeight="1" x14ac:dyDescent="0.2">
      <c r="A26" s="1283"/>
      <c r="B26" s="1284"/>
      <c r="C26" s="1285"/>
      <c r="D26" s="2467"/>
      <c r="E26" s="2467"/>
      <c r="F26" s="2467"/>
    </row>
    <row r="27" spans="1:6" ht="20.65" customHeight="1" x14ac:dyDescent="0.2">
      <c r="A27" s="1283"/>
      <c r="B27" s="1284"/>
      <c r="C27" s="1285"/>
      <c r="D27" s="2467"/>
      <c r="E27" s="2467"/>
      <c r="F27" s="2467"/>
    </row>
    <row r="28" spans="1:6" ht="20.65" customHeight="1" x14ac:dyDescent="0.2">
      <c r="A28" s="1283"/>
      <c r="B28" s="1284"/>
      <c r="C28" s="1285"/>
      <c r="D28" s="2467"/>
      <c r="E28" s="2467"/>
      <c r="F28" s="2467"/>
    </row>
    <row r="29" spans="1:6" ht="20.65" customHeight="1" x14ac:dyDescent="0.2">
      <c r="A29" s="1283"/>
      <c r="B29" s="1284"/>
      <c r="C29" s="1285"/>
      <c r="D29" s="2467"/>
      <c r="E29" s="2467"/>
      <c r="F29" s="246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1" t="s">
        <v>1835</v>
      </c>
      <c r="B32" s="2471"/>
      <c r="C32" s="2471"/>
      <c r="D32" s="2471"/>
      <c r="E32" s="2471"/>
      <c r="F32" s="2471"/>
    </row>
    <row r="33" spans="1:6" ht="13.5" customHeight="1" x14ac:dyDescent="0.2">
      <c r="A33" s="328" t="s">
        <v>1509</v>
      </c>
      <c r="B33" s="328"/>
      <c r="C33" s="1288">
        <v>0</v>
      </c>
      <c r="D33" s="1928"/>
      <c r="E33" s="1286"/>
    </row>
    <row r="34" spans="1:6" ht="13.5" customHeight="1" x14ac:dyDescent="0.2">
      <c r="A34" s="328" t="s">
        <v>1947</v>
      </c>
      <c r="B34" s="328"/>
      <c r="C34" s="1289">
        <v>0</v>
      </c>
      <c r="D34" s="1928" t="s">
        <v>1671</v>
      </c>
      <c r="E34" s="2472">
        <f>+C33+C34</f>
        <v>0</v>
      </c>
      <c r="F34" s="247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4" t="s">
        <v>1672</v>
      </c>
      <c r="C49" s="2474"/>
      <c r="D49" s="2474"/>
      <c r="E49" s="1399"/>
    </row>
    <row r="50" spans="1:5" s="1300" customFormat="1" ht="3.75" customHeight="1" x14ac:dyDescent="0.2">
      <c r="A50" s="1299"/>
      <c r="B50" s="1870"/>
      <c r="C50" s="1870"/>
      <c r="D50" s="1870"/>
      <c r="E50" s="1399"/>
    </row>
    <row r="51" spans="1:5" s="1300" customFormat="1" ht="20.25" customHeight="1" x14ac:dyDescent="0.2">
      <c r="A51" s="1301">
        <v>6</v>
      </c>
      <c r="B51" s="2470" t="s">
        <v>1632</v>
      </c>
      <c r="C51" s="2470"/>
      <c r="D51" s="2470"/>
    </row>
    <row r="52" spans="1:5" ht="14.25" customHeight="1" x14ac:dyDescent="0.2">
      <c r="A52" s="1301"/>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t="s">
        <v>2074</v>
      </c>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36847</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2132</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R23" sqref="R2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Joppa Maple Grove USD 38</v>
      </c>
      <c r="C1" s="2480"/>
      <c r="D1" s="2480"/>
      <c r="E1" s="2480"/>
      <c r="F1" s="2480"/>
      <c r="G1" s="2480"/>
      <c r="H1" s="2480"/>
      <c r="I1" s="2480"/>
      <c r="J1" s="1422"/>
    </row>
    <row r="2" spans="2:10" s="317" customFormat="1" ht="12.75" customHeight="1" x14ac:dyDescent="0.2">
      <c r="B2" s="2481">
        <f>'Single Audit Cover'!E7</f>
        <v>21061038026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93" t="s">
        <v>1675</v>
      </c>
      <c r="D43" s="2494"/>
      <c r="E43" s="2494"/>
      <c r="F43" s="2495"/>
      <c r="G43" s="2496">
        <f>SUM(G38:I42)</f>
        <v>0</v>
      </c>
      <c r="H43" s="2496"/>
      <c r="I43" s="2496"/>
    </row>
    <row r="44" spans="2:9" ht="12.75" customHeight="1" x14ac:dyDescent="0.2"/>
    <row r="45" spans="2:9" ht="12.75" customHeight="1" x14ac:dyDescent="0.2">
      <c r="B45" s="1435" t="s">
        <v>1950</v>
      </c>
      <c r="D45" s="2497">
        <v>0</v>
      </c>
      <c r="E45" s="249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9"/>
      <c r="F49" s="2499"/>
      <c r="G49" s="249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6"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Joppa Maple Grove USD 38</v>
      </c>
      <c r="C1" s="2479"/>
      <c r="D1" s="2479"/>
      <c r="E1" s="2479"/>
      <c r="F1" s="2479"/>
      <c r="G1" s="2479"/>
      <c r="H1" s="2479"/>
      <c r="I1" s="2479"/>
      <c r="J1" s="2479"/>
      <c r="K1" s="2479"/>
      <c r="L1" s="1374"/>
      <c r="M1" s="1374"/>
    </row>
    <row r="2" spans="1:13" ht="12" customHeight="1" x14ac:dyDescent="0.2">
      <c r="B2" s="2481">
        <f>'Single Audit Cover'!E7</f>
        <v>21061038026</v>
      </c>
      <c r="C2" s="2481"/>
      <c r="D2" s="2481"/>
      <c r="E2" s="2481"/>
      <c r="F2" s="2481"/>
      <c r="G2" s="2481"/>
      <c r="H2" s="2481"/>
      <c r="I2" s="2481"/>
      <c r="J2" s="2481"/>
      <c r="K2" s="2481"/>
      <c r="L2" s="1375"/>
      <c r="M2" s="1376"/>
    </row>
    <row r="3" spans="1:13" ht="10.35" customHeight="1" x14ac:dyDescent="0.2">
      <c r="B3" s="2502" t="s">
        <v>1347</v>
      </c>
      <c r="C3" s="2502"/>
      <c r="D3" s="2502"/>
      <c r="E3" s="2502"/>
      <c r="F3" s="2502"/>
      <c r="G3" s="2502"/>
      <c r="H3" s="2502"/>
      <c r="I3" s="2502"/>
      <c r="J3" s="2502"/>
      <c r="K3" s="2502"/>
      <c r="L3" s="1377"/>
      <c r="M3" s="1377"/>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1</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7" customHeight="1" x14ac:dyDescent="0.2">
      <c r="B14" s="2501" t="s">
        <v>2123</v>
      </c>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t="s">
        <v>2111</v>
      </c>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t="s">
        <v>2110</v>
      </c>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t="s">
        <v>2108</v>
      </c>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t="s">
        <v>2124</v>
      </c>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t="s">
        <v>2109</v>
      </c>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t="s">
        <v>2136</v>
      </c>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Joppa Maple Grove USD 38</v>
      </c>
      <c r="C1" s="2479"/>
      <c r="D1" s="2479"/>
      <c r="E1" s="2479"/>
      <c r="F1" s="2479"/>
      <c r="G1" s="2479"/>
      <c r="H1" s="2479"/>
      <c r="I1" s="2479"/>
      <c r="J1" s="2479"/>
      <c r="K1" s="2479"/>
      <c r="L1" s="1374"/>
      <c r="M1" s="1374"/>
    </row>
    <row r="2" spans="1:13" ht="12" customHeight="1" x14ac:dyDescent="0.2">
      <c r="B2" s="2481">
        <f>'Single Audit Cover'!E7</f>
        <v>21061038026</v>
      </c>
      <c r="C2" s="2481"/>
      <c r="D2" s="2481"/>
      <c r="E2" s="2481"/>
      <c r="F2" s="2481"/>
      <c r="G2" s="2481"/>
      <c r="H2" s="2481"/>
      <c r="I2" s="2481"/>
      <c r="J2" s="2481"/>
      <c r="K2" s="2481"/>
      <c r="L2" s="1375"/>
      <c r="M2" s="1376"/>
    </row>
    <row r="3" spans="1:13" ht="10.35" customHeight="1" x14ac:dyDescent="0.2">
      <c r="B3" s="2502" t="s">
        <v>1347</v>
      </c>
      <c r="C3" s="2502"/>
      <c r="D3" s="2502"/>
      <c r="E3" s="2502"/>
      <c r="F3" s="2502"/>
      <c r="G3" s="2502"/>
      <c r="H3" s="2502"/>
      <c r="I3" s="2502"/>
      <c r="J3" s="2502"/>
      <c r="K3" s="2502"/>
      <c r="L3" s="1954"/>
      <c r="M3" s="1954"/>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2</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t="s">
        <v>2112</v>
      </c>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t="s">
        <v>2113</v>
      </c>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t="s">
        <v>2125</v>
      </c>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t="s">
        <v>2137</v>
      </c>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t="s">
        <v>2114</v>
      </c>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t="s">
        <v>2126</v>
      </c>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t="s">
        <v>2130</v>
      </c>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Joppa Maple Grove USD 38</v>
      </c>
      <c r="C1" s="2479"/>
      <c r="D1" s="2479"/>
      <c r="E1" s="2479"/>
      <c r="F1" s="2479"/>
      <c r="G1" s="2479"/>
      <c r="H1" s="2479"/>
      <c r="I1" s="2479"/>
      <c r="J1" s="2479"/>
      <c r="K1" s="2479"/>
      <c r="L1" s="1374"/>
      <c r="M1" s="1374"/>
    </row>
    <row r="2" spans="1:13" ht="12" customHeight="1" x14ac:dyDescent="0.2">
      <c r="B2" s="2481">
        <f>'Single Audit Cover'!E7</f>
        <v>21061038026</v>
      </c>
      <c r="C2" s="2481"/>
      <c r="D2" s="2481"/>
      <c r="E2" s="2481"/>
      <c r="F2" s="2481"/>
      <c r="G2" s="2481"/>
      <c r="H2" s="2481"/>
      <c r="I2" s="2481"/>
      <c r="J2" s="2481"/>
      <c r="K2" s="2481"/>
      <c r="L2" s="1375"/>
      <c r="M2" s="1376"/>
    </row>
    <row r="3" spans="1:13" ht="10.35" customHeight="1" x14ac:dyDescent="0.2">
      <c r="B3" s="2502" t="s">
        <v>1347</v>
      </c>
      <c r="C3" s="2502"/>
      <c r="D3" s="2502"/>
      <c r="E3" s="2502"/>
      <c r="F3" s="2502"/>
      <c r="G3" s="2502"/>
      <c r="H3" s="2502"/>
      <c r="I3" s="2502"/>
      <c r="J3" s="2502"/>
      <c r="K3" s="2502"/>
      <c r="L3" s="1954"/>
      <c r="M3" s="1954"/>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3</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t="s">
        <v>2115</v>
      </c>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t="s">
        <v>2116</v>
      </c>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t="s">
        <v>2118</v>
      </c>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t="s">
        <v>2138</v>
      </c>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t="s">
        <v>2117</v>
      </c>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t="s">
        <v>2127</v>
      </c>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t="s">
        <v>2131</v>
      </c>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6"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Joppa Maple Grove USD 38</v>
      </c>
      <c r="C1" s="2479"/>
      <c r="D1" s="2479"/>
      <c r="E1" s="2479"/>
      <c r="F1" s="2479"/>
      <c r="G1" s="2479"/>
      <c r="H1" s="2479"/>
      <c r="I1" s="2479"/>
      <c r="J1" s="2479"/>
      <c r="K1" s="2479"/>
      <c r="L1" s="1374"/>
      <c r="M1" s="1374"/>
    </row>
    <row r="2" spans="1:13" ht="12" customHeight="1" x14ac:dyDescent="0.2">
      <c r="B2" s="2481">
        <f>'Single Audit Cover'!E7</f>
        <v>21061038026</v>
      </c>
      <c r="C2" s="2481"/>
      <c r="D2" s="2481"/>
      <c r="E2" s="2481"/>
      <c r="F2" s="2481"/>
      <c r="G2" s="2481"/>
      <c r="H2" s="2481"/>
      <c r="I2" s="2481"/>
      <c r="J2" s="2481"/>
      <c r="K2" s="2481"/>
      <c r="L2" s="1375"/>
      <c r="M2" s="1376"/>
    </row>
    <row r="3" spans="1:13" ht="10.35" customHeight="1" x14ac:dyDescent="0.2">
      <c r="B3" s="2502" t="s">
        <v>1347</v>
      </c>
      <c r="C3" s="2502"/>
      <c r="D3" s="2502"/>
      <c r="E3" s="2502"/>
      <c r="F3" s="2502"/>
      <c r="G3" s="2502"/>
      <c r="H3" s="2502"/>
      <c r="I3" s="2502"/>
      <c r="J3" s="2502"/>
      <c r="K3" s="2502"/>
      <c r="L3" s="1954"/>
      <c r="M3" s="1954"/>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3" t="s">
        <v>1363</v>
      </c>
      <c r="C7" s="2503"/>
      <c r="D7" s="2504"/>
      <c r="E7" s="2504"/>
      <c r="F7" s="2504"/>
      <c r="G7" s="2504"/>
      <c r="H7" s="2504"/>
      <c r="I7" s="2504"/>
      <c r="J7" s="2504"/>
      <c r="K7" s="250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1951</v>
      </c>
      <c r="D10" s="1386">
        <v>4</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1" t="s">
        <v>2128</v>
      </c>
      <c r="C14" s="2501"/>
      <c r="D14" s="2501"/>
      <c r="E14" s="2501"/>
      <c r="F14" s="2501"/>
      <c r="G14" s="2501"/>
      <c r="H14" s="2501"/>
      <c r="I14" s="2501"/>
      <c r="J14" s="2501"/>
      <c r="K14" s="250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1" t="s">
        <v>2119</v>
      </c>
      <c r="C17" s="2501"/>
      <c r="D17" s="2501"/>
      <c r="E17" s="2501"/>
      <c r="F17" s="2501"/>
      <c r="G17" s="2501"/>
      <c r="H17" s="2501"/>
      <c r="I17" s="2501"/>
      <c r="J17" s="2501"/>
      <c r="K17" s="250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5" t="s">
        <v>2120</v>
      </c>
      <c r="C20" s="2505"/>
      <c r="D20" s="2501"/>
      <c r="E20" s="2501"/>
      <c r="F20" s="2501"/>
      <c r="G20" s="2501"/>
      <c r="H20" s="2501"/>
      <c r="I20" s="2501"/>
      <c r="J20" s="2501"/>
      <c r="K20" s="250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1" t="s">
        <v>2121</v>
      </c>
      <c r="C23" s="2501"/>
      <c r="D23" s="2501"/>
      <c r="E23" s="2501"/>
      <c r="F23" s="2501"/>
      <c r="G23" s="2501"/>
      <c r="H23" s="2501"/>
      <c r="I23" s="2501"/>
      <c r="J23" s="2501"/>
      <c r="K23" s="250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1" t="s">
        <v>2122</v>
      </c>
      <c r="C26" s="2501"/>
      <c r="D26" s="2501"/>
      <c r="E26" s="2501"/>
      <c r="F26" s="2501"/>
      <c r="G26" s="2501"/>
      <c r="H26" s="2501"/>
      <c r="I26" s="2501"/>
      <c r="J26" s="2501"/>
      <c r="K26" s="250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0" t="s">
        <v>2129</v>
      </c>
      <c r="C29" s="2500"/>
      <c r="D29" s="2501"/>
      <c r="E29" s="2501"/>
      <c r="F29" s="2501"/>
      <c r="G29" s="2501"/>
      <c r="H29" s="2501"/>
      <c r="I29" s="2501"/>
      <c r="J29" s="2501"/>
      <c r="K29" s="250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0" t="s">
        <v>2139</v>
      </c>
      <c r="C32" s="2500"/>
      <c r="D32" s="2501"/>
      <c r="E32" s="2501"/>
      <c r="F32" s="2501"/>
      <c r="G32" s="2501"/>
      <c r="H32" s="2501"/>
      <c r="I32" s="2501"/>
      <c r="J32" s="2501"/>
      <c r="K32" s="250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Joppa Maple Grove USD 38</v>
      </c>
      <c r="C1" s="2506"/>
      <c r="D1" s="2506"/>
      <c r="E1" s="2506"/>
      <c r="F1" s="2506"/>
      <c r="G1" s="2506"/>
      <c r="H1" s="2506"/>
      <c r="I1" s="2506"/>
      <c r="J1" s="2506"/>
      <c r="K1" s="2506"/>
      <c r="L1" s="1465"/>
    </row>
    <row r="2" spans="1:12" ht="12.75" customHeight="1" x14ac:dyDescent="0.2">
      <c r="B2" s="2507">
        <f>'Single Audit Cover'!E7</f>
        <v>21061038026</v>
      </c>
      <c r="C2" s="2507"/>
      <c r="D2" s="2507"/>
      <c r="E2" s="2507"/>
      <c r="F2" s="2507"/>
      <c r="G2" s="2507"/>
      <c r="H2" s="2507"/>
      <c r="I2" s="2507"/>
      <c r="J2" s="2507"/>
      <c r="K2" s="2507"/>
      <c r="L2" s="1466"/>
    </row>
    <row r="3" spans="1:12" ht="12.75" customHeight="1" x14ac:dyDescent="0.2">
      <c r="B3" s="2502" t="s">
        <v>1347</v>
      </c>
      <c r="C3" s="2502"/>
      <c r="D3" s="2502"/>
      <c r="E3" s="2502"/>
      <c r="F3" s="2502"/>
      <c r="G3" s="2502"/>
      <c r="H3" s="2502"/>
      <c r="I3" s="2502"/>
      <c r="J3" s="2502"/>
      <c r="K3" s="2502"/>
      <c r="L3" s="1377"/>
    </row>
    <row r="4" spans="1:12" ht="12.75" customHeight="1" x14ac:dyDescent="0.2">
      <c r="B4" s="2502" t="str">
        <f>'Single Audit Cover'!A4</f>
        <v>Year Ending June 30, 2018</v>
      </c>
      <c r="C4" s="2502"/>
      <c r="D4" s="2502"/>
      <c r="E4" s="2502"/>
      <c r="F4" s="2502"/>
      <c r="G4" s="2502"/>
      <c r="H4" s="2502"/>
      <c r="I4" s="2502"/>
      <c r="J4" s="2502"/>
      <c r="K4" s="2502"/>
      <c r="L4" s="1377"/>
    </row>
    <row r="5" spans="1:12" ht="5.25" customHeight="1" x14ac:dyDescent="0.2">
      <c r="B5" s="1260" t="s">
        <v>1231</v>
      </c>
      <c r="C5" s="1260"/>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9"/>
      <c r="E14" s="2509"/>
      <c r="F14" s="2509"/>
      <c r="H14" s="1475" t="s">
        <v>1370</v>
      </c>
      <c r="I14" s="2510"/>
      <c r="J14" s="2510"/>
      <c r="K14" s="251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0"/>
      <c r="E16" s="2510"/>
      <c r="F16" s="2510"/>
      <c r="G16" s="2510"/>
      <c r="H16" s="2510"/>
      <c r="I16" s="2510"/>
      <c r="J16" s="2510"/>
      <c r="K16" s="2510"/>
      <c r="L16" s="322"/>
    </row>
    <row r="17" spans="2:12" ht="13.5" customHeight="1" x14ac:dyDescent="0.2">
      <c r="B17" s="1387" t="s">
        <v>1368</v>
      </c>
      <c r="C17" s="1387"/>
      <c r="D17" s="2511"/>
      <c r="E17" s="2511"/>
      <c r="F17" s="2511"/>
      <c r="G17" s="2511"/>
      <c r="H17" s="2511"/>
      <c r="I17" s="2511"/>
      <c r="J17" s="2511"/>
      <c r="K17" s="251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1"/>
      <c r="C20" s="2501"/>
      <c r="D20" s="2501"/>
      <c r="E20" s="2501"/>
      <c r="F20" s="2501"/>
      <c r="G20" s="2501"/>
      <c r="H20" s="2501"/>
      <c r="I20" s="2501"/>
      <c r="J20" s="2501"/>
      <c r="K20" s="250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Joppa Maple Grove USD 38</v>
      </c>
      <c r="C1" s="2479"/>
      <c r="D1" s="2479"/>
      <c r="E1" s="1491"/>
    </row>
    <row r="2" spans="2:5" s="1282" customFormat="1" ht="12.75" customHeight="1" x14ac:dyDescent="0.2">
      <c r="B2" s="2481">
        <f>'Single Audit Cover'!E7</f>
        <v>21061038026</v>
      </c>
      <c r="C2" s="2481"/>
      <c r="D2" s="2481"/>
      <c r="E2" s="1492"/>
    </row>
    <row r="3" spans="2:5" ht="12.75" customHeight="1" x14ac:dyDescent="0.2">
      <c r="B3" s="2502" t="s">
        <v>1869</v>
      </c>
      <c r="C3" s="2502"/>
      <c r="D3" s="2502"/>
      <c r="E3" s="1274"/>
    </row>
    <row r="4" spans="2:5" s="1282" customFormat="1" ht="12.75" customHeight="1" x14ac:dyDescent="0.2">
      <c r="B4" s="2512" t="str">
        <f>'Single Audit Cover'!A4</f>
        <v>Year Ending June 30, 2018</v>
      </c>
      <c r="C4" s="2512"/>
      <c r="D4" s="251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30795161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3.6176699999999999E-2</v>
      </c>
      <c r="E10" s="356" t="s">
        <v>1062</v>
      </c>
      <c r="F10" s="355">
        <v>6.6192000000000004E-3</v>
      </c>
      <c r="G10" s="356" t="s">
        <v>1062</v>
      </c>
      <c r="H10" s="355">
        <v>3.6882E-3</v>
      </c>
      <c r="I10" s="356" t="s">
        <v>1063</v>
      </c>
      <c r="J10" s="1754">
        <f>ROUND(D10+F10+H10,5)</f>
        <v>4.648E-2</v>
      </c>
      <c r="K10" s="222"/>
      <c r="L10" s="355">
        <v>4.3869999999999998E-4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2862304</v>
      </c>
      <c r="E16" s="356"/>
      <c r="F16" s="1755">
        <f>SUM('Acct Summary 7-8'!C17,'Acct Summary 7-8'!D17,'Acct Summary 7-8'!F17)</f>
        <v>3438595</v>
      </c>
      <c r="G16" s="356"/>
      <c r="H16" s="1755">
        <f>SUM(D16-F16)</f>
        <v>-576291</v>
      </c>
      <c r="I16" s="222"/>
      <c r="J16" s="1755">
        <f>SUM('Acct Summary 7-8'!C81,'Acct Summary 7-8'!D81,'Acct Summary 7-8'!F81,'Acct Summary 7-8'!I81)</f>
        <v>2445245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4249732.2180000003</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285134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15" sqref="O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Joppa Maple Grove USD 38</v>
      </c>
      <c r="E7" s="391"/>
      <c r="G7" s="252"/>
      <c r="H7" s="387"/>
      <c r="I7" s="387"/>
      <c r="J7" s="387"/>
      <c r="K7" s="387"/>
      <c r="L7" s="329"/>
      <c r="M7" s="329"/>
      <c r="N7" s="329"/>
      <c r="O7" s="329"/>
      <c r="P7" s="329"/>
    </row>
    <row r="8" spans="1:18" ht="12.75" x14ac:dyDescent="0.2">
      <c r="A8" s="329"/>
      <c r="B8" s="329"/>
      <c r="C8" s="389" t="s">
        <v>1187</v>
      </c>
      <c r="D8" s="392">
        <f>COVER!A13</f>
        <v>21061038026</v>
      </c>
      <c r="E8" s="393"/>
      <c r="G8" s="329"/>
      <c r="H8" s="329"/>
      <c r="I8" s="329"/>
      <c r="J8" s="329"/>
      <c r="K8" s="329"/>
      <c r="L8" s="329"/>
      <c r="M8" s="329"/>
      <c r="N8" s="329"/>
      <c r="O8" s="329"/>
      <c r="P8" s="329"/>
    </row>
    <row r="9" spans="1:18" ht="12.75" x14ac:dyDescent="0.2">
      <c r="A9" s="329"/>
      <c r="B9" s="329"/>
      <c r="C9" s="389" t="s">
        <v>737</v>
      </c>
      <c r="D9" s="394" t="str">
        <f>COVER!A15</f>
        <v>Massac</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2445245</v>
      </c>
      <c r="I12" s="404"/>
      <c r="J12" s="404"/>
      <c r="K12" s="405">
        <f>TRUNC((H12/H13*100000),5)/100000</f>
        <v>0.85429255589999997</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2862304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1</v>
      </c>
      <c r="P16" s="216"/>
      <c r="R16" s="384"/>
    </row>
    <row r="17" spans="1:18" s="408" customFormat="1" ht="11.25" x14ac:dyDescent="0.2">
      <c r="A17" s="218"/>
      <c r="B17" s="401"/>
      <c r="C17" s="218" t="s">
        <v>830</v>
      </c>
      <c r="D17" s="218"/>
      <c r="E17" s="218"/>
      <c r="F17" s="218" t="s">
        <v>464</v>
      </c>
      <c r="G17" s="402"/>
      <c r="H17" s="403">
        <f>SUM('Acct Summary 7-8'!C17+'Acct Summary 7-8'!D17+'Acct Summary 7-8'!F17)</f>
        <v>3438595</v>
      </c>
      <c r="I17" s="404"/>
      <c r="J17" s="416"/>
      <c r="K17" s="405">
        <f>TRUNC((H17/H18*100000),5)/100000</f>
        <v>1.2013381527</v>
      </c>
      <c r="L17" s="406"/>
      <c r="M17" s="417" t="s">
        <v>1233</v>
      </c>
      <c r="O17" s="418" t="str">
        <f>IF(AND(O16="2", J20 &gt; 2),"1",IF(AND(O16 = "1", J20 &gt; 2),"2",IF(AND(O16="1", J20 &gt;1),"1","0")))</f>
        <v>2</v>
      </c>
      <c r="P17" s="218"/>
    </row>
    <row r="18" spans="1:18" s="408" customFormat="1" ht="11.25" x14ac:dyDescent="0.2">
      <c r="A18" s="218"/>
      <c r="B18" s="401"/>
      <c r="C18" s="2125" t="s">
        <v>1384</v>
      </c>
      <c r="D18" s="2126"/>
      <c r="E18" s="218"/>
      <c r="F18" s="419" t="s">
        <v>827</v>
      </c>
      <c r="G18" s="402"/>
      <c r="H18" s="403">
        <f>SUM('Acct Summary 7-8'!C8+'Acct Summary 7-8'!D8+'Acct Summary 7-8'!F8+'Acct Summary 7-8'!I8)+H19</f>
        <v>2862304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3.7463965000000004</v>
      </c>
      <c r="K20" s="405">
        <f>IF(K17&lt;=1,"0",IF(AND(O16="2", J20 &gt; 2),TRUNC(((K12-0.1)/(K17-1)*100),5)/100,IF(AND(O16 = "1", J20 &gt; 2),TRUNC(((K12-0.1)/(K17-1)*100),5)/100,IF(AND(O16="1", J20 &gt;1),TRUNC(((K12-0.1)/(K17-1)*100),5)/100,""))))</f>
        <v>3.7463965000000004</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2439889</v>
      </c>
      <c r="I24" s="422"/>
      <c r="J24" s="422"/>
      <c r="K24" s="423">
        <f>TRUNC(((H24/H25*100000)/100000),2)</f>
        <v>255.44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9551.6527800000003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1216655.2207899999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285134</v>
      </c>
      <c r="I32" s="420"/>
      <c r="J32" s="420"/>
      <c r="K32" s="423">
        <f>TRUNC(100-((((H32/H33*100))*100)/100),2)</f>
        <v>93.29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4249732.2180000003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3" activePane="bottomLeft" state="frozen"/>
      <selection activeCell="O15" sqref="O15"/>
      <selection pane="bottomLeft" activeCell="O15" sqref="O1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1526903</v>
      </c>
      <c r="D4" s="466">
        <v>722813</v>
      </c>
      <c r="E4" s="466"/>
      <c r="F4" s="466">
        <v>190173</v>
      </c>
      <c r="G4" s="466">
        <v>41318</v>
      </c>
      <c r="H4" s="466"/>
      <c r="I4" s="466"/>
      <c r="J4" s="467">
        <v>91583</v>
      </c>
      <c r="K4" s="466">
        <v>106687</v>
      </c>
      <c r="L4" s="466">
        <v>29514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5356</v>
      </c>
      <c r="D12" s="466"/>
      <c r="E12" s="466"/>
      <c r="F12" s="466"/>
      <c r="G12" s="466"/>
      <c r="H12" s="466"/>
      <c r="I12" s="466"/>
      <c r="J12" s="467"/>
      <c r="K12" s="466"/>
      <c r="L12" s="466"/>
      <c r="M12" s="469"/>
      <c r="N12" s="469"/>
    </row>
    <row r="13" spans="1:14" ht="13.5" customHeight="1" thickBot="1" x14ac:dyDescent="0.25">
      <c r="A13" s="1758" t="s">
        <v>665</v>
      </c>
      <c r="B13" s="1731"/>
      <c r="C13" s="1759">
        <f>SUM(C4:C12)</f>
        <v>1532259</v>
      </c>
      <c r="D13" s="1759">
        <f t="shared" ref="D13:L13" si="0">SUM(D4:D12)</f>
        <v>722813</v>
      </c>
      <c r="E13" s="1759">
        <f t="shared" si="0"/>
        <v>0</v>
      </c>
      <c r="F13" s="1759">
        <f t="shared" si="0"/>
        <v>190173</v>
      </c>
      <c r="G13" s="1759">
        <f t="shared" si="0"/>
        <v>41318</v>
      </c>
      <c r="H13" s="1759">
        <f t="shared" si="0"/>
        <v>0</v>
      </c>
      <c r="I13" s="1759">
        <f t="shared" si="0"/>
        <v>0</v>
      </c>
      <c r="J13" s="1759">
        <f t="shared" si="0"/>
        <v>91583</v>
      </c>
      <c r="K13" s="1759">
        <f t="shared" si="0"/>
        <v>106687</v>
      </c>
      <c r="L13" s="1759">
        <f t="shared" si="0"/>
        <v>29514</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38022</v>
      </c>
      <c r="N16" s="484"/>
    </row>
    <row r="17" spans="1:14" s="485" customFormat="1" ht="12.75" customHeight="1" x14ac:dyDescent="0.2">
      <c r="A17" s="482" t="s">
        <v>1470</v>
      </c>
      <c r="B17" s="483">
        <v>230</v>
      </c>
      <c r="C17" s="477"/>
      <c r="D17" s="477"/>
      <c r="E17" s="477"/>
      <c r="F17" s="477"/>
      <c r="G17" s="477"/>
      <c r="H17" s="477"/>
      <c r="I17" s="477"/>
      <c r="J17" s="477"/>
      <c r="K17" s="477"/>
      <c r="L17" s="477"/>
      <c r="M17" s="467">
        <v>3400328</v>
      </c>
      <c r="N17" s="484"/>
    </row>
    <row r="18" spans="1:14" s="485" customFormat="1" ht="12.75" customHeight="1" x14ac:dyDescent="0.2">
      <c r="A18" s="482" t="s">
        <v>1471</v>
      </c>
      <c r="B18" s="483">
        <v>240</v>
      </c>
      <c r="C18" s="477"/>
      <c r="D18" s="477"/>
      <c r="E18" s="477"/>
      <c r="F18" s="477"/>
      <c r="G18" s="477"/>
      <c r="H18" s="477"/>
      <c r="I18" s="477"/>
      <c r="J18" s="477"/>
      <c r="K18" s="477"/>
      <c r="L18" s="477"/>
      <c r="M18" s="467">
        <v>1339827</v>
      </c>
      <c r="N18" s="484"/>
    </row>
    <row r="19" spans="1:14" s="485" customFormat="1" ht="12.75" customHeight="1" x14ac:dyDescent="0.2">
      <c r="A19" s="482" t="s">
        <v>1472</v>
      </c>
      <c r="B19" s="483">
        <v>250</v>
      </c>
      <c r="C19" s="477"/>
      <c r="D19" s="477"/>
      <c r="E19" s="477"/>
      <c r="F19" s="477"/>
      <c r="G19" s="477"/>
      <c r="H19" s="477"/>
      <c r="I19" s="477"/>
      <c r="J19" s="477"/>
      <c r="K19" s="477"/>
      <c r="L19" s="477"/>
      <c r="M19" s="467">
        <v>1435312</v>
      </c>
      <c r="N19" s="484"/>
    </row>
    <row r="20" spans="1:14" s="485" customFormat="1" ht="12.75" customHeight="1" x14ac:dyDescent="0.2">
      <c r="A20" s="482" t="s">
        <v>1473</v>
      </c>
      <c r="B20" s="483">
        <v>260</v>
      </c>
      <c r="C20" s="477"/>
      <c r="D20" s="477"/>
      <c r="E20" s="477"/>
      <c r="F20" s="477"/>
      <c r="G20" s="477"/>
      <c r="H20" s="477"/>
      <c r="I20" s="477"/>
      <c r="J20" s="477"/>
      <c r="K20" s="477"/>
      <c r="L20" s="477"/>
      <c r="M20" s="467">
        <v>1589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285134</v>
      </c>
    </row>
    <row r="23" spans="1:14" ht="13.5" customHeight="1" thickBot="1" x14ac:dyDescent="0.25">
      <c r="A23" s="1758" t="s">
        <v>664</v>
      </c>
      <c r="B23" s="1763"/>
      <c r="C23" s="468"/>
      <c r="D23" s="468"/>
      <c r="E23" s="468"/>
      <c r="F23" s="468"/>
      <c r="G23" s="468"/>
      <c r="H23" s="468"/>
      <c r="I23" s="468"/>
      <c r="J23" s="468"/>
      <c r="K23" s="468"/>
      <c r="L23" s="468"/>
      <c r="M23" s="1710">
        <f>SUM(M15:M22)</f>
        <v>6215078</v>
      </c>
      <c r="N23" s="1710">
        <f>SUM(N21:N22)</f>
        <v>285134</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29514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29514</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285134</v>
      </c>
    </row>
    <row r="37" spans="1:14" ht="13.5" thickBot="1" x14ac:dyDescent="0.25">
      <c r="A37" s="1758" t="s">
        <v>674</v>
      </c>
      <c r="B37" s="1763"/>
      <c r="C37" s="477"/>
      <c r="D37" s="477"/>
      <c r="E37" s="477"/>
      <c r="F37" s="477"/>
      <c r="G37" s="477"/>
      <c r="H37" s="477"/>
      <c r="I37" s="477"/>
      <c r="J37" s="477"/>
      <c r="K37" s="477"/>
      <c r="L37" s="480"/>
      <c r="M37" s="468"/>
      <c r="N37" s="1710">
        <f>SUM(N36:N36)</f>
        <v>285134</v>
      </c>
    </row>
    <row r="38" spans="1:14" s="329" customFormat="1" ht="13.5" customHeight="1" thickTop="1" x14ac:dyDescent="0.2">
      <c r="A38" s="496" t="s">
        <v>440</v>
      </c>
      <c r="B38" s="483">
        <v>714</v>
      </c>
      <c r="C38" s="466"/>
      <c r="D38" s="466"/>
      <c r="E38" s="466"/>
      <c r="F38" s="466"/>
      <c r="G38" s="466">
        <v>41318</v>
      </c>
      <c r="H38" s="466"/>
      <c r="I38" s="466"/>
      <c r="J38" s="467">
        <v>91583</v>
      </c>
      <c r="K38" s="466">
        <v>106687</v>
      </c>
      <c r="L38" s="481"/>
      <c r="M38" s="497"/>
      <c r="N38" s="497"/>
    </row>
    <row r="39" spans="1:14" s="329" customFormat="1" ht="13.5" customHeight="1" x14ac:dyDescent="0.2">
      <c r="A39" s="496" t="s">
        <v>360</v>
      </c>
      <c r="B39" s="483">
        <v>730</v>
      </c>
      <c r="C39" s="466">
        <v>1532259</v>
      </c>
      <c r="D39" s="466">
        <v>722813</v>
      </c>
      <c r="E39" s="466"/>
      <c r="F39" s="466">
        <v>190173</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6215078</v>
      </c>
      <c r="N40" s="497"/>
    </row>
    <row r="41" spans="1:14" ht="13.5" customHeight="1" thickBot="1" x14ac:dyDescent="0.25">
      <c r="A41" s="1758" t="s">
        <v>676</v>
      </c>
      <c r="B41" s="1728"/>
      <c r="C41" s="1710">
        <f>(SUM(C34,C37,C38,C39))</f>
        <v>1532259</v>
      </c>
      <c r="D41" s="1710">
        <f t="shared" ref="D41:L41" si="2">SUM(D34,D37,D38:D39)</f>
        <v>722813</v>
      </c>
      <c r="E41" s="1710">
        <f t="shared" si="2"/>
        <v>0</v>
      </c>
      <c r="F41" s="1710">
        <f t="shared" si="2"/>
        <v>190173</v>
      </c>
      <c r="G41" s="1710">
        <f t="shared" si="2"/>
        <v>41318</v>
      </c>
      <c r="H41" s="1710">
        <f t="shared" si="2"/>
        <v>0</v>
      </c>
      <c r="I41" s="1710">
        <f t="shared" si="2"/>
        <v>0</v>
      </c>
      <c r="J41" s="1710">
        <f t="shared" si="2"/>
        <v>91583</v>
      </c>
      <c r="K41" s="1710">
        <f t="shared" si="2"/>
        <v>106687</v>
      </c>
      <c r="L41" s="1710">
        <f t="shared" si="2"/>
        <v>29514</v>
      </c>
      <c r="M41" s="1710">
        <f>SUM(M40)</f>
        <v>6215078</v>
      </c>
      <c r="N41" s="1710">
        <f>SUM(N37)</f>
        <v>285134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O15" sqref="O15"/>
      <selection pane="bottomLeft" activeCell="O15" sqref="O1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2160" t="s">
        <v>1579</v>
      </c>
      <c r="B4" s="2161"/>
      <c r="C4" s="1764">
        <f>'Revenues 9-14'!C109</f>
        <v>1363565</v>
      </c>
      <c r="D4" s="1764">
        <f>'Revenues 9-14'!D109</f>
        <v>350474</v>
      </c>
      <c r="E4" s="1764">
        <f>'Revenues 9-14'!E109</f>
        <v>0</v>
      </c>
      <c r="F4" s="1764">
        <f>'Revenues 9-14'!F109</f>
        <v>109635</v>
      </c>
      <c r="G4" s="1764">
        <f>'Revenues 9-14'!G109</f>
        <v>106109</v>
      </c>
      <c r="H4" s="1764">
        <f>'Revenues 9-14'!H109</f>
        <v>0</v>
      </c>
      <c r="I4" s="1764">
        <f>'Revenues 9-14'!I109</f>
        <v>11329</v>
      </c>
      <c r="J4" s="1764">
        <f>'Revenues 9-14'!J109</f>
        <v>58303</v>
      </c>
      <c r="K4" s="1764">
        <f>'Revenues 9-14'!K109</f>
        <v>12028</v>
      </c>
      <c r="L4" s="347"/>
    </row>
    <row r="5" spans="1:13" ht="15.75" customHeight="1" x14ac:dyDescent="0.2">
      <c r="A5" s="1598" t="s">
        <v>1580</v>
      </c>
      <c r="B5" s="1599">
        <v>2000</v>
      </c>
      <c r="C5" s="1765">
        <f>'Revenues 9-14'!C114</f>
        <v>27859</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508064</v>
      </c>
      <c r="D6" s="1765">
        <f>'Revenues 9-14'!D173</f>
        <v>0</v>
      </c>
      <c r="E6" s="1765">
        <f>'Revenues 9-14'!E173</f>
        <v>0</v>
      </c>
      <c r="F6" s="1765">
        <f>'Revenues 9-14'!F173</f>
        <v>168952</v>
      </c>
      <c r="G6" s="1765">
        <f>'Revenues 9-14'!G173</f>
        <v>19229</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322426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2221914</v>
      </c>
      <c r="D8" s="1710">
        <f t="shared" ref="D8:K8" si="0">SUM(D4:D7)</f>
        <v>350474</v>
      </c>
      <c r="E8" s="1710">
        <f t="shared" si="0"/>
        <v>0</v>
      </c>
      <c r="F8" s="1710">
        <f t="shared" si="0"/>
        <v>278587</v>
      </c>
      <c r="G8" s="1710">
        <f t="shared" si="0"/>
        <v>125338</v>
      </c>
      <c r="H8" s="1710">
        <f t="shared" si="0"/>
        <v>0</v>
      </c>
      <c r="I8" s="1710">
        <f t="shared" si="0"/>
        <v>11329</v>
      </c>
      <c r="J8" s="1710">
        <f t="shared" si="0"/>
        <v>58303</v>
      </c>
      <c r="K8" s="1710">
        <f t="shared" si="0"/>
        <v>12028</v>
      </c>
      <c r="L8" s="347"/>
    </row>
    <row r="9" spans="1:13" ht="15.75" thickTop="1" x14ac:dyDescent="0.2">
      <c r="A9" s="514" t="s">
        <v>1752</v>
      </c>
      <c r="B9" s="515">
        <v>3998</v>
      </c>
      <c r="C9" s="481">
        <v>1022156</v>
      </c>
      <c r="D9" s="516"/>
      <c r="E9" s="481"/>
      <c r="F9" s="481"/>
      <c r="G9" s="517"/>
      <c r="H9" s="481"/>
      <c r="I9" s="509" t="s">
        <v>1231</v>
      </c>
      <c r="J9" s="478"/>
      <c r="K9" s="481"/>
      <c r="L9" s="347"/>
    </row>
    <row r="10" spans="1:13" s="519" customFormat="1" ht="13.5" thickBot="1" x14ac:dyDescent="0.25">
      <c r="A10" s="1758" t="s">
        <v>1235</v>
      </c>
      <c r="B10" s="1731"/>
      <c r="C10" s="1710">
        <f>SUM(C8:C9)</f>
        <v>3244070</v>
      </c>
      <c r="D10" s="1710">
        <f t="shared" ref="D10:K10" si="1">SUM(D8:D9)</f>
        <v>350474</v>
      </c>
      <c r="E10" s="1710">
        <f t="shared" si="1"/>
        <v>0</v>
      </c>
      <c r="F10" s="1710">
        <f t="shared" si="1"/>
        <v>278587</v>
      </c>
      <c r="G10" s="1710">
        <f t="shared" si="1"/>
        <v>125338</v>
      </c>
      <c r="H10" s="1710">
        <f t="shared" si="1"/>
        <v>0</v>
      </c>
      <c r="I10" s="1710">
        <f t="shared" si="1"/>
        <v>11329</v>
      </c>
      <c r="J10" s="1710">
        <f t="shared" si="1"/>
        <v>58303</v>
      </c>
      <c r="K10" s="1710">
        <f t="shared" si="1"/>
        <v>12028</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1725567</v>
      </c>
      <c r="D12" s="520" t="s">
        <v>1231</v>
      </c>
      <c r="E12" s="468" t="s">
        <v>1231</v>
      </c>
      <c r="F12" s="468" t="s">
        <v>1231</v>
      </c>
      <c r="G12" s="1764">
        <f>'Expenditures 15-22'!K229</f>
        <v>46428</v>
      </c>
      <c r="H12" s="521"/>
      <c r="I12" s="468" t="s">
        <v>1231</v>
      </c>
      <c r="J12" s="468" t="s">
        <v>1231</v>
      </c>
      <c r="K12" s="521" t="s">
        <v>1231</v>
      </c>
      <c r="L12" s="347"/>
    </row>
    <row r="13" spans="1:13" ht="15.75" customHeight="1" x14ac:dyDescent="0.2">
      <c r="A13" s="1598" t="s">
        <v>477</v>
      </c>
      <c r="B13" s="1600">
        <v>2000</v>
      </c>
      <c r="C13" s="1765">
        <f>'Expenditures 15-22'!K74</f>
        <v>913606</v>
      </c>
      <c r="D13" s="1765">
        <f>'Expenditures 15-22'!K129</f>
        <v>387953</v>
      </c>
      <c r="E13" s="469" t="s">
        <v>1231</v>
      </c>
      <c r="F13" s="1765">
        <f>'Expenditures 15-22'!K184</f>
        <v>280663</v>
      </c>
      <c r="G13" s="1765">
        <f>'Expenditures 15-22'!K279</f>
        <v>66999</v>
      </c>
      <c r="H13" s="1765">
        <f>'Expenditures 15-22'!K303</f>
        <v>0</v>
      </c>
      <c r="I13" s="468" t="s">
        <v>1231</v>
      </c>
      <c r="J13" s="1765">
        <f>'Expenditures 15-22'!K330</f>
        <v>53542</v>
      </c>
      <c r="K13" s="1769">
        <f>'Expenditures 15-22'!K352</f>
        <v>2473</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130806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59410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2769979</v>
      </c>
      <c r="D17" s="1710">
        <f t="shared" si="2"/>
        <v>387953</v>
      </c>
      <c r="E17" s="1710">
        <f t="shared" si="2"/>
        <v>59410</v>
      </c>
      <c r="F17" s="1710">
        <f t="shared" si="2"/>
        <v>280663</v>
      </c>
      <c r="G17" s="1710">
        <f t="shared" si="2"/>
        <v>113427</v>
      </c>
      <c r="H17" s="1710">
        <f t="shared" si="2"/>
        <v>0</v>
      </c>
      <c r="I17" s="468"/>
      <c r="J17" s="1710">
        <f>SUM(J12:J16)</f>
        <v>53542</v>
      </c>
      <c r="K17" s="1710">
        <f>SUM(K12:K16)</f>
        <v>2473</v>
      </c>
      <c r="L17" s="347"/>
    </row>
    <row r="18" spans="1:12" ht="15" customHeight="1" thickTop="1" x14ac:dyDescent="0.2">
      <c r="A18" s="1766" t="s">
        <v>1753</v>
      </c>
      <c r="B18" s="1767">
        <v>4180</v>
      </c>
      <c r="C18" s="1764">
        <f t="shared" ref="C18:H18" si="3">C9</f>
        <v>1022156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3792135</v>
      </c>
      <c r="D19" s="1710">
        <f t="shared" si="4"/>
        <v>387953</v>
      </c>
      <c r="E19" s="1710">
        <f t="shared" si="4"/>
        <v>59410</v>
      </c>
      <c r="F19" s="1710">
        <f t="shared" si="4"/>
        <v>280663</v>
      </c>
      <c r="G19" s="1710">
        <f t="shared" si="4"/>
        <v>113427</v>
      </c>
      <c r="H19" s="1710">
        <f t="shared" si="4"/>
        <v>0</v>
      </c>
      <c r="I19" s="468"/>
      <c r="J19" s="1710">
        <f>SUM(J17:J18)</f>
        <v>53542</v>
      </c>
      <c r="K19" s="1710">
        <f>SUM(K17:K18)</f>
        <v>2473</v>
      </c>
      <c r="L19" s="347"/>
    </row>
    <row r="20" spans="1:12" ht="16.5" thickTop="1" thickBot="1" x14ac:dyDescent="0.25">
      <c r="A20" s="2148" t="s">
        <v>1754</v>
      </c>
      <c r="B20" s="2149"/>
      <c r="C20" s="1768">
        <f>C8-C17</f>
        <v>-548065</v>
      </c>
      <c r="D20" s="1768">
        <f t="shared" ref="D20:K20" si="5">D8-D17</f>
        <v>-37479</v>
      </c>
      <c r="E20" s="1768">
        <f t="shared" si="5"/>
        <v>-59410</v>
      </c>
      <c r="F20" s="1768">
        <f t="shared" si="5"/>
        <v>-2076</v>
      </c>
      <c r="G20" s="1768">
        <f t="shared" si="5"/>
        <v>11911</v>
      </c>
      <c r="H20" s="1768">
        <f t="shared" si="5"/>
        <v>0</v>
      </c>
      <c r="I20" s="1768">
        <f t="shared" si="5"/>
        <v>11329</v>
      </c>
      <c r="J20" s="1768">
        <f t="shared" si="5"/>
        <v>4761</v>
      </c>
      <c r="K20" s="1768">
        <f t="shared" si="5"/>
        <v>9555</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v>11329</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54720</v>
      </c>
      <c r="F39" s="477"/>
      <c r="G39" s="477"/>
      <c r="H39" s="477"/>
      <c r="I39" s="477"/>
      <c r="J39" s="477"/>
      <c r="K39" s="477"/>
      <c r="L39" s="524"/>
    </row>
    <row r="40" spans="1:12" s="485" customFormat="1" ht="13.5" customHeight="1" x14ac:dyDescent="0.2">
      <c r="A40" s="1511" t="s">
        <v>663</v>
      </c>
      <c r="B40" s="483">
        <v>7700</v>
      </c>
      <c r="C40" s="477"/>
      <c r="D40" s="477"/>
      <c r="E40" s="1765">
        <f>SUM(C66:D69)</f>
        <v>4690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11329</v>
      </c>
      <c r="D44" s="1725">
        <f t="shared" ref="D44:K44" si="6">SUM(D24:D43)</f>
        <v>0</v>
      </c>
      <c r="E44" s="1725">
        <f t="shared" si="6"/>
        <v>59410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11329</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v>54720</v>
      </c>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v>4690</v>
      </c>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8" t="s">
        <v>460</v>
      </c>
      <c r="B76" s="2169"/>
      <c r="C76" s="1725">
        <f t="shared" ref="C76:K76" si="7">SUM(C47:C75)</f>
        <v>0</v>
      </c>
      <c r="D76" s="1725">
        <f t="shared" si="7"/>
        <v>59410</v>
      </c>
      <c r="E76" s="1725">
        <f t="shared" si="7"/>
        <v>0</v>
      </c>
      <c r="F76" s="1725">
        <f t="shared" si="7"/>
        <v>0</v>
      </c>
      <c r="G76" s="1725">
        <f t="shared" si="7"/>
        <v>0</v>
      </c>
      <c r="H76" s="1725">
        <f t="shared" si="7"/>
        <v>0</v>
      </c>
      <c r="I76" s="1725">
        <f t="shared" si="7"/>
        <v>11329</v>
      </c>
      <c r="J76" s="1725">
        <f t="shared" si="7"/>
        <v>0</v>
      </c>
      <c r="K76" s="1725">
        <f t="shared" si="7"/>
        <v>0</v>
      </c>
      <c r="L76" s="524"/>
    </row>
    <row r="77" spans="1:12" ht="14.25" thickTop="1" thickBot="1" x14ac:dyDescent="0.25">
      <c r="A77" s="2140" t="s">
        <v>1239</v>
      </c>
      <c r="B77" s="2141"/>
      <c r="C77" s="1725">
        <f t="shared" ref="C77:K77" si="8">C44-C76</f>
        <v>11329</v>
      </c>
      <c r="D77" s="1725">
        <f t="shared" si="8"/>
        <v>-59410</v>
      </c>
      <c r="E77" s="1725">
        <f t="shared" si="8"/>
        <v>59410</v>
      </c>
      <c r="F77" s="1725">
        <f t="shared" si="8"/>
        <v>0</v>
      </c>
      <c r="G77" s="1725">
        <f t="shared" si="8"/>
        <v>0</v>
      </c>
      <c r="H77" s="1725">
        <f t="shared" si="8"/>
        <v>0</v>
      </c>
      <c r="I77" s="1725">
        <f t="shared" si="8"/>
        <v>-11329</v>
      </c>
      <c r="J77" s="1725">
        <f t="shared" si="8"/>
        <v>0</v>
      </c>
      <c r="K77" s="1725">
        <f t="shared" si="8"/>
        <v>0</v>
      </c>
      <c r="L77" s="347"/>
    </row>
    <row r="78" spans="1:12" ht="21.75" customHeight="1" thickTop="1" thickBot="1" x14ac:dyDescent="0.25">
      <c r="A78" s="2144" t="s">
        <v>618</v>
      </c>
      <c r="B78" s="2145"/>
      <c r="C78" s="1724">
        <f t="shared" ref="C78:K78" si="9">C20+C77</f>
        <v>-536736</v>
      </c>
      <c r="D78" s="1724">
        <f t="shared" si="9"/>
        <v>-96889</v>
      </c>
      <c r="E78" s="1724">
        <f t="shared" si="9"/>
        <v>0</v>
      </c>
      <c r="F78" s="1724">
        <f t="shared" si="9"/>
        <v>-2076</v>
      </c>
      <c r="G78" s="1724">
        <f t="shared" si="9"/>
        <v>11911</v>
      </c>
      <c r="H78" s="1724">
        <f t="shared" si="9"/>
        <v>0</v>
      </c>
      <c r="I78" s="1724">
        <f t="shared" si="9"/>
        <v>0</v>
      </c>
      <c r="J78" s="1724">
        <f t="shared" si="9"/>
        <v>4761</v>
      </c>
      <c r="K78" s="1724">
        <f t="shared" si="9"/>
        <v>9555</v>
      </c>
      <c r="L78" s="533"/>
    </row>
    <row r="79" spans="1:12" ht="13.5" thickTop="1" x14ac:dyDescent="0.2">
      <c r="A79" s="1516" t="s">
        <v>2070</v>
      </c>
      <c r="B79" s="534"/>
      <c r="C79" s="478">
        <v>2068995</v>
      </c>
      <c r="D79" s="535">
        <v>819702</v>
      </c>
      <c r="E79" s="535"/>
      <c r="F79" s="535">
        <v>192249</v>
      </c>
      <c r="G79" s="535">
        <v>29407</v>
      </c>
      <c r="H79" s="535"/>
      <c r="I79" s="535"/>
      <c r="J79" s="535">
        <v>86822</v>
      </c>
      <c r="K79" s="535">
        <v>97132</v>
      </c>
      <c r="L79" s="347"/>
    </row>
    <row r="80" spans="1:12" x14ac:dyDescent="0.2">
      <c r="A80" s="2150" t="s">
        <v>1898</v>
      </c>
      <c r="B80" s="2151"/>
      <c r="C80" s="467"/>
      <c r="D80" s="467"/>
      <c r="E80" s="467"/>
      <c r="F80" s="467"/>
      <c r="G80" s="467"/>
      <c r="H80" s="467"/>
      <c r="I80" s="467"/>
      <c r="J80" s="467"/>
      <c r="K80" s="467"/>
      <c r="L80" s="347"/>
    </row>
    <row r="81" spans="1:12" ht="13.5" thickBot="1" x14ac:dyDescent="0.25">
      <c r="A81" s="2142" t="s">
        <v>2071</v>
      </c>
      <c r="B81" s="2143"/>
      <c r="C81" s="1710">
        <f>(SUM(C78:C80))</f>
        <v>1532259</v>
      </c>
      <c r="D81" s="1710">
        <f>SUM(D78:D80)</f>
        <v>722813</v>
      </c>
      <c r="E81" s="1710">
        <f t="shared" ref="E81:K81" si="10">SUM(E78:E80)</f>
        <v>0</v>
      </c>
      <c r="F81" s="1710">
        <f t="shared" si="10"/>
        <v>190173</v>
      </c>
      <c r="G81" s="1710">
        <f t="shared" si="10"/>
        <v>41318</v>
      </c>
      <c r="H81" s="1710">
        <f t="shared" si="10"/>
        <v>0</v>
      </c>
      <c r="I81" s="1710">
        <f t="shared" si="10"/>
        <v>0</v>
      </c>
      <c r="J81" s="1710">
        <f t="shared" si="10"/>
        <v>91583</v>
      </c>
      <c r="K81" s="1710">
        <f t="shared" si="10"/>
        <v>106687</v>
      </c>
      <c r="L81" s="347"/>
    </row>
    <row r="82" spans="1:12" ht="0.75" customHeight="1" thickTop="1" thickBot="1" x14ac:dyDescent="0.25">
      <c r="A82" s="536" t="s">
        <v>361</v>
      </c>
      <c r="B82" s="537"/>
      <c r="C82" s="538">
        <f>(C81-C79)</f>
        <v>-536736</v>
      </c>
      <c r="D82" s="538">
        <f t="shared" ref="D82:K82" si="11">(D81-D79)</f>
        <v>-96889</v>
      </c>
      <c r="E82" s="538">
        <f t="shared" si="11"/>
        <v>0</v>
      </c>
      <c r="F82" s="538">
        <f t="shared" si="11"/>
        <v>-2076</v>
      </c>
      <c r="G82" s="538">
        <f t="shared" si="11"/>
        <v>11911</v>
      </c>
      <c r="H82" s="538">
        <f t="shared" si="11"/>
        <v>0</v>
      </c>
      <c r="I82" s="538">
        <f t="shared" si="11"/>
        <v>0</v>
      </c>
      <c r="J82" s="538">
        <f t="shared" si="11"/>
        <v>4761</v>
      </c>
      <c r="K82" s="538">
        <f t="shared" si="11"/>
        <v>9555</v>
      </c>
    </row>
    <row r="83" spans="1:12" ht="14.25" hidden="1" thickTop="1" thickBot="1" x14ac:dyDescent="0.25">
      <c r="A83" s="539" t="s">
        <v>362</v>
      </c>
      <c r="B83" s="464"/>
      <c r="C83" s="540">
        <f>C82/C81</f>
        <v>-0.35029064929623516</v>
      </c>
      <c r="D83" s="540">
        <f t="shared" ref="D83:K83" si="12">D82/D81</f>
        <v>-0.1340443517202928</v>
      </c>
      <c r="E83" s="540" t="e">
        <f t="shared" si="12"/>
        <v>#DIV/0!</v>
      </c>
      <c r="F83" s="540">
        <f t="shared" si="12"/>
        <v>-1.0916376141723588E-2</v>
      </c>
      <c r="G83" s="540">
        <f t="shared" si="12"/>
        <v>0.28827629604530713</v>
      </c>
      <c r="H83" s="540" t="e">
        <f t="shared" si="12"/>
        <v>#DIV/0!</v>
      </c>
      <c r="I83" s="540" t="e">
        <f t="shared" si="12"/>
        <v>#DIV/0!</v>
      </c>
      <c r="J83" s="540">
        <f t="shared" si="12"/>
        <v>5.1985630520948213E-2</v>
      </c>
      <c r="K83" s="540">
        <f t="shared" si="12"/>
        <v>8.9561052424381601E-2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orizontalCentered="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O15" sqref="O15"/>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1905</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904486</v>
      </c>
      <c r="D5" s="481">
        <v>169835</v>
      </c>
      <c r="E5" s="466"/>
      <c r="F5" s="548">
        <v>107350</v>
      </c>
      <c r="G5" s="466">
        <v>28597</v>
      </c>
      <c r="H5" s="466"/>
      <c r="I5" s="466">
        <v>11253</v>
      </c>
      <c r="J5" s="467">
        <v>54205</v>
      </c>
      <c r="K5" s="466">
        <v>11253</v>
      </c>
    </row>
    <row r="6" spans="1:12" ht="15" x14ac:dyDescent="0.2">
      <c r="A6" s="463" t="s">
        <v>1761</v>
      </c>
      <c r="B6" s="470">
        <v>1130</v>
      </c>
      <c r="C6" s="466"/>
      <c r="D6" s="466">
        <v>218</v>
      </c>
      <c r="E6" s="475"/>
      <c r="F6" s="475"/>
      <c r="G6" s="468"/>
      <c r="H6" s="468"/>
      <c r="I6" s="468"/>
      <c r="J6" s="468"/>
      <c r="K6" s="468"/>
    </row>
    <row r="7" spans="1:12" x14ac:dyDescent="0.2">
      <c r="A7" s="463" t="s">
        <v>112</v>
      </c>
      <c r="B7" s="549">
        <v>1140</v>
      </c>
      <c r="C7" s="466">
        <v>8993</v>
      </c>
      <c r="D7" s="466"/>
      <c r="E7" s="468"/>
      <c r="F7" s="467"/>
      <c r="G7" s="467"/>
      <c r="H7" s="467"/>
      <c r="I7" s="468"/>
      <c r="J7" s="468"/>
      <c r="K7" s="468"/>
    </row>
    <row r="8" spans="1:12" x14ac:dyDescent="0.2">
      <c r="A8" s="463" t="s">
        <v>433</v>
      </c>
      <c r="B8" s="470">
        <v>1150</v>
      </c>
      <c r="C8" s="475"/>
      <c r="D8" s="475"/>
      <c r="E8" s="477"/>
      <c r="F8" s="477"/>
      <c r="G8" s="481">
        <v>11119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913479</v>
      </c>
      <c r="D12" s="1729">
        <f t="shared" si="0"/>
        <v>170053</v>
      </c>
      <c r="E12" s="1729">
        <f t="shared" si="0"/>
        <v>0</v>
      </c>
      <c r="F12" s="1729">
        <f t="shared" si="0"/>
        <v>107350</v>
      </c>
      <c r="G12" s="1729">
        <f t="shared" si="0"/>
        <v>39716</v>
      </c>
      <c r="H12" s="1729">
        <f t="shared" si="0"/>
        <v>0</v>
      </c>
      <c r="I12" s="1729">
        <f t="shared" si="0"/>
        <v>11253</v>
      </c>
      <c r="J12" s="1729">
        <f t="shared" si="0"/>
        <v>54205</v>
      </c>
      <c r="K12" s="1710">
        <f t="shared" si="0"/>
        <v>11253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6083</v>
      </c>
      <c r="D14" s="466">
        <v>1132</v>
      </c>
      <c r="E14" s="466"/>
      <c r="F14" s="466">
        <v>715</v>
      </c>
      <c r="G14" s="466">
        <v>264</v>
      </c>
      <c r="H14" s="466"/>
      <c r="I14" s="466">
        <v>75</v>
      </c>
      <c r="J14" s="467"/>
      <c r="K14" s="466">
        <v>75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398008</v>
      </c>
      <c r="D16" s="466">
        <v>175000</v>
      </c>
      <c r="E16" s="466"/>
      <c r="F16" s="466"/>
      <c r="G16" s="466">
        <v>66000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404091</v>
      </c>
      <c r="D18" s="1732">
        <f t="shared" ref="D18:K18" si="1">SUM(D14:D17)</f>
        <v>176132</v>
      </c>
      <c r="E18" s="1732">
        <f t="shared" si="1"/>
        <v>0</v>
      </c>
      <c r="F18" s="1732">
        <f t="shared" si="1"/>
        <v>715</v>
      </c>
      <c r="G18" s="1732">
        <f t="shared" si="1"/>
        <v>66264</v>
      </c>
      <c r="H18" s="1732">
        <f t="shared" si="1"/>
        <v>0</v>
      </c>
      <c r="I18" s="1732">
        <f t="shared" si="1"/>
        <v>75</v>
      </c>
      <c r="J18" s="1732">
        <f t="shared" si="1"/>
        <v>0</v>
      </c>
      <c r="K18" s="1733">
        <f t="shared" si="1"/>
        <v>75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11050</v>
      </c>
      <c r="D65" s="466">
        <v>4289</v>
      </c>
      <c r="E65" s="466"/>
      <c r="F65" s="467">
        <v>1170</v>
      </c>
      <c r="G65" s="466">
        <v>129</v>
      </c>
      <c r="H65" s="466"/>
      <c r="I65" s="466">
        <v>1</v>
      </c>
      <c r="J65" s="467">
        <v>235</v>
      </c>
      <c r="K65" s="466">
        <v>700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11050</v>
      </c>
      <c r="D67" s="1710">
        <f t="shared" ref="D67:K67" si="2">SUM(D65:D66)</f>
        <v>4289</v>
      </c>
      <c r="E67" s="1710">
        <f t="shared" si="2"/>
        <v>0</v>
      </c>
      <c r="F67" s="1710">
        <f t="shared" si="2"/>
        <v>1170</v>
      </c>
      <c r="G67" s="1710">
        <f t="shared" si="2"/>
        <v>129</v>
      </c>
      <c r="H67" s="1710">
        <f t="shared" si="2"/>
        <v>0</v>
      </c>
      <c r="I67" s="1710">
        <f t="shared" si="2"/>
        <v>1</v>
      </c>
      <c r="J67" s="1710">
        <f t="shared" si="2"/>
        <v>235</v>
      </c>
      <c r="K67" s="1710">
        <f t="shared" si="2"/>
        <v>700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1383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1704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3123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7714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1055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8769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2140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1205</v>
      </c>
      <c r="D99" s="466"/>
      <c r="E99" s="466"/>
      <c r="F99" s="466"/>
      <c r="G99" s="466"/>
      <c r="H99" s="466"/>
      <c r="I99" s="468"/>
      <c r="J99" s="467">
        <v>3863</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19358</v>
      </c>
      <c r="D107" s="466"/>
      <c r="E107" s="466"/>
      <c r="F107" s="466">
        <v>400</v>
      </c>
      <c r="G107" s="466"/>
      <c r="H107" s="466"/>
      <c r="I107" s="466"/>
      <c r="J107" s="467"/>
      <c r="K107" s="466"/>
    </row>
    <row r="108" spans="1:12" ht="12.75" customHeight="1" thickBot="1" x14ac:dyDescent="0.25">
      <c r="A108" s="1730" t="s">
        <v>508</v>
      </c>
      <c r="B108" s="1734"/>
      <c r="C108" s="1729">
        <f>SUM(C95:C107)</f>
        <v>20913</v>
      </c>
      <c r="D108" s="1729">
        <f t="shared" ref="D108:K108" si="3">SUM(D95:D107)</f>
        <v>0</v>
      </c>
      <c r="E108" s="1729">
        <f t="shared" si="3"/>
        <v>0</v>
      </c>
      <c r="F108" s="1729">
        <f t="shared" si="3"/>
        <v>400</v>
      </c>
      <c r="G108" s="1729">
        <f t="shared" si="3"/>
        <v>0</v>
      </c>
      <c r="H108" s="1729">
        <f t="shared" si="3"/>
        <v>0</v>
      </c>
      <c r="I108" s="1729">
        <f t="shared" si="3"/>
        <v>0</v>
      </c>
      <c r="J108" s="1729">
        <f t="shared" si="3"/>
        <v>3863</v>
      </c>
      <c r="K108" s="1710">
        <f t="shared" si="3"/>
        <v>0</v>
      </c>
    </row>
    <row r="109" spans="1:12" ht="14.25" thickTop="1" thickBot="1" x14ac:dyDescent="0.25">
      <c r="A109" s="1735" t="s">
        <v>266</v>
      </c>
      <c r="B109" s="1736" t="s">
        <v>591</v>
      </c>
      <c r="C109" s="1737">
        <f t="shared" ref="C109:K109" si="4">SUM(C12,C18,C40,C63,C67,C75,C82,C93,C108,)</f>
        <v>1363565</v>
      </c>
      <c r="D109" s="1737">
        <f t="shared" si="4"/>
        <v>350474</v>
      </c>
      <c r="E109" s="1737">
        <f t="shared" si="4"/>
        <v>0</v>
      </c>
      <c r="F109" s="1737">
        <f t="shared" si="4"/>
        <v>109635</v>
      </c>
      <c r="G109" s="1737">
        <f t="shared" si="4"/>
        <v>106109</v>
      </c>
      <c r="H109" s="1737">
        <f t="shared" si="4"/>
        <v>0</v>
      </c>
      <c r="I109" s="1737">
        <f t="shared" si="4"/>
        <v>11329</v>
      </c>
      <c r="J109" s="1737">
        <f t="shared" si="4"/>
        <v>58303</v>
      </c>
      <c r="K109" s="1724">
        <f t="shared" si="4"/>
        <v>12028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15253</v>
      </c>
      <c r="D111" s="481"/>
      <c r="E111" s="561"/>
      <c r="F111" s="481"/>
      <c r="G111" s="481"/>
      <c r="H111" s="561"/>
      <c r="I111" s="468"/>
      <c r="J111" s="468"/>
      <c r="K111" s="468"/>
    </row>
    <row r="112" spans="1:12" ht="12.75" customHeight="1" x14ac:dyDescent="0.2">
      <c r="A112" s="463" t="s">
        <v>878</v>
      </c>
      <c r="B112" s="470">
        <v>2200</v>
      </c>
      <c r="C112" s="551">
        <v>12606</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27859</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376133</v>
      </c>
      <c r="D117" s="481"/>
      <c r="E117" s="466"/>
      <c r="F117" s="481">
        <v>38458</v>
      </c>
      <c r="G117" s="481">
        <v>19229</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376133</v>
      </c>
      <c r="D121" s="1729">
        <f t="shared" si="5"/>
        <v>0</v>
      </c>
      <c r="E121" s="1729">
        <f t="shared" si="5"/>
        <v>0</v>
      </c>
      <c r="F121" s="1729">
        <f t="shared" si="5"/>
        <v>38458</v>
      </c>
      <c r="G121" s="1729">
        <f t="shared" si="5"/>
        <v>19229</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2701</v>
      </c>
      <c r="D124" s="561"/>
      <c r="E124" s="468"/>
      <c r="F124" s="548"/>
      <c r="G124" s="468"/>
      <c r="H124" s="468"/>
      <c r="I124" s="468"/>
      <c r="J124" s="468"/>
      <c r="K124" s="468"/>
    </row>
    <row r="125" spans="1:11" ht="12.75" customHeight="1" x14ac:dyDescent="0.2">
      <c r="A125" s="463" t="s">
        <v>1521</v>
      </c>
      <c r="B125" s="562">
        <v>3105</v>
      </c>
      <c r="C125" s="466">
        <v>18780</v>
      </c>
      <c r="D125" s="561"/>
      <c r="E125" s="468"/>
      <c r="F125" s="466"/>
      <c r="G125" s="468"/>
      <c r="H125" s="468"/>
      <c r="I125" s="468"/>
      <c r="J125" s="468"/>
      <c r="K125" s="468"/>
    </row>
    <row r="126" spans="1:11" ht="12.75" customHeight="1" x14ac:dyDescent="0.2">
      <c r="A126" s="463" t="s">
        <v>922</v>
      </c>
      <c r="B126" s="562">
        <v>3110</v>
      </c>
      <c r="C126" s="551">
        <v>21894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43375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2551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2551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2925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3730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110734</v>
      </c>
      <c r="G151" s="467"/>
      <c r="H151" s="468"/>
      <c r="I151" s="468"/>
      <c r="J151" s="468"/>
      <c r="K151" s="468"/>
    </row>
    <row r="152" spans="1:11" ht="12.75" customHeight="1" x14ac:dyDescent="0.2">
      <c r="A152" s="463" t="s">
        <v>1117</v>
      </c>
      <c r="B152" s="562">
        <v>3510</v>
      </c>
      <c r="C152" s="551"/>
      <c r="D152" s="466"/>
      <c r="E152" s="561"/>
      <c r="F152" s="466">
        <v>19760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130494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79350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70" t="s">
        <v>418</v>
      </c>
      <c r="B172" s="2171"/>
      <c r="C172" s="1744">
        <f t="shared" ref="C172:K172" si="6">SUM(C131,C140,C144,C145:C149,C154,C155:C170,C171)</f>
        <v>131931</v>
      </c>
      <c r="D172" s="1744">
        <f t="shared" si="6"/>
        <v>0</v>
      </c>
      <c r="E172" s="1744">
        <f t="shared" si="6"/>
        <v>0</v>
      </c>
      <c r="F172" s="1744">
        <f t="shared" si="6"/>
        <v>130494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508064</v>
      </c>
      <c r="D173" s="1737">
        <f>SUM(D121,D172)</f>
        <v>0</v>
      </c>
      <c r="E173" s="1737">
        <f>SUM(E121,E172)</f>
        <v>0</v>
      </c>
      <c r="F173" s="1737">
        <f t="shared" ref="F173:K173" si="7">SUM(F121,F172)</f>
        <v>168952</v>
      </c>
      <c r="G173" s="1737">
        <f t="shared" si="7"/>
        <v>19229</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4" t="s">
        <v>1906</v>
      </c>
      <c r="B185" s="217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118084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57122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175206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123659</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9726</v>
      </c>
      <c r="D210" s="466"/>
      <c r="E210" s="468"/>
      <c r="F210" s="466"/>
      <c r="G210" s="466"/>
      <c r="H210" s="468"/>
      <c r="I210" s="468"/>
      <c r="J210" s="468"/>
      <c r="K210" s="468"/>
    </row>
    <row r="211" spans="1:11" ht="12.75" customHeight="1" thickBot="1" x14ac:dyDescent="0.25">
      <c r="A211" s="1730" t="s">
        <v>420</v>
      </c>
      <c r="B211" s="1731"/>
      <c r="C211" s="1729">
        <f>SUM(C203:C210)</f>
        <v>133385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13835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322426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322426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2221914</v>
      </c>
      <c r="D275" s="1737">
        <f t="shared" si="12"/>
        <v>350474</v>
      </c>
      <c r="E275" s="1737">
        <f t="shared" si="12"/>
        <v>0</v>
      </c>
      <c r="F275" s="1737">
        <f t="shared" si="12"/>
        <v>278587</v>
      </c>
      <c r="G275" s="1737">
        <f t="shared" si="12"/>
        <v>125338</v>
      </c>
      <c r="H275" s="1737">
        <f t="shared" si="12"/>
        <v>0</v>
      </c>
      <c r="I275" s="1737">
        <f t="shared" si="12"/>
        <v>11329</v>
      </c>
      <c r="J275" s="1737">
        <f t="shared" si="12"/>
        <v>58303</v>
      </c>
      <c r="K275" s="1724">
        <f t="shared" si="12"/>
        <v>12028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8" activePane="bottomLeft" state="frozen"/>
      <selection activeCell="O15" sqref="O15"/>
      <selection pane="bottomLeft" activeCell="O15" sqref="O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982974</v>
      </c>
      <c r="D5" s="466">
        <v>144482</v>
      </c>
      <c r="E5" s="466">
        <v>28768</v>
      </c>
      <c r="F5" s="466">
        <v>18186</v>
      </c>
      <c r="G5" s="466"/>
      <c r="H5" s="466">
        <v>16480</v>
      </c>
      <c r="I5" s="467"/>
      <c r="J5" s="467"/>
      <c r="K5" s="1693">
        <f>SUM(C5:J5)</f>
        <v>1190890</v>
      </c>
      <c r="L5" s="466">
        <v>1231463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56244</v>
      </c>
      <c r="D7" s="467">
        <v>6789</v>
      </c>
      <c r="E7" s="467"/>
      <c r="F7" s="467"/>
      <c r="G7" s="467"/>
      <c r="H7" s="467"/>
      <c r="I7" s="467"/>
      <c r="J7" s="467"/>
      <c r="K7" s="1693">
        <f t="shared" ref="K7:K32" si="0">SUM(C7:J7)</f>
        <v>63033</v>
      </c>
      <c r="L7" s="466">
        <v>72608</v>
      </c>
    </row>
    <row r="8" spans="1:14" x14ac:dyDescent="0.2">
      <c r="A8" s="1526" t="s">
        <v>166</v>
      </c>
      <c r="B8" s="615">
        <v>1200</v>
      </c>
      <c r="C8" s="466">
        <v>196029</v>
      </c>
      <c r="D8" s="466">
        <v>56081</v>
      </c>
      <c r="E8" s="466">
        <v>32</v>
      </c>
      <c r="F8" s="466">
        <v>996</v>
      </c>
      <c r="G8" s="466">
        <v>654</v>
      </c>
      <c r="H8" s="466"/>
      <c r="I8" s="467"/>
      <c r="J8" s="467"/>
      <c r="K8" s="1693">
        <f t="shared" si="0"/>
        <v>253792</v>
      </c>
      <c r="L8" s="466">
        <v>280419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89691</v>
      </c>
      <c r="D10" s="466">
        <v>30756</v>
      </c>
      <c r="E10" s="466"/>
      <c r="F10" s="466">
        <v>53</v>
      </c>
      <c r="G10" s="466"/>
      <c r="H10" s="466"/>
      <c r="I10" s="467"/>
      <c r="J10" s="467"/>
      <c r="K10" s="1693">
        <f t="shared" si="0"/>
        <v>120500</v>
      </c>
      <c r="L10" s="466">
        <v>122795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25179</v>
      </c>
      <c r="D13" s="466">
        <v>370</v>
      </c>
      <c r="E13" s="466"/>
      <c r="F13" s="466">
        <v>1269</v>
      </c>
      <c r="G13" s="466"/>
      <c r="H13" s="466">
        <v>100</v>
      </c>
      <c r="I13" s="467"/>
      <c r="J13" s="467"/>
      <c r="K13" s="1693">
        <f t="shared" si="0"/>
        <v>26918</v>
      </c>
      <c r="L13" s="466">
        <v>27944</v>
      </c>
    </row>
    <row r="14" spans="1:14" x14ac:dyDescent="0.2">
      <c r="A14" s="1526" t="s">
        <v>1020</v>
      </c>
      <c r="B14" s="615">
        <v>1500</v>
      </c>
      <c r="C14" s="466">
        <v>38535</v>
      </c>
      <c r="D14" s="466">
        <v>410</v>
      </c>
      <c r="E14" s="466">
        <v>9612</v>
      </c>
      <c r="F14" s="466">
        <v>6277</v>
      </c>
      <c r="G14" s="466"/>
      <c r="H14" s="466">
        <v>905</v>
      </c>
      <c r="I14" s="467"/>
      <c r="J14" s="467"/>
      <c r="K14" s="1693">
        <f t="shared" si="0"/>
        <v>55739</v>
      </c>
      <c r="L14" s="466">
        <v>71553</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14153</v>
      </c>
      <c r="D17" s="467">
        <v>207</v>
      </c>
      <c r="E17" s="467"/>
      <c r="F17" s="467">
        <v>335</v>
      </c>
      <c r="G17" s="467"/>
      <c r="H17" s="467"/>
      <c r="I17" s="467"/>
      <c r="J17" s="467"/>
      <c r="K17" s="1693">
        <f t="shared" si="0"/>
        <v>14695</v>
      </c>
      <c r="L17" s="466">
        <v>14825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1402805</v>
      </c>
      <c r="D33" s="1692">
        <f t="shared" ref="D33:L33" si="1">SUM(D5:D32)</f>
        <v>239095</v>
      </c>
      <c r="E33" s="1692">
        <f t="shared" si="1"/>
        <v>38412</v>
      </c>
      <c r="F33" s="1692">
        <f t="shared" si="1"/>
        <v>27116</v>
      </c>
      <c r="G33" s="1692">
        <f t="shared" si="1"/>
        <v>654</v>
      </c>
      <c r="H33" s="1692">
        <f t="shared" si="1"/>
        <v>17485</v>
      </c>
      <c r="I33" s="1692">
        <f t="shared" si="1"/>
        <v>0</v>
      </c>
      <c r="J33" s="1692">
        <f t="shared" si="1"/>
        <v>0</v>
      </c>
      <c r="K33" s="1692">
        <f t="shared" si="1"/>
        <v>1725567</v>
      </c>
      <c r="L33" s="1692">
        <f t="shared" si="1"/>
        <v>1821607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16000</v>
      </c>
      <c r="F36" s="481"/>
      <c r="G36" s="481"/>
      <c r="H36" s="481"/>
      <c r="I36" s="467"/>
      <c r="J36" s="467"/>
      <c r="K36" s="1693">
        <f t="shared" ref="K36:K41" si="2">SUM(C36:J36)</f>
        <v>16000</v>
      </c>
      <c r="L36" s="466">
        <v>16000</v>
      </c>
    </row>
    <row r="37" spans="1:14" x14ac:dyDescent="0.2">
      <c r="A37" s="1526" t="s">
        <v>1151</v>
      </c>
      <c r="B37" s="615">
        <v>2120</v>
      </c>
      <c r="C37" s="466">
        <v>31949</v>
      </c>
      <c r="D37" s="466">
        <v>468</v>
      </c>
      <c r="E37" s="466">
        <v>557</v>
      </c>
      <c r="F37" s="466"/>
      <c r="G37" s="466"/>
      <c r="H37" s="466"/>
      <c r="I37" s="467"/>
      <c r="J37" s="467"/>
      <c r="K37" s="1693">
        <f t="shared" si="2"/>
        <v>32974</v>
      </c>
      <c r="L37" s="466">
        <v>33176</v>
      </c>
    </row>
    <row r="38" spans="1:14" x14ac:dyDescent="0.2">
      <c r="A38" s="1526" t="s">
        <v>207</v>
      </c>
      <c r="B38" s="615">
        <v>2130</v>
      </c>
      <c r="C38" s="466">
        <v>24064</v>
      </c>
      <c r="D38" s="466">
        <v>1134</v>
      </c>
      <c r="E38" s="466">
        <v>403</v>
      </c>
      <c r="F38" s="466">
        <v>640</v>
      </c>
      <c r="G38" s="466"/>
      <c r="H38" s="466">
        <v>60</v>
      </c>
      <c r="I38" s="467"/>
      <c r="J38" s="467"/>
      <c r="K38" s="1693">
        <f t="shared" si="2"/>
        <v>26301</v>
      </c>
      <c r="L38" s="466">
        <v>33771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20118</v>
      </c>
      <c r="D41" s="466">
        <v>243</v>
      </c>
      <c r="E41" s="466"/>
      <c r="F41" s="466"/>
      <c r="G41" s="466"/>
      <c r="H41" s="466"/>
      <c r="I41" s="467"/>
      <c r="J41" s="467"/>
      <c r="K41" s="1693">
        <f t="shared" si="2"/>
        <v>20361</v>
      </c>
      <c r="L41" s="466">
        <v>21925</v>
      </c>
    </row>
    <row r="42" spans="1:14" ht="12.75" customHeight="1" thickBot="1" x14ac:dyDescent="0.25">
      <c r="A42" s="1690" t="s">
        <v>581</v>
      </c>
      <c r="B42" s="1691" t="s">
        <v>740</v>
      </c>
      <c r="C42" s="1692">
        <f>SUM(C36:C41)</f>
        <v>76131</v>
      </c>
      <c r="D42" s="1692">
        <f t="shared" ref="D42:L42" si="3">SUM(D36:D41)</f>
        <v>1845</v>
      </c>
      <c r="E42" s="1692">
        <f t="shared" si="3"/>
        <v>16960</v>
      </c>
      <c r="F42" s="1692">
        <f t="shared" si="3"/>
        <v>640</v>
      </c>
      <c r="G42" s="1692">
        <f t="shared" si="3"/>
        <v>0</v>
      </c>
      <c r="H42" s="1692">
        <f t="shared" si="3"/>
        <v>60</v>
      </c>
      <c r="I42" s="1692">
        <f t="shared" si="3"/>
        <v>0</v>
      </c>
      <c r="J42" s="1692">
        <f t="shared" si="3"/>
        <v>0</v>
      </c>
      <c r="K42" s="1692">
        <f t="shared" si="3"/>
        <v>95636</v>
      </c>
      <c r="L42" s="1692">
        <f t="shared" si="3"/>
        <v>104872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1807</v>
      </c>
      <c r="D44" s="481">
        <v>25</v>
      </c>
      <c r="E44" s="481">
        <v>1585</v>
      </c>
      <c r="F44" s="481"/>
      <c r="G44" s="481"/>
      <c r="H44" s="481"/>
      <c r="I44" s="467"/>
      <c r="J44" s="467"/>
      <c r="K44" s="1694">
        <f>SUM(C44:J44)</f>
        <v>3417</v>
      </c>
      <c r="L44" s="481">
        <v>325</v>
      </c>
    </row>
    <row r="45" spans="1:14" x14ac:dyDescent="0.2">
      <c r="A45" s="1526" t="s">
        <v>869</v>
      </c>
      <c r="B45" s="615">
        <v>2220</v>
      </c>
      <c r="C45" s="466">
        <v>12636</v>
      </c>
      <c r="D45" s="466">
        <v>5521</v>
      </c>
      <c r="E45" s="466"/>
      <c r="F45" s="466">
        <v>279</v>
      </c>
      <c r="G45" s="466"/>
      <c r="H45" s="466"/>
      <c r="I45" s="467"/>
      <c r="J45" s="467"/>
      <c r="K45" s="1694">
        <f>SUM(C45:J45)</f>
        <v>18436</v>
      </c>
      <c r="L45" s="466">
        <v>16518</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14443</v>
      </c>
      <c r="D47" s="1692">
        <f t="shared" ref="D47:K47" si="4">SUM(D44:D46)</f>
        <v>5546</v>
      </c>
      <c r="E47" s="1692">
        <f t="shared" si="4"/>
        <v>1585</v>
      </c>
      <c r="F47" s="1692">
        <f t="shared" si="4"/>
        <v>279</v>
      </c>
      <c r="G47" s="1692">
        <f t="shared" si="4"/>
        <v>0</v>
      </c>
      <c r="H47" s="1692">
        <f t="shared" si="4"/>
        <v>0</v>
      </c>
      <c r="I47" s="1692">
        <f t="shared" si="4"/>
        <v>0</v>
      </c>
      <c r="J47" s="1692">
        <f t="shared" si="4"/>
        <v>0</v>
      </c>
      <c r="K47" s="1692">
        <f t="shared" si="4"/>
        <v>21853</v>
      </c>
      <c r="L47" s="1692">
        <f>SUM(L44:L46)</f>
        <v>16843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6235</v>
      </c>
      <c r="D49" s="481">
        <v>268</v>
      </c>
      <c r="E49" s="481">
        <v>171550</v>
      </c>
      <c r="F49" s="481">
        <v>3176</v>
      </c>
      <c r="G49" s="481"/>
      <c r="H49" s="481">
        <v>9638</v>
      </c>
      <c r="I49" s="467"/>
      <c r="J49" s="467"/>
      <c r="K49" s="1694">
        <f>SUM(C49:J49)</f>
        <v>190867</v>
      </c>
      <c r="L49" s="481">
        <v>156245</v>
      </c>
    </row>
    <row r="50" spans="1:14" x14ac:dyDescent="0.2">
      <c r="A50" s="1526" t="s">
        <v>872</v>
      </c>
      <c r="B50" s="615">
        <v>2320</v>
      </c>
      <c r="C50" s="466">
        <v>89000</v>
      </c>
      <c r="D50" s="466">
        <v>5043</v>
      </c>
      <c r="E50" s="466">
        <v>18564</v>
      </c>
      <c r="F50" s="466">
        <v>31806</v>
      </c>
      <c r="G50" s="466">
        <v>11140</v>
      </c>
      <c r="H50" s="466"/>
      <c r="I50" s="467"/>
      <c r="J50" s="467"/>
      <c r="K50" s="1694">
        <f>SUM(C50:J50)</f>
        <v>155553</v>
      </c>
      <c r="L50" s="466">
        <v>154716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95235</v>
      </c>
      <c r="D53" s="1692">
        <f t="shared" ref="D53:L53" si="5">SUM(D49:D52)</f>
        <v>5311</v>
      </c>
      <c r="E53" s="1692">
        <f t="shared" si="5"/>
        <v>190114</v>
      </c>
      <c r="F53" s="1692">
        <f t="shared" si="5"/>
        <v>34982</v>
      </c>
      <c r="G53" s="1692">
        <f t="shared" si="5"/>
        <v>11140</v>
      </c>
      <c r="H53" s="1692">
        <f t="shared" si="5"/>
        <v>9638</v>
      </c>
      <c r="I53" s="1692">
        <f t="shared" si="5"/>
        <v>0</v>
      </c>
      <c r="J53" s="1692">
        <f t="shared" si="5"/>
        <v>0</v>
      </c>
      <c r="K53" s="1692">
        <f t="shared" si="5"/>
        <v>346420</v>
      </c>
      <c r="L53" s="1692">
        <f t="shared" si="5"/>
        <v>310961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121828</v>
      </c>
      <c r="D55" s="481">
        <v>41183</v>
      </c>
      <c r="E55" s="481">
        <v>2773</v>
      </c>
      <c r="F55" s="481">
        <v>4583</v>
      </c>
      <c r="G55" s="481"/>
      <c r="H55" s="481">
        <v>2778</v>
      </c>
      <c r="I55" s="467"/>
      <c r="J55" s="467"/>
      <c r="K55" s="1694">
        <f>SUM(C55:J55)</f>
        <v>173145</v>
      </c>
      <c r="L55" s="481">
        <v>152326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121828</v>
      </c>
      <c r="D57" s="1696">
        <f t="shared" ref="D57:K57" si="6">SUM(D55:D56)</f>
        <v>41183</v>
      </c>
      <c r="E57" s="1696">
        <f t="shared" si="6"/>
        <v>2773</v>
      </c>
      <c r="F57" s="1696">
        <f t="shared" si="6"/>
        <v>4583</v>
      </c>
      <c r="G57" s="1696">
        <f t="shared" si="6"/>
        <v>0</v>
      </c>
      <c r="H57" s="1696">
        <f t="shared" si="6"/>
        <v>2778</v>
      </c>
      <c r="I57" s="1696">
        <f t="shared" si="6"/>
        <v>0</v>
      </c>
      <c r="J57" s="1696">
        <f t="shared" si="6"/>
        <v>0</v>
      </c>
      <c r="K57" s="1696">
        <f t="shared" si="6"/>
        <v>173145</v>
      </c>
      <c r="L57" s="1692">
        <f>SUM(L55:L56)</f>
        <v>152326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72069</v>
      </c>
      <c r="D60" s="466">
        <v>10606</v>
      </c>
      <c r="E60" s="466">
        <v>2259</v>
      </c>
      <c r="F60" s="466">
        <v>2111</v>
      </c>
      <c r="G60" s="466">
        <v>357</v>
      </c>
      <c r="H60" s="466"/>
      <c r="I60" s="467"/>
      <c r="J60" s="467"/>
      <c r="K60" s="1694">
        <f t="shared" si="7"/>
        <v>87402</v>
      </c>
      <c r="L60" s="466">
        <v>84811</v>
      </c>
      <c r="M60" s="610"/>
      <c r="N60" s="610"/>
    </row>
    <row r="61" spans="1:14" s="343" customFormat="1" x14ac:dyDescent="0.2">
      <c r="A61" s="1526" t="s">
        <v>206</v>
      </c>
      <c r="B61" s="615">
        <v>2540</v>
      </c>
      <c r="C61" s="466">
        <v>5472</v>
      </c>
      <c r="D61" s="466">
        <v>268</v>
      </c>
      <c r="E61" s="466">
        <v>7204</v>
      </c>
      <c r="F61" s="466"/>
      <c r="G61" s="466"/>
      <c r="H61" s="466"/>
      <c r="I61" s="467"/>
      <c r="J61" s="467"/>
      <c r="K61" s="1694">
        <f t="shared" si="7"/>
        <v>12944</v>
      </c>
      <c r="L61" s="466">
        <v>12500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64212</v>
      </c>
      <c r="D63" s="466">
        <v>19192</v>
      </c>
      <c r="E63" s="466">
        <v>1127</v>
      </c>
      <c r="F63" s="466">
        <v>91675</v>
      </c>
      <c r="G63" s="466"/>
      <c r="H63" s="466"/>
      <c r="I63" s="467"/>
      <c r="J63" s="467"/>
      <c r="K63" s="1694">
        <f t="shared" si="7"/>
        <v>176206</v>
      </c>
      <c r="L63" s="466">
        <v>191498</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141753</v>
      </c>
      <c r="D65" s="1692">
        <f t="shared" ref="D65:L65" si="8">SUM(D59:D64)</f>
        <v>30066</v>
      </c>
      <c r="E65" s="1692">
        <f t="shared" si="8"/>
        <v>10590</v>
      </c>
      <c r="F65" s="1692">
        <f t="shared" si="8"/>
        <v>93786</v>
      </c>
      <c r="G65" s="1692">
        <f t="shared" si="8"/>
        <v>357</v>
      </c>
      <c r="H65" s="1692">
        <f t="shared" si="8"/>
        <v>0</v>
      </c>
      <c r="I65" s="1692">
        <f t="shared" si="8"/>
        <v>0</v>
      </c>
      <c r="J65" s="1692">
        <f t="shared" si="8"/>
        <v>0</v>
      </c>
      <c r="K65" s="1692">
        <f t="shared" si="8"/>
        <v>276552</v>
      </c>
      <c r="L65" s="1692">
        <f t="shared" si="8"/>
        <v>288809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449390</v>
      </c>
      <c r="D74" s="1699">
        <f t="shared" ref="D74:K74" si="10">SUM(D42,D47,D53,D57,D65,D72,D73)</f>
        <v>83951</v>
      </c>
      <c r="E74" s="1699">
        <f t="shared" si="10"/>
        <v>222022</v>
      </c>
      <c r="F74" s="1699">
        <f t="shared" si="10"/>
        <v>134270</v>
      </c>
      <c r="G74" s="1699">
        <f t="shared" si="10"/>
        <v>11497</v>
      </c>
      <c r="H74" s="1699">
        <f t="shared" si="10"/>
        <v>12476</v>
      </c>
      <c r="I74" s="1699">
        <f t="shared" si="10"/>
        <v>0</v>
      </c>
      <c r="J74" s="1699">
        <f t="shared" si="10"/>
        <v>0</v>
      </c>
      <c r="K74" s="1699">
        <f t="shared" si="10"/>
        <v>913606</v>
      </c>
      <c r="L74" s="1699">
        <f>SUM(L42,L47,L53,L57,L65,L72,L73)</f>
        <v>873811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106258</v>
      </c>
      <c r="F79" s="617"/>
      <c r="G79" s="617"/>
      <c r="H79" s="466"/>
      <c r="I79" s="477"/>
      <c r="J79" s="477"/>
      <c r="K79" s="1693">
        <f t="shared" si="11"/>
        <v>106258</v>
      </c>
      <c r="L79" s="466">
        <v>102020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22944</v>
      </c>
      <c r="F81" s="617"/>
      <c r="G81" s="617"/>
      <c r="H81" s="466"/>
      <c r="I81" s="477"/>
      <c r="J81" s="477"/>
      <c r="K81" s="1693">
        <f t="shared" si="11"/>
        <v>22944</v>
      </c>
      <c r="L81" s="466">
        <v>23000</v>
      </c>
    </row>
    <row r="82" spans="1:12" x14ac:dyDescent="0.2">
      <c r="A82" s="1526" t="s">
        <v>88</v>
      </c>
      <c r="B82" s="615">
        <v>4170</v>
      </c>
      <c r="C82" s="617"/>
      <c r="D82" s="617"/>
      <c r="E82" s="466">
        <v>1604</v>
      </c>
      <c r="F82" s="617"/>
      <c r="G82" s="617"/>
      <c r="H82" s="466"/>
      <c r="I82" s="477"/>
      <c r="J82" s="477"/>
      <c r="K82" s="1693">
        <f t="shared" si="11"/>
        <v>1604</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130806</v>
      </c>
      <c r="F84" s="617"/>
      <c r="G84" s="617"/>
      <c r="H84" s="1692">
        <f>SUM(H78:H83)</f>
        <v>0</v>
      </c>
      <c r="I84" s="477"/>
      <c r="J84" s="477"/>
      <c r="K84" s="1692">
        <f>SUM(K78:K83)</f>
        <v>130806</v>
      </c>
      <c r="L84" s="1692">
        <f>SUM(L78:L83)</f>
        <v>125020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130806</v>
      </c>
      <c r="F102" s="617"/>
      <c r="G102" s="617"/>
      <c r="H102" s="1699">
        <f>SUM(H84,H92,H100,H101)</f>
        <v>0</v>
      </c>
      <c r="I102" s="477"/>
      <c r="J102" s="477"/>
      <c r="K102" s="1699">
        <f>SUM(K84,K92,K100,K101)</f>
        <v>130806</v>
      </c>
      <c r="L102" s="1699">
        <f>SUM(L84,L92,L100,L101)</f>
        <v>125020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1852195</v>
      </c>
      <c r="D114" s="1692">
        <f t="shared" ref="D114:K114" si="13">SUM(D33,D74,D75,D102,D112,D113)</f>
        <v>323046</v>
      </c>
      <c r="E114" s="1692">
        <f t="shared" si="13"/>
        <v>391240</v>
      </c>
      <c r="F114" s="1692">
        <f t="shared" si="13"/>
        <v>161386</v>
      </c>
      <c r="G114" s="1692">
        <f t="shared" si="13"/>
        <v>12151</v>
      </c>
      <c r="H114" s="1692">
        <f>SUM(H33,H74,H75,H102,H112,H113)</f>
        <v>29961</v>
      </c>
      <c r="I114" s="1692">
        <f t="shared" si="13"/>
        <v>0</v>
      </c>
      <c r="J114" s="1692">
        <f t="shared" si="13"/>
        <v>0</v>
      </c>
      <c r="K114" s="1692">
        <f t="shared" si="13"/>
        <v>2769979</v>
      </c>
      <c r="L114" s="1692">
        <f>SUM(L33,L74,L75,L102,L112,L113)</f>
        <v>2820438</v>
      </c>
    </row>
    <row r="115" spans="1:14" ht="13.5" thickTop="1" x14ac:dyDescent="0.2">
      <c r="A115" s="2182" t="s">
        <v>1053</v>
      </c>
      <c r="B115" s="2183"/>
      <c r="C115" s="619"/>
      <c r="D115" s="619"/>
      <c r="E115" s="619"/>
      <c r="F115" s="619"/>
      <c r="G115" s="619"/>
      <c r="H115" s="619"/>
      <c r="I115" s="619"/>
      <c r="J115" s="619"/>
      <c r="K115" s="1706">
        <f>'Revenues 9-14'!C275-'Expenditures 15-22'!K114</f>
        <v>-548065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18000</v>
      </c>
      <c r="D122" s="466">
        <v>2303</v>
      </c>
      <c r="E122" s="466">
        <v>6899</v>
      </c>
      <c r="F122" s="466"/>
      <c r="G122" s="466"/>
      <c r="H122" s="466"/>
      <c r="I122" s="467"/>
      <c r="J122" s="467"/>
      <c r="K122" s="1692">
        <f>SUM(C122:J122)</f>
        <v>27202</v>
      </c>
      <c r="L122" s="466">
        <v>20515</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122461</v>
      </c>
      <c r="D124" s="466">
        <v>26663</v>
      </c>
      <c r="E124" s="466">
        <v>77297</v>
      </c>
      <c r="F124" s="466">
        <v>111136</v>
      </c>
      <c r="G124" s="466">
        <v>23194</v>
      </c>
      <c r="H124" s="466"/>
      <c r="I124" s="467"/>
      <c r="J124" s="467"/>
      <c r="K124" s="1692">
        <f>SUM(C124:J124)</f>
        <v>360751</v>
      </c>
      <c r="L124" s="466">
        <v>435184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140461</v>
      </c>
      <c r="D127" s="1692">
        <f t="shared" ref="D127:L127" si="14">SUM(D122:D126)</f>
        <v>28966</v>
      </c>
      <c r="E127" s="1692">
        <f t="shared" si="14"/>
        <v>84196</v>
      </c>
      <c r="F127" s="1692">
        <f t="shared" si="14"/>
        <v>111136</v>
      </c>
      <c r="G127" s="1692">
        <f t="shared" si="14"/>
        <v>23194</v>
      </c>
      <c r="H127" s="1692">
        <f t="shared" si="14"/>
        <v>0</v>
      </c>
      <c r="I127" s="1692">
        <f t="shared" si="14"/>
        <v>0</v>
      </c>
      <c r="J127" s="1692">
        <f t="shared" si="14"/>
        <v>0</v>
      </c>
      <c r="K127" s="1692">
        <f t="shared" si="14"/>
        <v>387953</v>
      </c>
      <c r="L127" s="1692">
        <f t="shared" si="14"/>
        <v>455699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140461</v>
      </c>
      <c r="D129" s="1699">
        <f t="shared" ref="D129:L129" si="15">SUM(D120,D127,D128)</f>
        <v>28966</v>
      </c>
      <c r="E129" s="1699">
        <f t="shared" si="15"/>
        <v>84196</v>
      </c>
      <c r="F129" s="1699">
        <f t="shared" si="15"/>
        <v>111136</v>
      </c>
      <c r="G129" s="1699">
        <f t="shared" si="15"/>
        <v>23194</v>
      </c>
      <c r="H129" s="1699">
        <f t="shared" si="15"/>
        <v>0</v>
      </c>
      <c r="I129" s="1699">
        <f t="shared" si="15"/>
        <v>0</v>
      </c>
      <c r="J129" s="1699">
        <f t="shared" si="15"/>
        <v>0</v>
      </c>
      <c r="K129" s="1699">
        <f t="shared" si="15"/>
        <v>387953</v>
      </c>
      <c r="L129" s="1699">
        <f t="shared" si="15"/>
        <v>455699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9" t="s">
        <v>641</v>
      </c>
      <c r="B151" s="2179"/>
      <c r="C151" s="1692">
        <f>SUM(C129,C130,C139,C149,C150)</f>
        <v>140461</v>
      </c>
      <c r="D151" s="1692">
        <f t="shared" ref="D151:K151" si="16">SUM(D129,D130,D139,D149,D150)</f>
        <v>28966</v>
      </c>
      <c r="E151" s="1692">
        <f t="shared" si="16"/>
        <v>84196</v>
      </c>
      <c r="F151" s="1692">
        <f t="shared" si="16"/>
        <v>111136</v>
      </c>
      <c r="G151" s="1692">
        <f t="shared" si="16"/>
        <v>23194</v>
      </c>
      <c r="H151" s="1692">
        <f t="shared" si="16"/>
        <v>0</v>
      </c>
      <c r="I151" s="1692">
        <f t="shared" si="16"/>
        <v>0</v>
      </c>
      <c r="J151" s="1692">
        <f t="shared" si="16"/>
        <v>0</v>
      </c>
      <c r="K151" s="1692">
        <f t="shared" si="16"/>
        <v>387953</v>
      </c>
      <c r="L151" s="1692">
        <f>SUM(L129,L130,L139,L149,L150)</f>
        <v>455699</v>
      </c>
    </row>
    <row r="152" spans="1:14" ht="12.75" customHeight="1" thickTop="1" x14ac:dyDescent="0.2">
      <c r="A152" s="2202" t="s">
        <v>1240</v>
      </c>
      <c r="B152" s="2203"/>
      <c r="C152" s="619"/>
      <c r="D152" s="619"/>
      <c r="E152" s="619"/>
      <c r="F152" s="619"/>
      <c r="G152" s="619"/>
      <c r="H152" s="619"/>
      <c r="I152" s="619"/>
      <c r="J152" s="617"/>
      <c r="K152" s="1706">
        <f>'Revenues 9-14'!D275-'Expenditures 15-22'!K151</f>
        <v>-37479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4690</v>
      </c>
      <c r="I169" s="617"/>
      <c r="J169" s="617"/>
      <c r="K169" s="1693">
        <f>SUM(C169:H169)</f>
        <v>4690</v>
      </c>
      <c r="L169" s="657">
        <v>7610</v>
      </c>
    </row>
    <row r="170" spans="1:14" ht="33.75" customHeight="1" x14ac:dyDescent="0.2">
      <c r="A170" s="670" t="s">
        <v>1769</v>
      </c>
      <c r="B170" s="672" t="s">
        <v>31</v>
      </c>
      <c r="C170" s="617"/>
      <c r="D170" s="617"/>
      <c r="E170" s="617"/>
      <c r="F170" s="617"/>
      <c r="G170" s="617"/>
      <c r="H170" s="569">
        <v>54720</v>
      </c>
      <c r="I170" s="617"/>
      <c r="J170" s="617"/>
      <c r="K170" s="1693">
        <f>SUM(C170:J170)</f>
        <v>54720</v>
      </c>
      <c r="L170" s="569">
        <v>51800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59410</v>
      </c>
      <c r="I172" s="639"/>
      <c r="J172" s="617"/>
      <c r="K172" s="1699">
        <f>SUM(K168,K169,K170,K171)</f>
        <v>59410</v>
      </c>
      <c r="L172" s="1699">
        <f>SUM(L168,L169,L170,L171)</f>
        <v>59410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59410</v>
      </c>
      <c r="I174" s="639"/>
      <c r="J174" s="617"/>
      <c r="K174" s="1699">
        <f>SUM(K160,K172,K173)</f>
        <v>59410</v>
      </c>
      <c r="L174" s="1699">
        <f>SUM(L160,L172,L173)</f>
        <v>59410</v>
      </c>
    </row>
    <row r="175" spans="1:14" ht="13.5" thickTop="1" x14ac:dyDescent="0.2">
      <c r="A175" s="2182" t="s">
        <v>1053</v>
      </c>
      <c r="B175" s="2183"/>
      <c r="C175" s="617"/>
      <c r="D175" s="617"/>
      <c r="E175" s="617"/>
      <c r="F175" s="617"/>
      <c r="G175" s="617"/>
      <c r="H175" s="619"/>
      <c r="I175" s="617"/>
      <c r="J175" s="617"/>
      <c r="K175" s="1706">
        <f>'Revenues 9-14'!E275-'Expenditures 15-22'!K174</f>
        <v>-59410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280663</v>
      </c>
      <c r="F182" s="466"/>
      <c r="G182" s="466"/>
      <c r="H182" s="466"/>
      <c r="I182" s="467"/>
      <c r="J182" s="467"/>
      <c r="K182" s="1693">
        <f>SUM(C182:J182)</f>
        <v>280663</v>
      </c>
      <c r="L182" s="466">
        <v>353000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280663</v>
      </c>
      <c r="F184" s="1699">
        <f t="shared" si="17"/>
        <v>0</v>
      </c>
      <c r="G184" s="1699">
        <f t="shared" si="17"/>
        <v>0</v>
      </c>
      <c r="H184" s="1699">
        <f t="shared" si="17"/>
        <v>0</v>
      </c>
      <c r="I184" s="1699">
        <f t="shared" si="17"/>
        <v>0</v>
      </c>
      <c r="J184" s="1699">
        <f t="shared" si="17"/>
        <v>0</v>
      </c>
      <c r="K184" s="1699">
        <f>SUM(K180,K182,K183)</f>
        <v>280663</v>
      </c>
      <c r="L184" s="1699">
        <f>SUM(L180, L182:L183)</f>
        <v>353000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280663</v>
      </c>
      <c r="F210" s="1692">
        <f>SUM(F184,F185)</f>
        <v>0</v>
      </c>
      <c r="G210" s="1692">
        <f>SUM(G184,G185)</f>
        <v>0</v>
      </c>
      <c r="H210" s="1692">
        <f>SUM(H184,H185,H196,H208,H209)</f>
        <v>0</v>
      </c>
      <c r="I210" s="1692">
        <f>SUM(I184,I185)</f>
        <v>0</v>
      </c>
      <c r="J210" s="1692">
        <f>SUM(J184,J185)</f>
        <v>0</v>
      </c>
      <c r="K210" s="1693">
        <f>SUM(K184,K185,K196,K208,K209)</f>
        <v>280663</v>
      </c>
      <c r="L210" s="1692">
        <f>SUM(L184,L185,L196,L208,L209)</f>
        <v>353000</v>
      </c>
    </row>
    <row r="211" spans="1:14" ht="13.5" thickTop="1" x14ac:dyDescent="0.2">
      <c r="A211" s="2182" t="s">
        <v>1053</v>
      </c>
      <c r="B211" s="2183"/>
      <c r="C211" s="619"/>
      <c r="D211" s="619"/>
      <c r="E211" s="619"/>
      <c r="F211" s="619"/>
      <c r="G211" s="619"/>
      <c r="H211" s="619"/>
      <c r="I211" s="617"/>
      <c r="J211" s="617"/>
      <c r="K211" s="1706">
        <f>'Revenues 9-14'!F275-'Expenditures 15-22'!K210</f>
        <v>-2076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15396</v>
      </c>
      <c r="E215" s="617"/>
      <c r="F215" s="617"/>
      <c r="G215" s="617"/>
      <c r="H215" s="617"/>
      <c r="I215" s="617"/>
      <c r="J215" s="617"/>
      <c r="K215" s="1693">
        <f>D215</f>
        <v>15396</v>
      </c>
      <c r="L215" s="466">
        <v>20484</v>
      </c>
    </row>
    <row r="216" spans="1:14" x14ac:dyDescent="0.2">
      <c r="A216" s="1526" t="s">
        <v>165</v>
      </c>
      <c r="B216" s="615" t="s">
        <v>1024</v>
      </c>
      <c r="C216" s="617"/>
      <c r="D216" s="467">
        <v>2837</v>
      </c>
      <c r="E216" s="617"/>
      <c r="F216" s="617"/>
      <c r="G216" s="617"/>
      <c r="H216" s="617"/>
      <c r="I216" s="617"/>
      <c r="J216" s="617"/>
      <c r="K216" s="1693">
        <f t="shared" ref="K216:K228" si="19">D216</f>
        <v>2837</v>
      </c>
      <c r="L216" s="466">
        <v>4051</v>
      </c>
    </row>
    <row r="217" spans="1:14" x14ac:dyDescent="0.2">
      <c r="A217" s="1526" t="s">
        <v>166</v>
      </c>
      <c r="B217" s="615">
        <v>1200</v>
      </c>
      <c r="C217" s="617"/>
      <c r="D217" s="466">
        <v>18473</v>
      </c>
      <c r="E217" s="617"/>
      <c r="F217" s="617"/>
      <c r="G217" s="617"/>
      <c r="H217" s="617"/>
      <c r="I217" s="617"/>
      <c r="J217" s="617"/>
      <c r="K217" s="1693">
        <f t="shared" si="19"/>
        <v>18473</v>
      </c>
      <c r="L217" s="466">
        <v>24144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7212</v>
      </c>
      <c r="E219" s="617"/>
      <c r="F219" s="617"/>
      <c r="G219" s="617"/>
      <c r="H219" s="617"/>
      <c r="I219" s="617"/>
      <c r="J219" s="617"/>
      <c r="K219" s="1693">
        <f t="shared" si="19"/>
        <v>7212</v>
      </c>
      <c r="L219" s="466">
        <v>10389</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365</v>
      </c>
      <c r="E222" s="617"/>
      <c r="F222" s="617"/>
      <c r="G222" s="617"/>
      <c r="H222" s="617"/>
      <c r="I222" s="617"/>
      <c r="J222" s="617"/>
      <c r="K222" s="1693">
        <f t="shared" si="19"/>
        <v>365</v>
      </c>
      <c r="L222" s="466">
        <v>400</v>
      </c>
    </row>
    <row r="223" spans="1:14" x14ac:dyDescent="0.2">
      <c r="A223" s="1526" t="s">
        <v>1020</v>
      </c>
      <c r="B223" s="615">
        <v>1500</v>
      </c>
      <c r="C223" s="617"/>
      <c r="D223" s="466">
        <v>1940</v>
      </c>
      <c r="E223" s="617"/>
      <c r="F223" s="617"/>
      <c r="G223" s="617"/>
      <c r="H223" s="617"/>
      <c r="I223" s="617"/>
      <c r="J223" s="617"/>
      <c r="K223" s="1693">
        <f t="shared" si="19"/>
        <v>1940</v>
      </c>
      <c r="L223" s="466">
        <v>3248</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205</v>
      </c>
      <c r="E226" s="617"/>
      <c r="F226" s="617"/>
      <c r="G226" s="617"/>
      <c r="H226" s="617"/>
      <c r="I226" s="617"/>
      <c r="J226" s="617"/>
      <c r="K226" s="1693">
        <f t="shared" si="19"/>
        <v>205</v>
      </c>
      <c r="L226" s="466">
        <v>275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46428</v>
      </c>
      <c r="E229" s="617"/>
      <c r="F229" s="617"/>
      <c r="G229" s="617"/>
      <c r="H229" s="617"/>
      <c r="I229" s="617"/>
      <c r="J229" s="617"/>
      <c r="K229" s="1692">
        <f>SUM(K215:K228)</f>
        <v>46428</v>
      </c>
      <c r="L229" s="1692">
        <f>SUM(L215:L228)</f>
        <v>62991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463</v>
      </c>
      <c r="E233" s="617"/>
      <c r="F233" s="617"/>
      <c r="G233" s="617"/>
      <c r="H233" s="617"/>
      <c r="I233" s="617"/>
      <c r="J233" s="617"/>
      <c r="K233" s="1693">
        <f t="shared" si="20"/>
        <v>463</v>
      </c>
      <c r="L233" s="466">
        <v>700</v>
      </c>
    </row>
    <row r="234" spans="1:12" x14ac:dyDescent="0.2">
      <c r="A234" s="1526" t="s">
        <v>207</v>
      </c>
      <c r="B234" s="615">
        <v>2130</v>
      </c>
      <c r="C234" s="617"/>
      <c r="D234" s="466">
        <v>4158</v>
      </c>
      <c r="E234" s="617"/>
      <c r="F234" s="617"/>
      <c r="G234" s="617"/>
      <c r="H234" s="617"/>
      <c r="I234" s="617"/>
      <c r="J234" s="617"/>
      <c r="K234" s="1693">
        <f t="shared" si="20"/>
        <v>4158</v>
      </c>
      <c r="L234" s="466">
        <v>5323</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906</v>
      </c>
      <c r="E237" s="617"/>
      <c r="F237" s="617"/>
      <c r="G237" s="617"/>
      <c r="H237" s="617"/>
      <c r="I237" s="617"/>
      <c r="J237" s="617"/>
      <c r="K237" s="1693">
        <f t="shared" si="20"/>
        <v>906</v>
      </c>
      <c r="L237" s="466">
        <v>920</v>
      </c>
    </row>
    <row r="238" spans="1:12" ht="12.75" customHeight="1" thickBot="1" x14ac:dyDescent="0.25">
      <c r="A238" s="1690" t="s">
        <v>581</v>
      </c>
      <c r="B238" s="1697" t="s">
        <v>740</v>
      </c>
      <c r="C238" s="617"/>
      <c r="D238" s="1692">
        <f>SUM(D232:D237)</f>
        <v>5527</v>
      </c>
      <c r="E238" s="617"/>
      <c r="F238" s="617"/>
      <c r="G238" s="617"/>
      <c r="H238" s="617"/>
      <c r="I238" s="617"/>
      <c r="J238" s="617"/>
      <c r="K238" s="1692">
        <f>SUM(K232:K237)</f>
        <v>5527</v>
      </c>
      <c r="L238" s="1692">
        <f>SUM(L232:L237)</f>
        <v>6943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54</v>
      </c>
      <c r="E240" s="617"/>
      <c r="F240" s="617"/>
      <c r="G240" s="617"/>
      <c r="H240" s="617"/>
      <c r="I240" s="617"/>
      <c r="J240" s="617"/>
      <c r="K240" s="1694">
        <f>D240</f>
        <v>54</v>
      </c>
      <c r="L240" s="481"/>
    </row>
    <row r="241" spans="1:12" x14ac:dyDescent="0.2">
      <c r="A241" s="1526" t="s">
        <v>869</v>
      </c>
      <c r="B241" s="615">
        <v>2220</v>
      </c>
      <c r="C241" s="617"/>
      <c r="D241" s="466">
        <v>2184</v>
      </c>
      <c r="E241" s="617"/>
      <c r="F241" s="617"/>
      <c r="G241" s="617"/>
      <c r="H241" s="617"/>
      <c r="I241" s="617"/>
      <c r="J241" s="617"/>
      <c r="K241" s="1694">
        <f>D241</f>
        <v>2184</v>
      </c>
      <c r="L241" s="466">
        <v>2305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2238</v>
      </c>
      <c r="E243" s="617"/>
      <c r="F243" s="617"/>
      <c r="G243" s="617"/>
      <c r="H243" s="617"/>
      <c r="I243" s="617"/>
      <c r="J243" s="617"/>
      <c r="K243" s="1692">
        <f>SUM(K240:K242)</f>
        <v>2238</v>
      </c>
      <c r="L243" s="1692">
        <f>SUM(L240:L242)</f>
        <v>2305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1026</v>
      </c>
      <c r="E245" s="617"/>
      <c r="F245" s="617"/>
      <c r="G245" s="617"/>
      <c r="H245" s="617"/>
      <c r="I245" s="617"/>
      <c r="J245" s="617"/>
      <c r="K245" s="1694">
        <f>D245</f>
        <v>1026</v>
      </c>
      <c r="L245" s="481">
        <v>1375</v>
      </c>
    </row>
    <row r="246" spans="1:12" x14ac:dyDescent="0.2">
      <c r="A246" s="1526" t="s">
        <v>872</v>
      </c>
      <c r="B246" s="615">
        <v>2320</v>
      </c>
      <c r="C246" s="617"/>
      <c r="D246" s="466">
        <v>1211</v>
      </c>
      <c r="E246" s="617"/>
      <c r="F246" s="617"/>
      <c r="G246" s="617"/>
      <c r="H246" s="617"/>
      <c r="I246" s="617"/>
      <c r="J246" s="617"/>
      <c r="K246" s="1694">
        <f t="shared" ref="K246:K256" si="21">D246</f>
        <v>1211</v>
      </c>
      <c r="L246" s="466">
        <v>1250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427</v>
      </c>
      <c r="E252" s="617"/>
      <c r="F252" s="617"/>
      <c r="G252" s="617"/>
      <c r="H252" s="617"/>
      <c r="I252" s="617"/>
      <c r="J252" s="617"/>
      <c r="K252" s="1694">
        <f t="shared" si="21"/>
        <v>427</v>
      </c>
      <c r="L252" s="466">
        <v>635</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2664</v>
      </c>
      <c r="E257" s="617"/>
      <c r="F257" s="617"/>
      <c r="G257" s="617"/>
      <c r="H257" s="617"/>
      <c r="I257" s="617"/>
      <c r="J257" s="617"/>
      <c r="K257" s="1692">
        <f>SUM(K245:K256)</f>
        <v>2664</v>
      </c>
      <c r="L257" s="1692">
        <f>SUM(L245:L256)</f>
        <v>3260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9687</v>
      </c>
      <c r="E259" s="617"/>
      <c r="F259" s="617"/>
      <c r="G259" s="617"/>
      <c r="H259" s="617"/>
      <c r="I259" s="617"/>
      <c r="J259" s="617"/>
      <c r="K259" s="1694">
        <f>D259</f>
        <v>9687</v>
      </c>
      <c r="L259" s="481">
        <v>11000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9687</v>
      </c>
      <c r="E261" s="617"/>
      <c r="F261" s="617"/>
      <c r="G261" s="617"/>
      <c r="H261" s="617"/>
      <c r="I261" s="617"/>
      <c r="J261" s="617"/>
      <c r="K261" s="1692">
        <f>SUM(K259:K260)</f>
        <v>9687</v>
      </c>
      <c r="L261" s="1692">
        <f>SUM(L259:L260)</f>
        <v>11000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261</v>
      </c>
      <c r="E263" s="617"/>
      <c r="F263" s="617"/>
      <c r="G263" s="617"/>
      <c r="H263" s="617"/>
      <c r="I263" s="617"/>
      <c r="J263" s="617"/>
      <c r="K263" s="1694">
        <f>D263</f>
        <v>261</v>
      </c>
      <c r="L263" s="481">
        <v>550</v>
      </c>
    </row>
    <row r="264" spans="1:14" x14ac:dyDescent="0.2">
      <c r="A264" s="1526" t="s">
        <v>483</v>
      </c>
      <c r="B264" s="686">
        <v>2520</v>
      </c>
      <c r="C264" s="617"/>
      <c r="D264" s="466">
        <v>12483</v>
      </c>
      <c r="E264" s="617"/>
      <c r="F264" s="617"/>
      <c r="G264" s="617"/>
      <c r="H264" s="617"/>
      <c r="I264" s="617"/>
      <c r="J264" s="617"/>
      <c r="K264" s="1694">
        <f t="shared" ref="K264:K269" si="22">D264</f>
        <v>12483</v>
      </c>
      <c r="L264" s="466">
        <v>12540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22705</v>
      </c>
      <c r="E266" s="617"/>
      <c r="F266" s="617"/>
      <c r="G266" s="617"/>
      <c r="H266" s="617"/>
      <c r="I266" s="617"/>
      <c r="J266" s="617"/>
      <c r="K266" s="1694">
        <f t="shared" si="22"/>
        <v>22705</v>
      </c>
      <c r="L266" s="466">
        <v>24250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11434</v>
      </c>
      <c r="E268" s="617"/>
      <c r="F268" s="617"/>
      <c r="G268" s="617"/>
      <c r="H268" s="617"/>
      <c r="I268" s="617"/>
      <c r="J268" s="617"/>
      <c r="K268" s="1694">
        <f t="shared" si="22"/>
        <v>11434</v>
      </c>
      <c r="L268" s="466">
        <v>11100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46883</v>
      </c>
      <c r="E270" s="617"/>
      <c r="F270" s="617"/>
      <c r="G270" s="617"/>
      <c r="H270" s="617"/>
      <c r="I270" s="617"/>
      <c r="J270" s="617"/>
      <c r="K270" s="1692">
        <f>SUM(K263:K269)</f>
        <v>46883</v>
      </c>
      <c r="L270" s="1692">
        <f>SUM(L263:L269)</f>
        <v>48440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66999</v>
      </c>
      <c r="E279" s="617"/>
      <c r="F279" s="617"/>
      <c r="G279" s="617"/>
      <c r="H279" s="617"/>
      <c r="I279" s="617"/>
      <c r="J279" s="617"/>
      <c r="K279" s="1699">
        <f>SUM(K238,K243,K257,K261,K270,K277,K278)</f>
        <v>66999</v>
      </c>
      <c r="L279" s="1699">
        <f>SUM(L238,L243,L257,L261,L270,L277,L278)</f>
        <v>71948</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0" t="s">
        <v>526</v>
      </c>
      <c r="B295" s="2201"/>
      <c r="C295" s="617"/>
      <c r="D295" s="1692">
        <f>SUM(D229,D279,D280,D285)</f>
        <v>113427</v>
      </c>
      <c r="E295" s="617"/>
      <c r="F295" s="617"/>
      <c r="G295" s="617"/>
      <c r="H295" s="1692">
        <f>H293</f>
        <v>0</v>
      </c>
      <c r="I295" s="617"/>
      <c r="J295" s="617"/>
      <c r="K295" s="1692">
        <f>SUM(K229,K279,K280,K285,K293,K294)</f>
        <v>113427</v>
      </c>
      <c r="L295" s="1692">
        <f>SUM(L229,L279,L280,L285,L293,L294)</f>
        <v>134939</v>
      </c>
    </row>
    <row r="296" spans="1:14" ht="13.5" thickTop="1" x14ac:dyDescent="0.2">
      <c r="A296" s="2182" t="s">
        <v>1053</v>
      </c>
      <c r="B296" s="2183"/>
      <c r="C296" s="617"/>
      <c r="D296" s="619"/>
      <c r="E296" s="617"/>
      <c r="F296" s="617"/>
      <c r="G296" s="617"/>
      <c r="H296" s="688"/>
      <c r="I296" s="617"/>
      <c r="J296" s="617"/>
      <c r="K296" s="1706">
        <f>'Revenues 9-14'!G275-'Expenditures 15-22'!K295</f>
        <v>11911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7" t="s">
        <v>295</v>
      </c>
      <c r="B312" s="219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3" t="s">
        <v>1053</v>
      </c>
      <c r="B313" s="219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17969</v>
      </c>
      <c r="F320" s="467"/>
      <c r="G320" s="467"/>
      <c r="H320" s="467"/>
      <c r="I320" s="467"/>
      <c r="J320" s="467"/>
      <c r="K320" s="1693">
        <f t="shared" ref="K320:K327" si="24">SUM(C320:J320)</f>
        <v>17969</v>
      </c>
      <c r="L320" s="467">
        <v>17969</v>
      </c>
      <c r="M320" s="666"/>
      <c r="N320" s="666"/>
    </row>
    <row r="321" spans="1:14" s="675" customFormat="1" x14ac:dyDescent="0.2">
      <c r="A321" s="1541" t="s">
        <v>318</v>
      </c>
      <c r="B321" s="698" t="s">
        <v>301</v>
      </c>
      <c r="C321" s="467"/>
      <c r="D321" s="467"/>
      <c r="E321" s="467">
        <v>4848</v>
      </c>
      <c r="F321" s="467"/>
      <c r="G321" s="467"/>
      <c r="H321" s="467"/>
      <c r="I321" s="467"/>
      <c r="J321" s="467"/>
      <c r="K321" s="1693">
        <f t="shared" si="24"/>
        <v>4848</v>
      </c>
      <c r="L321" s="467">
        <v>3500</v>
      </c>
      <c r="M321" s="666"/>
      <c r="N321" s="666"/>
    </row>
    <row r="322" spans="1:14" s="675" customFormat="1" x14ac:dyDescent="0.2">
      <c r="A322" s="1541" t="s">
        <v>256</v>
      </c>
      <c r="B322" s="698" t="s">
        <v>302</v>
      </c>
      <c r="C322" s="467"/>
      <c r="D322" s="467"/>
      <c r="E322" s="467">
        <v>25016</v>
      </c>
      <c r="F322" s="467"/>
      <c r="G322" s="467"/>
      <c r="H322" s="467"/>
      <c r="I322" s="467"/>
      <c r="J322" s="467"/>
      <c r="K322" s="1693">
        <f t="shared" si="24"/>
        <v>25016</v>
      </c>
      <c r="L322" s="467">
        <v>22472</v>
      </c>
      <c r="M322" s="666"/>
      <c r="N322" s="666"/>
    </row>
    <row r="323" spans="1:14" s="675" customFormat="1" x14ac:dyDescent="0.2">
      <c r="A323" s="1541" t="s">
        <v>726</v>
      </c>
      <c r="B323" s="698" t="s">
        <v>303</v>
      </c>
      <c r="C323" s="467">
        <v>5220</v>
      </c>
      <c r="D323" s="467">
        <v>489</v>
      </c>
      <c r="E323" s="467"/>
      <c r="F323" s="467"/>
      <c r="G323" s="467"/>
      <c r="H323" s="467"/>
      <c r="I323" s="467"/>
      <c r="J323" s="467"/>
      <c r="K323" s="1693">
        <f t="shared" si="24"/>
        <v>5709</v>
      </c>
      <c r="L323" s="467">
        <v>5811</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5220</v>
      </c>
      <c r="D330" s="1692">
        <f t="shared" ref="D330:J330" si="25">SUM(D319:D329)</f>
        <v>489</v>
      </c>
      <c r="E330" s="1692">
        <f t="shared" si="25"/>
        <v>47833</v>
      </c>
      <c r="F330" s="1692">
        <f t="shared" si="25"/>
        <v>0</v>
      </c>
      <c r="G330" s="1692">
        <f t="shared" si="25"/>
        <v>0</v>
      </c>
      <c r="H330" s="1692">
        <f t="shared" si="25"/>
        <v>0</v>
      </c>
      <c r="I330" s="1692">
        <f t="shared" si="25"/>
        <v>0</v>
      </c>
      <c r="J330" s="1692">
        <f t="shared" si="25"/>
        <v>0</v>
      </c>
      <c r="K330" s="1692">
        <f>SUM(K319:K329)</f>
        <v>53542</v>
      </c>
      <c r="L330" s="1692">
        <f>SUM(L319:L329)</f>
        <v>49752</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5220</v>
      </c>
      <c r="D342" s="1692">
        <f>SUM(D330)</f>
        <v>489</v>
      </c>
      <c r="E342" s="1692">
        <f>SUM(E330)</f>
        <v>47833</v>
      </c>
      <c r="F342" s="1692">
        <f>SUM(F330)</f>
        <v>0</v>
      </c>
      <c r="G342" s="1692">
        <f>SUM(G330)</f>
        <v>0</v>
      </c>
      <c r="H342" s="1692">
        <f>SUM(H330,H334,H340)</f>
        <v>0</v>
      </c>
      <c r="I342" s="1692">
        <f>SUM(I330)</f>
        <v>0</v>
      </c>
      <c r="J342" s="1692">
        <f>SUM(J330)</f>
        <v>0</v>
      </c>
      <c r="K342" s="1692">
        <f>SUM(K330,K334,K340)</f>
        <v>53542</v>
      </c>
      <c r="L342" s="1699">
        <f>SUM(L330,L340,L341)</f>
        <v>49752</v>
      </c>
    </row>
    <row r="343" spans="1:14" ht="12.75" customHeight="1" thickTop="1" x14ac:dyDescent="0.2">
      <c r="A343" s="2195" t="s">
        <v>1053</v>
      </c>
      <c r="B343" s="2196"/>
      <c r="C343" s="617"/>
      <c r="D343" s="617"/>
      <c r="E343" s="617"/>
      <c r="F343" s="617"/>
      <c r="G343" s="617"/>
      <c r="H343" s="617"/>
      <c r="I343" s="617"/>
      <c r="J343" s="617"/>
      <c r="K343" s="1706">
        <f>'Revenues 9-14'!J275-'Expenditures 15-22'!K342</f>
        <v>4761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2473</v>
      </c>
      <c r="F349" s="466"/>
      <c r="G349" s="466"/>
      <c r="H349" s="466"/>
      <c r="I349" s="467"/>
      <c r="J349" s="467"/>
      <c r="K349" s="1693">
        <f>SUM(C349:J349)</f>
        <v>2473</v>
      </c>
      <c r="L349" s="466">
        <v>19200</v>
      </c>
    </row>
    <row r="350" spans="1:14" ht="12.75" customHeight="1" thickBot="1" x14ac:dyDescent="0.25">
      <c r="A350" s="1690" t="s">
        <v>743</v>
      </c>
      <c r="B350" s="1691" t="s">
        <v>35</v>
      </c>
      <c r="C350" s="1692">
        <f>SUM(C348:C349)</f>
        <v>0</v>
      </c>
      <c r="D350" s="1692">
        <f t="shared" ref="D350:L350" si="26">SUM(D348:D349)</f>
        <v>0</v>
      </c>
      <c r="E350" s="1692">
        <f t="shared" si="26"/>
        <v>2473</v>
      </c>
      <c r="F350" s="1692">
        <f t="shared" si="26"/>
        <v>0</v>
      </c>
      <c r="G350" s="1692">
        <f t="shared" si="26"/>
        <v>0</v>
      </c>
      <c r="H350" s="1692">
        <f t="shared" si="26"/>
        <v>0</v>
      </c>
      <c r="I350" s="1692">
        <f t="shared" si="26"/>
        <v>0</v>
      </c>
      <c r="J350" s="1692">
        <f t="shared" si="26"/>
        <v>0</v>
      </c>
      <c r="K350" s="1692">
        <f t="shared" si="26"/>
        <v>2473</v>
      </c>
      <c r="L350" s="1692">
        <f t="shared" si="26"/>
        <v>19200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2473</v>
      </c>
      <c r="F352" s="1692">
        <f t="shared" si="27"/>
        <v>0</v>
      </c>
      <c r="G352" s="1692">
        <f t="shared" si="27"/>
        <v>0</v>
      </c>
      <c r="H352" s="1692">
        <f t="shared" si="27"/>
        <v>0</v>
      </c>
      <c r="I352" s="1692">
        <f t="shared" si="27"/>
        <v>0</v>
      </c>
      <c r="J352" s="1692">
        <f t="shared" si="27"/>
        <v>0</v>
      </c>
      <c r="K352" s="1692">
        <f t="shared" si="27"/>
        <v>2473</v>
      </c>
      <c r="L352" s="1692">
        <f t="shared" si="27"/>
        <v>19200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2473</v>
      </c>
      <c r="F367" s="1692">
        <f t="shared" si="28"/>
        <v>0</v>
      </c>
      <c r="G367" s="1692">
        <f t="shared" si="28"/>
        <v>0</v>
      </c>
      <c r="H367" s="1692">
        <f t="shared" si="28"/>
        <v>0</v>
      </c>
      <c r="I367" s="1692">
        <f t="shared" si="28"/>
        <v>0</v>
      </c>
      <c r="J367" s="1692">
        <f t="shared" si="28"/>
        <v>0</v>
      </c>
      <c r="K367" s="1692">
        <f t="shared" si="28"/>
        <v>2473</v>
      </c>
      <c r="L367" s="1692">
        <f t="shared" si="28"/>
        <v>19200</v>
      </c>
    </row>
    <row r="368" spans="1:14" ht="13.5" thickTop="1" x14ac:dyDescent="0.2">
      <c r="A368" s="2182" t="s">
        <v>1053</v>
      </c>
      <c r="B368" s="2183"/>
      <c r="C368" s="655"/>
      <c r="D368" s="655"/>
      <c r="E368" s="627"/>
      <c r="F368" s="627"/>
      <c r="G368" s="627"/>
      <c r="H368" s="627"/>
      <c r="I368" s="627"/>
      <c r="J368" s="624"/>
      <c r="K368" s="1693">
        <f>'Revenues 9-14'!K275-'Expenditures 15-22'!K367</f>
        <v>9555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2018-09-23T22:01:50Z</cp:lastPrinted>
  <dcterms:created xsi:type="dcterms:W3CDTF">2003-10-29T19:06:34Z</dcterms:created>
  <dcterms:modified xsi:type="dcterms:W3CDTF">2018-12-26T16:18:41Z</dcterms:modified>
</cp:coreProperties>
</file>