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2)" sheetId="183" r:id="rId29"/>
    <sheet name="SEFA (3)" sheetId="184" r:id="rId30"/>
    <sheet name="SEFA (4)" sheetId="185" r:id="rId31"/>
    <sheet name="SEFA NOTES" sheetId="173" r:id="rId32"/>
    <sheet name="SF&amp;QC Sec-1" sheetId="174" r:id="rId33"/>
    <sheet name="SF&amp;QC Sec-2" sheetId="175" r:id="rId34"/>
    <sheet name="SF&amp;QC Sec-3" sheetId="176" r:id="rId35"/>
    <sheet name="Sheet5" sheetId="187" r:id="rId36"/>
    <sheet name="SSPAF" sheetId="177" r:id="rId37"/>
  </sheets>
  <definedNames>
    <definedName name="_xlnm.Print_Area" localSheetId="27">' SEFA'!$B$1:$M$47</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D52" i="127" l="1"/>
  <c r="D45" i="127"/>
  <c r="D34" i="127"/>
  <c r="D18" i="127"/>
  <c r="D10" i="127"/>
  <c r="B4" i="187" l="1"/>
  <c r="M23" i="185"/>
  <c r="M25" i="185" s="1"/>
  <c r="K23" i="185"/>
  <c r="K25" i="185" s="1"/>
  <c r="J23" i="185"/>
  <c r="J25" i="185" s="1"/>
  <c r="I23" i="185"/>
  <c r="I25" i="185" s="1"/>
  <c r="H23" i="185"/>
  <c r="H25" i="185" s="1"/>
  <c r="G23" i="185"/>
  <c r="F23" i="185"/>
  <c r="F25" i="185" s="1"/>
  <c r="E23" i="185"/>
  <c r="E25" i="185" s="1"/>
  <c r="M15" i="185"/>
  <c r="K15" i="185"/>
  <c r="J15" i="185"/>
  <c r="I15" i="185"/>
  <c r="H15" i="185"/>
  <c r="G15" i="185"/>
  <c r="F15" i="185"/>
  <c r="E15" i="185"/>
  <c r="M22" i="184"/>
  <c r="K22" i="184"/>
  <c r="J22" i="184"/>
  <c r="I22" i="184"/>
  <c r="H22" i="184"/>
  <c r="G22" i="184"/>
  <c r="F22" i="184"/>
  <c r="E22" i="184"/>
  <c r="M15" i="184"/>
  <c r="K15" i="184"/>
  <c r="J15" i="184"/>
  <c r="I15" i="184"/>
  <c r="L15" i="184" s="1"/>
  <c r="H15" i="184"/>
  <c r="G15" i="184"/>
  <c r="F15" i="184"/>
  <c r="E15" i="184"/>
  <c r="M23" i="183"/>
  <c r="K23" i="183"/>
  <c r="J23" i="183"/>
  <c r="I23" i="183"/>
  <c r="H23" i="183"/>
  <c r="G23" i="183"/>
  <c r="F23" i="183"/>
  <c r="E23" i="183"/>
  <c r="M17" i="183"/>
  <c r="K17" i="183"/>
  <c r="J17" i="183"/>
  <c r="I17" i="183"/>
  <c r="H17" i="183"/>
  <c r="G17" i="183"/>
  <c r="F17" i="183"/>
  <c r="E17" i="183"/>
  <c r="M24" i="179"/>
  <c r="K24" i="179"/>
  <c r="J24" i="179"/>
  <c r="I24" i="179"/>
  <c r="H24" i="179"/>
  <c r="G24" i="179"/>
  <c r="F24" i="179"/>
  <c r="E24" i="179"/>
  <c r="M15" i="179"/>
  <c r="K15" i="179"/>
  <c r="J15" i="179"/>
  <c r="I15" i="179"/>
  <c r="H15" i="179"/>
  <c r="G15" i="179"/>
  <c r="F15" i="179"/>
  <c r="E15" i="179"/>
  <c r="L22" i="185"/>
  <c r="L21" i="185"/>
  <c r="L14" i="185"/>
  <c r="L13" i="185"/>
  <c r="B4" i="185"/>
  <c r="L27" i="184"/>
  <c r="L26" i="184"/>
  <c r="L25" i="184"/>
  <c r="L24" i="184"/>
  <c r="L21" i="184"/>
  <c r="L20" i="184"/>
  <c r="L16" i="184"/>
  <c r="L14" i="184"/>
  <c r="L13" i="184"/>
  <c r="B4" i="184"/>
  <c r="L22" i="183"/>
  <c r="L21" i="183"/>
  <c r="L20" i="183"/>
  <c r="L16" i="183"/>
  <c r="L15" i="183"/>
  <c r="B4" i="183"/>
  <c r="L15" i="185" l="1"/>
  <c r="F26" i="179"/>
  <c r="F28" i="179" s="1"/>
  <c r="F17" i="184"/>
  <c r="F17" i="185" s="1"/>
  <c r="G26" i="179"/>
  <c r="G28" i="179" s="1"/>
  <c r="K17" i="184"/>
  <c r="K17" i="185" s="1"/>
  <c r="H26" i="179"/>
  <c r="H28" i="179" s="1"/>
  <c r="M26" i="179"/>
  <c r="M28" i="179" s="1"/>
  <c r="H17" i="184"/>
  <c r="H17" i="185" s="1"/>
  <c r="H27" i="185" s="1"/>
  <c r="M17" i="184"/>
  <c r="M17" i="185" s="1"/>
  <c r="J26" i="179"/>
  <c r="J28" i="179" s="1"/>
  <c r="J17" i="184"/>
  <c r="J17" i="185" s="1"/>
  <c r="K26" i="179"/>
  <c r="K28" i="179" s="1"/>
  <c r="G17" i="184"/>
  <c r="G17" i="185" s="1"/>
  <c r="E26" i="179"/>
  <c r="E28" i="179" s="1"/>
  <c r="I26" i="179"/>
  <c r="I28" i="179" s="1"/>
  <c r="E17" i="184"/>
  <c r="E17" i="185" s="1"/>
  <c r="E27" i="185" s="1"/>
  <c r="I17" i="184"/>
  <c r="I17" i="185" s="1"/>
  <c r="L17" i="183"/>
  <c r="L23" i="185"/>
  <c r="G25" i="185"/>
  <c r="L22" i="184"/>
  <c r="L23" i="183"/>
  <c r="C5" i="3"/>
  <c r="K27" i="185" l="1"/>
  <c r="I27" i="185"/>
  <c r="M27" i="185"/>
  <c r="J27" i="185"/>
  <c r="F27" i="185"/>
  <c r="L17" i="185"/>
  <c r="L17" i="184"/>
  <c r="G27" i="185"/>
  <c r="L27" i="185" s="1"/>
  <c r="L25" i="185"/>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8"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c r="B2" i="179" l="1"/>
  <c r="B2" i="187"/>
  <c r="B2" i="185"/>
  <c r="B2" i="184"/>
  <c r="B2" i="183"/>
  <c r="B1" i="184"/>
  <c r="B1" i="183"/>
  <c r="B1" i="187"/>
  <c r="B1" i="185"/>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s="1"/>
  <c r="B7729" i="106"/>
  <c r="D7729" i="106" s="1"/>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6833" i="106" s="1"/>
  <c r="D6833" i="106" s="1"/>
  <c r="B7761" i="106"/>
  <c r="L127" i="29"/>
  <c r="L129" i="29" s="1"/>
  <c r="L139" i="29"/>
  <c r="L149" i="29"/>
  <c r="I7" i="145"/>
  <c r="I6" i="145"/>
  <c r="D82" i="36"/>
  <c r="D78" i="36"/>
  <c r="K75" i="29"/>
  <c r="K130" i="29"/>
  <c r="K185" i="29"/>
  <c r="B2836" i="106" s="1"/>
  <c r="D2836" i="106" s="1"/>
  <c r="K122" i="29"/>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B7090" i="106" s="1"/>
  <c r="D7090" i="106" s="1"/>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D26" i="108"/>
  <c r="E27" i="108"/>
  <c r="F27" i="108"/>
  <c r="G27" i="108"/>
  <c r="F31" i="108"/>
  <c r="F36" i="108"/>
  <c r="F37" i="108"/>
  <c r="G28" i="108"/>
  <c r="E30" i="108"/>
  <c r="G30" i="108"/>
  <c r="D31" i="108"/>
  <c r="D36" i="108"/>
  <c r="E31" i="108"/>
  <c r="G31" i="108"/>
  <c r="E33" i="108"/>
  <c r="G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C14" i="4"/>
  <c r="B2558" i="106" s="1"/>
  <c r="D2558" i="106" s="1"/>
  <c r="D14" i="4"/>
  <c r="B2570" i="106" s="1"/>
  <c r="D2570" i="106" s="1"/>
  <c r="B2633" i="106"/>
  <c r="D2633" i="106" s="1"/>
  <c r="D7" i="118"/>
  <c r="D8" i="118"/>
  <c r="D9" i="118"/>
  <c r="H14" i="118"/>
  <c r="H19" i="118"/>
  <c r="H24" i="118"/>
  <c r="D22" i="37"/>
  <c r="J22" i="37"/>
  <c r="L22" i="37"/>
  <c r="B3647" i="106" l="1"/>
  <c r="D3647" i="106" s="1"/>
  <c r="D11" i="37"/>
  <c r="D31" i="36"/>
  <c r="B7076" i="106"/>
  <c r="D7076" i="106" s="1"/>
  <c r="F14" i="4"/>
  <c r="B2597" i="106" s="1"/>
  <c r="D2597" i="106" s="1"/>
  <c r="E28" i="108"/>
  <c r="F26" i="108"/>
  <c r="N22" i="3"/>
  <c r="B283" i="106" s="1"/>
  <c r="D283" i="106" s="1"/>
  <c r="G39" i="108"/>
  <c r="D24" i="37"/>
  <c r="B4270" i="106" s="1"/>
  <c r="D4270" i="106" s="1"/>
  <c r="J210" i="29"/>
  <c r="B7072" i="106" s="1"/>
  <c r="D7072" i="106" s="1"/>
  <c r="H29" i="118"/>
  <c r="F62" i="34"/>
  <c r="F45" i="34"/>
  <c r="F36" i="34"/>
  <c r="D37" i="108"/>
  <c r="D41" i="108" s="1"/>
  <c r="E43" i="108" s="1"/>
  <c r="D54" i="36"/>
  <c r="F131" i="34"/>
  <c r="F41" i="34"/>
  <c r="C342" i="29"/>
  <c r="B7216" i="106" s="1"/>
  <c r="D7216" i="106" s="1"/>
  <c r="B4412" i="106"/>
  <c r="D4412" i="106" s="1"/>
  <c r="K24" i="12"/>
  <c r="B7733" i="106" s="1"/>
  <c r="D7733" i="106" s="1"/>
  <c r="E29" i="108"/>
  <c r="D15" i="7"/>
  <c r="B1772" i="106" s="1"/>
  <c r="D1772" i="106" s="1"/>
  <c r="D11" i="7"/>
  <c r="B1768" i="106" s="1"/>
  <c r="D1768" i="106" s="1"/>
  <c r="H28" i="118"/>
  <c r="F71" i="34"/>
  <c r="K41" i="3"/>
  <c r="K285" i="29"/>
  <c r="H173" i="5"/>
  <c r="B5906" i="106" s="1"/>
  <c r="D5906" i="106" s="1"/>
  <c r="G29" i="108"/>
  <c r="D13" i="7"/>
  <c r="B3726" i="106" s="1"/>
  <c r="D3726" i="106" s="1"/>
  <c r="F111" i="34"/>
  <c r="F19" i="7"/>
  <c r="B1807" i="106" s="1"/>
  <c r="D1807" i="106" s="1"/>
  <c r="G34" i="108"/>
  <c r="C352" i="29"/>
  <c r="C367" i="29" s="1"/>
  <c r="B3622" i="106" s="1"/>
  <c r="D3622" i="106" s="1"/>
  <c r="B1126" i="106"/>
  <c r="D1126" i="106" s="1"/>
  <c r="D4" i="7"/>
  <c r="B1760" i="106" s="1"/>
  <c r="D1760" i="106" s="1"/>
  <c r="G14" i="4"/>
  <c r="B2609" i="106" s="1"/>
  <c r="D2609" i="106" s="1"/>
  <c r="F72" i="34"/>
  <c r="F42" i="34"/>
  <c r="F28" i="108"/>
  <c r="F41" i="108" s="1"/>
  <c r="G43" i="108" s="1"/>
  <c r="F77" i="4"/>
  <c r="B3255" i="106" s="1"/>
  <c r="D3255" i="106" s="1"/>
  <c r="E14" i="145"/>
  <c r="G14" i="145" s="1"/>
  <c r="B1124" i="106"/>
  <c r="D1124" i="106" s="1"/>
  <c r="F15" i="145"/>
  <c r="F19" i="145" s="1"/>
  <c r="B1274" i="106"/>
  <c r="D1274" i="106" s="1"/>
  <c r="F127" i="34"/>
  <c r="B6238" i="106"/>
  <c r="D6238" i="106" s="1"/>
  <c r="J77" i="4"/>
  <c r="B6262" i="106" s="1"/>
  <c r="D6262" i="106" s="1"/>
  <c r="F46" i="34"/>
  <c r="K26" i="12"/>
  <c r="B7743" i="106" s="1"/>
  <c r="D7743" i="106" s="1"/>
  <c r="J352" i="29"/>
  <c r="J367" i="29" s="1"/>
  <c r="B7245" i="106" s="1"/>
  <c r="D7245" i="106" s="1"/>
  <c r="I210" i="29"/>
  <c r="B3454" i="106"/>
  <c r="D3454" i="106" s="1"/>
  <c r="L15" i="11"/>
  <c r="B3459" i="106" s="1"/>
  <c r="D3459" i="106" s="1"/>
  <c r="D12" i="7"/>
  <c r="B1769" i="106" s="1"/>
  <c r="D1769" i="106" s="1"/>
  <c r="L367" i="29"/>
  <c r="F38" i="34"/>
  <c r="K274" i="5"/>
  <c r="K7" i="4" s="1"/>
  <c r="B3718" i="106" s="1"/>
  <c r="D3718" i="106" s="1"/>
  <c r="E26" i="108"/>
  <c r="B3170" i="106"/>
  <c r="D3170" i="106" s="1"/>
  <c r="H76" i="4"/>
  <c r="B3298" i="106" s="1"/>
  <c r="D3298" i="106" s="1"/>
  <c r="L5" i="11"/>
  <c r="B2056" i="106" s="1"/>
  <c r="D2056" i="106" s="1"/>
  <c r="D5" i="4"/>
  <c r="B3406" i="106" s="1"/>
  <c r="D3406" i="106" s="1"/>
  <c r="E109" i="5"/>
  <c r="E4" i="4" s="1"/>
  <c r="B2630" i="106" s="1"/>
  <c r="D2630" i="106" s="1"/>
  <c r="H109" i="5"/>
  <c r="B6025" i="106" s="1"/>
  <c r="D6025" i="106" s="1"/>
  <c r="I274" i="5"/>
  <c r="B4435" i="106" s="1"/>
  <c r="D4435" i="106" s="1"/>
  <c r="I173" i="5"/>
  <c r="B4216" i="106" s="1"/>
  <c r="D4216" i="106" s="1"/>
  <c r="G172" i="5"/>
  <c r="B5770" i="106" s="1"/>
  <c r="D5770" i="106" s="1"/>
  <c r="B5096" i="106"/>
  <c r="D5096" i="106" s="1"/>
  <c r="F50" i="34"/>
  <c r="F44" i="34"/>
  <c r="G26" i="108"/>
  <c r="H342" i="29"/>
  <c r="B7047" i="106"/>
  <c r="D7047" i="106" s="1"/>
  <c r="B6289" i="106"/>
  <c r="D6289" i="106" s="1"/>
  <c r="D6103" i="106"/>
  <c r="F21" i="8"/>
  <c r="K184" i="29"/>
  <c r="F13" i="4" s="1"/>
  <c r="B2596" i="106" s="1"/>
  <c r="D2596" i="106" s="1"/>
  <c r="G210" i="29"/>
  <c r="L13" i="11"/>
  <c r="B2060" i="106" s="1"/>
  <c r="D2060" i="106" s="1"/>
  <c r="B1746" i="106"/>
  <c r="D1746" i="106" s="1"/>
  <c r="B6995" i="106"/>
  <c r="D6995" i="106" s="1"/>
  <c r="C109" i="5"/>
  <c r="B5121" i="106" s="1"/>
  <c r="D5121" i="106" s="1"/>
  <c r="D17" i="7"/>
  <c r="B4104" i="106" s="1"/>
  <c r="D4104" i="106" s="1"/>
  <c r="F106" i="34"/>
  <c r="B5752" i="106"/>
  <c r="D5752" i="106" s="1"/>
  <c r="F128" i="34"/>
  <c r="H33" i="118"/>
  <c r="J274" i="5"/>
  <c r="B7054" i="106" s="1"/>
  <c r="D7054" i="106" s="1"/>
  <c r="I342" i="29"/>
  <c r="B7222" i="106" s="1"/>
  <c r="D7222" i="106" s="1"/>
  <c r="C129" i="29"/>
  <c r="B1225" i="106" s="1"/>
  <c r="D1225" i="106" s="1"/>
  <c r="B1223" i="106"/>
  <c r="D1223" i="106" s="1"/>
  <c r="B1053" i="106"/>
  <c r="D1053" i="106" s="1"/>
  <c r="H112" i="29"/>
  <c r="B7018" i="106" s="1"/>
  <c r="D7018" i="106" s="1"/>
  <c r="D109" i="5"/>
  <c r="F130" i="34"/>
  <c r="D9" i="7"/>
  <c r="B1767" i="106" s="1"/>
  <c r="D1767" i="106" s="1"/>
  <c r="B5232" i="106"/>
  <c r="D5232" i="106" s="1"/>
  <c r="G109" i="5"/>
  <c r="B5066" i="106"/>
  <c r="D5066" i="106" s="1"/>
  <c r="L342" i="29"/>
  <c r="F34" i="34"/>
  <c r="B7235" i="106"/>
  <c r="D7235" i="106" s="1"/>
  <c r="J41" i="3"/>
  <c r="B6216" i="106" s="1"/>
  <c r="D6216" i="106" s="1"/>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B7270" i="106"/>
  <c r="K28" i="118" l="1"/>
  <c r="O27" i="118" s="1"/>
  <c r="O29" i="118" s="1"/>
  <c r="D274" i="5"/>
  <c r="H151" i="29"/>
  <c r="B1273" i="106" s="1"/>
  <c r="D1273" i="106" s="1"/>
  <c r="B1381" i="106"/>
  <c r="D1381" i="106" s="1"/>
  <c r="B3621" i="106"/>
  <c r="D3621" i="106" s="1"/>
  <c r="N23" i="3"/>
  <c r="B284" i="106" s="1"/>
  <c r="D284" i="106" s="1"/>
  <c r="D7254" i="106"/>
  <c r="B1328" i="106"/>
  <c r="D1328" i="106" s="1"/>
  <c r="D7250" i="106"/>
  <c r="H275" i="5"/>
  <c r="F73" i="34"/>
  <c r="G15" i="4"/>
  <c r="B6032" i="106" s="1"/>
  <c r="D6032" i="106" s="1"/>
  <c r="B3568" i="106"/>
  <c r="D3568" i="106" s="1"/>
  <c r="D52" i="36"/>
  <c r="B5527" i="106"/>
  <c r="D5527" i="106" s="1"/>
  <c r="G173" i="5"/>
  <c r="B5778" i="106" s="1"/>
  <c r="D5778" i="106" s="1"/>
  <c r="G15" i="145"/>
  <c r="D7255" i="106"/>
  <c r="D7252" i="106"/>
  <c r="H4" i="4"/>
  <c r="B1365" i="106"/>
  <c r="D1365" i="106" s="1"/>
  <c r="F65" i="34"/>
  <c r="B7071" i="106"/>
  <c r="D7071" i="106" s="1"/>
  <c r="F66" i="34"/>
  <c r="H77" i="4"/>
  <c r="B3299" i="106" s="1"/>
  <c r="D3299" i="106" s="1"/>
  <c r="D7256" i="106"/>
  <c r="D7251" i="106"/>
  <c r="G6" i="4"/>
  <c r="B2604" i="106" s="1"/>
  <c r="D2604" i="106" s="1"/>
  <c r="D7253" i="106"/>
  <c r="D19" i="7"/>
  <c r="B1775" i="106" s="1"/>
  <c r="D1775" i="106" s="1"/>
  <c r="B1879" i="106"/>
  <c r="D1879" i="106" s="1"/>
  <c r="H22" i="37"/>
  <c r="L114" i="29"/>
  <c r="C114" i="29"/>
  <c r="B757" i="106" s="1"/>
  <c r="D757" i="106" s="1"/>
  <c r="C4" i="4"/>
  <c r="B2551" i="106" s="1"/>
  <c r="D2551" i="106" s="1"/>
  <c r="B3447" i="106"/>
  <c r="D3447" i="106" s="1"/>
  <c r="D44" i="36"/>
  <c r="D51" i="36"/>
  <c r="I26" i="12"/>
  <c r="B7741" i="106" s="1"/>
  <c r="D7741" i="106" s="1"/>
  <c r="B1996" i="106"/>
  <c r="D1996" i="106" s="1"/>
  <c r="B5214" i="106"/>
  <c r="D5214" i="106" s="1"/>
  <c r="C173" i="5"/>
  <c r="B3628" i="106"/>
  <c r="D3628" i="106" s="1"/>
  <c r="C151" i="29"/>
  <c r="B1226" i="106" s="1"/>
  <c r="D1226" i="106" s="1"/>
  <c r="B1317" i="106"/>
  <c r="D1317" i="106" s="1"/>
  <c r="F274" i="5"/>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E19" i="145"/>
  <c r="B5915" i="106"/>
  <c r="D5915" i="106" s="1"/>
  <c r="B6222" i="106"/>
  <c r="D6222" i="106" s="1"/>
  <c r="D7" i="4"/>
  <c r="B5507" i="106"/>
  <c r="D5507" i="106" s="1"/>
  <c r="B7298" i="106"/>
  <c r="B7299" i="106"/>
  <c r="J8" i="4" l="1"/>
  <c r="G19" i="145"/>
  <c r="J20" i="145" s="1"/>
  <c r="B2655" i="106"/>
  <c r="D2655" i="106" s="1"/>
  <c r="H8" i="4"/>
  <c r="J17" i="4"/>
  <c r="B6227" i="106" s="1"/>
  <c r="D6227"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J20" i="4"/>
  <c r="B6230" i="106" s="1"/>
  <c r="D6230" i="106" s="1"/>
  <c r="H10" i="4"/>
  <c r="B4127" i="106" s="1"/>
  <c r="D4127" i="106" s="1"/>
  <c r="B2658" i="106"/>
  <c r="D2658" i="106"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K19" i="4"/>
  <c r="B4144" i="106" s="1"/>
  <c r="D4144" i="106" s="1"/>
  <c r="H13" i="118"/>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<sst xmlns="http://schemas.openxmlformats.org/spreadsheetml/2006/main" count="5452" uniqueCount="2270">
  <si>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</si>
  <si>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</si>
  <si>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</si>
  <si>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</si>
  <si>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</si>
  <si>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</si>
  <si>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</si>
  <si>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</si>
  <si>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</si>
  <si>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</si>
  <si>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</si>
  <si>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</si>
  <si>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</si>
  <si>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</si>
  <si>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</si>
  <si>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</si>
  <si>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</si>
  <si>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</si>
  <si>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</si>
  <si>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</si>
  <si>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</si>
  <si>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</si>
  <si>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</si>
  <si>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</si>
  <si>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</si>
  <si>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</si>
  <si>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</si>
  <si>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</si>
  <si>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</si>
  <si>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</si>
  <si>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</si>
  <si>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</si>
  <si>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</si>
  <si>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</si>
  <si>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</si>
  <si>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</si>
  <si>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</si>
  <si>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</si>
  <si>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</si>
  <si>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</si>
  <si>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</si>
  <si>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</si>
  <si>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</si>
  <si>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</si>
  <si>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</si>
  <si>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</si>
  <si>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</si>
  <si>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</si>
  <si>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</si>
  <si>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</si>
  <si>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</si>
  <si>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</si>
  <si>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</si>
  <si>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</si>
  <si>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</si>
  <si>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</si>
  <si>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</si>
  <si>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</si>
  <si>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</si>
  <si>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</si>
  <si>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</si>
  <si>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</si>
  <si>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</si>
  <si>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</si>
  <si>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</si>
  <si>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</si>
  <si>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</si>
  <si>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</si>
  <si>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</si>
  <si>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</si>
  <si>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</si>
  <si>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</si>
  <si>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</si>
  <si>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</si>
  <si>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</si>
  <si>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</si>
  <si>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</si>
  <si>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</si>
  <si>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</si>
  <si>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</si>
  <si>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</si>
  <si>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</si>
  <si>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</si>
  <si>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</si>
  <si>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</si>
  <si>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</si>
  <si>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</si>
  <si>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</si>
  <si>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</si>
  <si>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</si>
  <si>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</si>
  <si>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</si>
  <si>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</si>
  <si>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</si>
  <si>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</si>
  <si>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</si>
  <si>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</si>
  <si>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</si>
  <si>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</si>
  <si>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</si>
  <si>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</si>
  <si>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</si>
  <si>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</si>
  <si>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</si>
  <si>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</si>
  <si>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</si>
  <si>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</si>
  <si>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</si>
  <si>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</si>
  <si>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</si>
  <si>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</si>
  <si>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</si>
  <si>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</si>
  <si>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</si>
  <si>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</si>
  <si>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</si>
  <si>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</si>
  <si>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</si>
  <si>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</si>
  <si>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</si>
  <si>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</si>
  <si>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</si>
  <si>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</si>
  <si>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</si>
  <si>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</si>
  <si>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</si>
  <si>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</si>
  <si>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</si>
  <si>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</si>
  <si>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</si>
  <si>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</si>
  <si>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</si>
  <si>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</si>
  <si>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</si>
  <si>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</si>
  <si>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</si>
  <si>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</si>
  <si>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</si>
  <si>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</si>
  <si>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</si>
  <si>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</si>
  <si>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</si>
  <si>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</si>
  <si>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</si>
  <si>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</si>
  <si>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</si>
  <si>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</si>
  <si>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</si>
  <si>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</si>
  <si>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</si>
  <si>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</si>
  <si>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</si>
  <si>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</si>
  <si>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</si>
  <si>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</si>
  <si>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</si>
  <si>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</si>
  <si>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</si>
  <si>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</si>
  <si>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</si>
  <si>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</si>
  <si>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</si>
  <si>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</si>
  <si>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</si>
  <si>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</si>
  <si>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</si>
  <si>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</si>
  <si>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</si>
  <si>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</si>
  <si>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</si>
  <si>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</si>
  <si>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</si>
  <si>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</si>
  <si>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</si>
  <si>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</si>
  <si>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</si>
  <si>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</si>
  <si>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</si>
  <si>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</si>
  <si>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</si>
  <si>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</si>
  <si>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</si>
  <si>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</si>
  <si>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</si>
  <si>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</si>
  <si>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</si>
  <si>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</si>
  <si>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</si>
  <si>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</si>
  <si>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</si>
  <si>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</si>
  <si>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</si>
  <si>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</si>
  <si>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</si>
  <si>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</si>
  <si>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</si>
  <si>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</si>
  <si>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</si>
  <si>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</si>
  <si>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</si>
  <si>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</si>
  <si>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</si>
  <si>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</si>
  <si>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</si>
  <si>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</si>
  <si>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</si>
  <si>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</si>
  <si>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</si>
  <si>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</si>
  <si>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</si>
  <si>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</si>
  <si>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</si>
  <si>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</si>
  <si>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</si>
  <si>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</si>
  <si>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</si>
  <si>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</si>
  <si>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</si>
  <si>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</si>
  <si>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</si>
  <si>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</si>
  <si>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</si>
  <si>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</si>
  <si>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</si>
  <si>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</si>
  <si>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</si>
  <si>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</si>
  <si>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</si>
  <si>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</si>
  <si>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</si>
  <si>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</si>
  <si>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</si>
  <si>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</si>
  <si>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</si>
  <si>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</si>
  <si>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</si>
  <si>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</si>
  <si>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</si>
  <si>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</si>
  <si>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</si>
  <si>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</si>
  <si>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</si>
  <si>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</si>
  <si>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</si>
  <si>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</si>
  <si>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</si>
  <si>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</si>
  <si>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</si>
  <si>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</si>
  <si>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</si>
  <si>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</si>
  <si>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</si>
  <si>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</si>
  <si>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</si>
  <si>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</si>
  <si>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</si>
  <si>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</si>
  <si>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</si>
  <si>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</si>
  <si>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</si>
  <si>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</si>
  <si>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</si>
  <si>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</si>
  <si>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</si>
  <si>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</si>
  <si>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</si>
  <si>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</si>
  <si>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</si>
  <si>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</si>
  <si>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</si>
  <si>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</si>
  <si>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</si>
  <si>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</si>
  <si>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</si>
  <si>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</si>
  <si>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</si>
  <si>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</si>
  <si>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</si>
  <si>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</si>
  <si>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</si>
  <si>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</si>
  <si>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</si>
  <si>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</si>
  <si>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</si>
  <si>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</si>
  <si>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</si>
  <si>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</si>
  <si>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</si>
  <si>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</si>
  <si>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</si>
  <si>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</si>
  <si>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</si>
  <si>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</si>
  <si>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</si>
  <si>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</si>
  <si>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</si>
  <si>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</si>
  <si>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</si>
  <si>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</si>
  <si>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</si>
  <si>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</si>
  <si>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</si>
  <si>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</si>
  <si>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</si>
  <si>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</si>
  <si>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</si>
  <si>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</si>
  <si>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</si>
  <si>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</si>
  <si>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</si>
  <si>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</si>
  <si>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</si>
  <si>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</si>
  <si>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</si>
  <si>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</si>
  <si>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</si>
  <si>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</si>
  <si>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</si>
  <si>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</si>
  <si>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</si>
  <si>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</si>
  <si>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</si>
  <si>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</si>
  <si>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</si>
  <si>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</si>
  <si>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</si>
  <si>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</si>
  <si>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</si>
  <si>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</si>
  <si>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</si>
  <si>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</si>
  <si>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</si>
  <si>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</si>
  <si>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</si>
  <si>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</si>
  <si>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</si>
  <si>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</si>
  <si>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</si>
  <si>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</si>
  <si>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</si>
  <si>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</si>
  <si>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</si>
  <si>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</si>
  <si>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</si>
  <si>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</si>
  <si>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</si>
  <si>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</si>
  <si>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</si>
  <si>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</si>
  <si>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</si>
  <si>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</si>
  <si>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</si>
  <si>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</si>
  <si>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</si>
  <si>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</si>
  <si>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</si>
  <si>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</si>
  <si>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</si>
  <si>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</si>
  <si>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</si>
  <si>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</si>
  <si>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</si>
  <si>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</si>
  <si>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</si>
  <si>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</si>
  <si>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</si>
  <si>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</si>
  <si>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</si>
  <si>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</si>
  <si>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</si>
  <si>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</si>
  <si>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</si>
  <si>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</si>
  <si>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</si>
  <si>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</si>
  <si>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</si>
  <si>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</si>
  <si>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</si>
  <si>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</si>
  <si>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</si>
  <si>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</si>
  <si>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</si>
  <si>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</si>
  <si>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</si>
  <si>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</si>
  <si>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</si>
  <si>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</si>
  <si>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</si>
  <si>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</si>
  <si>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</si>
  <si>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</si>
  <si>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</si>
  <si>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</si>
  <si>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</si>
  <si>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</si>
  <si>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</si>
  <si>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</si>
  <si>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</si>
  <si>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</si>
  <si>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</si>
  <si>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</si>
  <si>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</si>
  <si>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</si>
  <si>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</si>
  <si>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</si>
  <si>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</si>
  <si>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</si>
  <si>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</si>
  <si>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</si>
  <si>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</si>
  <si>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</si>
  <si>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</si>
  <si>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</si>
  <si>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</si>
  <si>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</si>
  <si>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</si>
  <si>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</si>
  <si>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</si>
  <si>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</si>
  <si>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</si>
  <si>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</si>
  <si>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</si>
  <si>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</si>
  <si>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</si>
  <si>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</si>
  <si>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</si>
  <si>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</si>
  <si>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</si>
  <si>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</si>
  <si>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</si>
  <si>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</si>
  <si>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</si>
  <si>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</si>
  <si>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</si>
  <si>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</si>
  <si>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</si>
  <si>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</si>
  <si>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</si>
  <si>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</si>
  <si>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</si>
  <si>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</si>
  <si>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</si>
  <si>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</si>
  <si>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</si>
  <si>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</si>
  <si>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</si>
  <si>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</si>
  <si>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</si>
  <si>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</si>
  <si>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</si>
  <si>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</si>
  <si>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</si>
  <si>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</si>
  <si>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</si>
  <si>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</si>
  <si>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</si>
  <si>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</si>
  <si>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</si>
  <si>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</si>
  <si>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</si>
  <si>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</si>
  <si>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</si>
  <si>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</si>
  <si>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</si>
  <si>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</si>
  <si>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</si>
  <si>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</si>
  <si>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</si>
  <si>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</si>
  <si>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</si>
  <si>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</si>
  <si>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</si>
  <si>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</si>
  <si>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</si>
  <si>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</si>
  <si>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</si>
  <si>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</si>
  <si>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</si>
  <si>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</si>
  <si>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</si>
  <si>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</si>
  <si>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</si>
  <si>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</si>
  <si>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</si>
  <si>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</si>
  <si>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</si>
  <si>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</si>
  <si>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</si>
  <si>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</si>
  <si>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</si>
  <si>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</si>
  <si>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</si>
  <si>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</si>
  <si>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</si>
  <si>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</si>
  <si>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</si>
  <si>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</si>
  <si>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</si>
  <si>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</si>
  <si>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</si>
  <si>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</si>
  <si>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</si>
  <si>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</si>
  <si>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</si>
  <si>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</si>
  <si>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</si>
  <si>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</si>
  <si>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</si>
  <si>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</si>
  <si>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</si>
  <si>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</si>
  <si>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</si>
  <si>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</si>
  <si>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</si>
  <si>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</si>
  <si>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</si>
  <si>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</si>
  <si>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</si>
  <si>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</si>
  <si>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</si>
  <si>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</si>
  <si>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</si>
  <si>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</si>
  <si>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</si>
  <si>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</si>
  <si>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</si>
  <si>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</si>
  <si>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</si>
  <si>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</si>
  <si>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</si>
  <si>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</si>
  <si>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</si>
  <si>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</si>
  <si>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</si>
  <si>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</si>
  <si>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</si>
  <si>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</si>
  <si>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</si>
  <si>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</si>
  <si>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</si>
  <si>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</si>
  <si>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</si>
  <si>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</si>
  <si>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</si>
  <si>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</si>
  <si>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</si>
  <si>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</si>
  <si>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</si>
  <si>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</si>
  <si>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</si>
  <si>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</si>
  <si>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</si>
  <si>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</si>
  <si>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</si>
  <si>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</si>
  <si>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</si>
  <si>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</si>
  <si>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</si>
  <si>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</si>
  <si>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</si>
  <si>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</si>
  <si>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</si>
  <si>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</si>
  <si>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</si>
  <si>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</si>
  <si>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</si>
  <si>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</si>
  <si>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</si>
  <si>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</si>
  <si>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</si>
  <si>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</si>
  <si>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</si>
  <si>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</si>
  <si>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</si>
  <si>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</si>
  <si>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</si>
  <si>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</si>
  <si>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</si>
  <si>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</si>
  <si>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</si>
  <si>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</si>
  <si>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</si>
  <si>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</si>
  <si>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</si>
  <si>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</si>
  <si>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</si>
  <si>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</si>
  <si>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</si>
  <si>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</si>
  <si>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</si>
  <si>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</si>
  <si>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</si>
  <si>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</si>
  <si>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</si>
  <si>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</si>
  <si>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</si>
  <si>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</si>
  <si>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</si>
  <si>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</si>
  <si>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</si>
  <si>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</si>
  <si>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</si>
  <si>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</si>
  <si>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</si>
  <si>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</si>
  <si>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</si>
  <si>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</si>
  <si>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</si>
  <si>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</si>
  <si>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</si>
  <si>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</si>
  <si>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</si>
  <si>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</si>
  <si>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</si>
  <si>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</si>
  <si>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</si>
  <si>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</si>
  <si>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</si>
  <si>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</si>
  <si>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</si>
  <si>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</si>
  <si>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</si>
  <si>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</si>
  <si>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</si>
  <si>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</si>
  <si>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</si>
  <si>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</si>
  <si>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</si>
  <si>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</si>
  <si>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</si>
  <si>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</si>
  <si>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</si>
  <si>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</si>
  <si>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</si>
  <si>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</si>
  <si>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</si>
  <si>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</si>
  <si>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</si>
  <si>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</si>
  <si>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</si>
  <si>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</si>
  <si>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</si>
  <si>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</si>
  <si>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</si>
  <si>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</si>
  <si>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</si>
  <si>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</si>
  <si>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</si>
  <si>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</si>
  <si>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</si>
  <si>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</si>
  <si>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</si>
  <si>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</si>
  <si>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</si>
  <si>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</si>
  <si>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</si>
  <si>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</si>
  <si>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</si>
  <si>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</si>
  <si>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</si>
  <si>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</si>
  <si>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</si>
  <si>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</si>
  <si>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</si>
  <si>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</si>
  <si>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</si>
  <si>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</si>
  <si>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</si>
  <si>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</si>
  <si>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</si>
  <si>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</si>
  <si>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</si>
  <si>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</si>
  <si>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</si>
  <si>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</si>
  <si>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</si>
  <si>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</si>
  <si>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</si>
  <si>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</si>
  <si>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</si>
  <si>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</si>
  <si>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</si>
  <si>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</si>
  <si>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</si>
  <si>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</si>
  <si>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</si>
  <si>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</si>
  <si>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</si>
  <si>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</si>
  <si>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</si>
  <si>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</si>
  <si>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</si>
  <si>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</si>
  <si>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</si>
  <si>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</si>
  <si>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</si>
  <si>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</si>
  <si>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</si>
  <si>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</si>
  <si>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</si>
  <si>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</si>
  <si>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</si>
  <si>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</si>
  <si>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</si>
  <si>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</si>
  <si>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</si>
  <si>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</si>
  <si>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</si>
  <si>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</si>
  <si>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</si>
  <si>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</si>
  <si>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</si>
  <si>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</si>
  <si>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</si>
  <si>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</si>
  <si>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</si>
  <si>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</si>
  <si>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</si>
  <si>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</si>
  <si>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</si>
  <si>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</si>
  <si>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</si>
  <si>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</si>
  <si>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</si>
  <si>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</si>
  <si>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</si>
  <si>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</si>
  <si>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</si>
  <si>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</si>
  <si>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</si>
  <si>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</si>
  <si>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</si>
  <si>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</si>
  <si>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</si>
  <si>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</si>
  <si>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</si>
  <si>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</si>
  <si>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</si>
  <si>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</si>
  <si>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</si>
  <si>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</si>
  <si>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</si>
  <si>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</si>
  <si>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</si>
  <si>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</si>
  <si>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</si>
  <si>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</si>
  <si>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</si>
  <si>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</si>
  <si>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</si>
  <si>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</si>
  <si>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</si>
  <si>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</si>
  <si>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</si>
  <si>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</si>
  <si>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</si>
  <si>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</si>
  <si>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</si>
  <si>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</si>
  <si>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</si>
  <si>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</si>
  <si>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</si>
  <si>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</si>
  <si>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</si>
  <si>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</si>
  <si>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</si>
  <si>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</si>
  <si>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</si>
  <si>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</si>
  <si>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</si>
  <si>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</si>
  <si>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</si>
  <si>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</si>
  <si>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</si>
  <si>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</si>
  <si>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</si>
  <si>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</si>
  <si>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</si>
  <si>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</si>
  <si>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</si>
  <si>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</si>
  <si>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</si>
  <si>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</si>
  <si>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</si>
  <si>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</si>
  <si>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</si>
  <si>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</si>
  <si>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</si>
  <si>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</si>
  <si>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</si>
  <si>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</si>
  <si>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</si>
  <si>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</si>
  <si>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</si>
  <si>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</si>
  <si>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</si>
  <si>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</si>
  <si>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</si>
  <si>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</si>
  <si>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</si>
  <si>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</si>
  <si>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</si>
  <si>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</si>
  <si>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</si>
  <si>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</si>
  <si>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</si>
  <si>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</si>
  <si>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</si>
  <si>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</si>
  <si>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</si>
  <si>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</si>
  <si>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</si>
  <si>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</si>
  <si>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</si>
  <si>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</si>
  <si>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</si>
  <si>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</si>
  <si>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</si>
  <si>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</si>
  <si>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</si>
  <si>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</si>
  <si>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</si>
  <si>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</si>
  <si>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</si>
  <si>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</si>
  <si>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</si>
  <si>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</si>
  <si>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</si>
  <si>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</si>
  <si>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</si>
  <si>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</si>
  <si>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</si>
  <si>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</si>
  <si>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</si>
  <si>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</si>
  <si>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</si>
  <si>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</si>
  <si>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</si>
  <si>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</si>
  <si>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</si>
  <si>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</si>
  <si>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</si>
  <si>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</si>
  <si>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</si>
  <si>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</si>
  <si>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</si>
  <si>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</si>
  <si>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</si>
  <si>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</si>
  <si>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</si>
  <si>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</si>
  <si>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</si>
  <si>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</si>
  <si>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</si>
  <si>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</si>
  <si>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</si>
  <si>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</si>
  <si>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</si>
  <si>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</si>
  <si>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</si>
  <si>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</si>
  <si>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</si>
  <si>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</si>
  <si>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</si>
  <si>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</si>
  <si>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</si>
  <si>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</si>
  <si>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</si>
  <si>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</si>
  <si>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</si>
  <si>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</si>
  <si>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</si>
  <si>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</si>
  <si>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</si>
  <si>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</si>
  <si>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</si>
  <si>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</si>
  <si>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</si>
  <si>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</si>
  <si>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</si>
  <si>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</si>
  <si>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</si>
  <si>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</si>
  <si>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</si>
  <si>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</si>
  <si>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</si>
  <si>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</si>
  <si>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</si>
  <si>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</si>
  <si>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</si>
  <si>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</si>
  <si>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</si>
  <si>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</si>
  <si>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</si>
  <si>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</si>
  <si>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</si>
  <si>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</si>
  <si>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</si>
  <si>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</si>
  <si>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</si>
  <si>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</si>
  <si>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</si>
  <si>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</si>
  <si>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</si>
  <si>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</si>
  <si>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</si>
  <si>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</si>
  <si>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</si>
  <si>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</si>
  <si>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</si>
  <si>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</si>
  <si>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</si>
  <si>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</si>
  <si>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</si>
  <si>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</si>
  <si>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</si>
  <si>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</si>
  <si>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</si>
  <si>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</si>
  <si>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</si>
  <si>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</si>
  <si>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</si>
  <si>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</si>
  <si>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</si>
  <si>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</si>
  <si>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</si>
  <si>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</si>
  <si>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</si>
  <si>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</si>
  <si>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</si>
  <si>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</si>
  <si>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</si>
  <si>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</si>
  <si>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</si>
  <si>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</si>
  <si>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</si>
  <si>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</si>
  <si>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</si>
  <si>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</si>
  <si>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</si>
  <si>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</si>
  <si>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</si>
  <si>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</si>
  <si>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</si>
  <si>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</si>
  <si>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</si>
  <si>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</si>
  <si>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</si>
  <si>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</si>
  <si>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</si>
  <si>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</si>
  <si>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</si>
  <si>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</si>
  <si>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</si>
  <si>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</si>
  <si>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</si>
  <si>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</si>
  <si>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</si>
  <si>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</si>
  <si>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</si>
  <si>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</si>
  <si>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</si>
  <si>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</si>
  <si>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</si>
  <si>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</si>
  <si>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</si>
  <si>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</si>
  <si>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</si>
  <si>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</si>
  <si>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</si>
  <si>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</si>
  <si>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</si>
  <si>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</si>
  <si>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</si>
  <si>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</si>
  <si>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</si>
  <si>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</si>
  <si>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</si>
  <si>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</si>
  <si>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</si>
  <si>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</si>
  <si>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</si>
  <si>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</si>
  <si>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</si>
  <si>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</si>
  <si>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</si>
  <si>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</si>
  <si>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</si>
  <si>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</si>
  <si>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</si>
  <si>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</si>
  <si>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</si>
  <si>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</si>
  <si>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</si>
  <si>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</si>
  <si>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</si>
  <si>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</si>
  <si>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</si>
  <si>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</si>
  <si>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</si>
  <si>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</si>
  <si>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</si>
  <si>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</si>
  <si>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</si>
  <si>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</si>
  <si>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</si>
  <si>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</si>
  <si>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</si>
  <si>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</si>
  <si>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</si>
  <si>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</si>
  <si>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</si>
  <si>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</si>
  <si>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</si>
  <si>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</si>
  <si>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</si>
  <si>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</si>
  <si>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</si>
  <si>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</si>
  <si>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</si>
  <si>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</si>
  <si>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</si>
  <si>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</si>
  <si>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</si>
  <si>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</si>
  <si>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</si>
  <si>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</si>
  <si>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</si>
  <si>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</si>
  <si>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</si>
  <si>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</si>
  <si>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</si>
  <si>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</si>
  <si>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</si>
  <si>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</si>
  <si>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</si>
  <si>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</si>
  <si>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</si>
  <si>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</si>
  <si>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</si>
  <si>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</si>
  <si>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</si>
  <si>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</si>
  <si>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</si>
  <si>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</si>
  <si>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</si>
  <si>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</si>
  <si>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</si>
  <si>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</si>
  <si>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</si>
  <si>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</si>
  <si>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</si>
  <si>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</si>
  <si>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</si>
  <si>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</si>
  <si>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</si>
  <si>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</si>
  <si>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</si>
  <si>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</si>
  <si>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</si>
  <si>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</si>
  <si>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</si>
  <si>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</si>
  <si>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</si>
  <si>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</si>
  <si>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</si>
  <si>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</si>
  <si>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</si>
  <si>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</si>
  <si>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</si>
  <si>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</si>
  <si>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</si>
  <si>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</si>
  <si>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</si>
  <si>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</si>
  <si>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</si>
  <si>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</si>
  <si>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</si>
  <si>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</si>
  <si>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</si>
  <si>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</si>
  <si>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</si>
  <si>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</si>
  <si>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</si>
  <si>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</si>
  <si>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</si>
  <si>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</si>
  <si>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</si>
  <si>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</si>
  <si>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</si>
  <si>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</si>
  <si>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</si>
  <si>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</si>
  <si>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</si>
  <si>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</si>
  <si>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</si>
  <si>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</si>
  <si>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</si>
  <si>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</si>
  <si>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</si>
  <si>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</si>
  <si>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</si>
  <si>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</si>
  <si>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</si>
  <si>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</si>
  <si>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</si>
  <si>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</si>
  <si>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</si>
  <si>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</si>
  <si>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</si>
  <si>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</si>
  <si>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</si>
  <si>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</si>
  <si>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</si>
  <si>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</si>
  <si>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</si>
  <si>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</si>
  <si>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</si>
  <si>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</si>
  <si>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</si>
  <si>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</si>
  <si>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</si>
  <si>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</si>
  <si>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</si>
  <si>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</si>
  <si>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</si>
  <si>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</si>
  <si>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</si>
  <si>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</si>
  <si>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</si>
  <si>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</si>
  <si>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</si>
  <si>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</si>
  <si>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</si>
  <si>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</si>
  <si>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</si>
  <si>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</si>
  <si>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</si>
  <si>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</si>
  <si>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</si>
  <si>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</si>
  <si>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</si>
  <si>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</si>
  <si>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</si>
  <si>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</si>
  <si>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</si>
  <si>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</si>
  <si>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</si>
  <si>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</si>
  <si>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</si>
  <si>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</si>
  <si>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</si>
  <si>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</si>
  <si>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</si>
  <si>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</si>
  <si>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</si>
  <si>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</si>
  <si>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</si>
  <si>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</si>
  <si>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</si>
  <si>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</si>
  <si>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</si>
  <si>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</si>
  <si>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</si>
  <si>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</si>
  <si>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</si>
  <si>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</si>
  <si>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</si>
  <si>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</si>
  <si>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</si>
  <si>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</si>
  <si>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</si>
  <si>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</si>
  <si>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</si>
  <si>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</si>
  <si>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</si>
  <si>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</si>
  <si>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</si>
  <si>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</si>
  <si>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</si>
  <si>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</si>
  <si>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</si>
  <si>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</si>
  <si>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</si>
  <si>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</si>
  <si>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</si>
  <si>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</si>
  <si>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</si>
  <si>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</si>
  <si>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</si>
  <si>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</si>
  <si>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</si>
  <si>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</si>
  <si>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</si>
  <si>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</si>
  <si>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</si>
  <si>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</si>
  <si>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</si>
  <si>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</si>
  <si>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</si>
  <si>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</si>
  <si>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</si>
  <si>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</si>
  <si>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</si>
  <si>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</si>
  <si>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</si>
  <si>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</si>
  <si>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</si>
  <si>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</si>
  <si>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</si>
  <si>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</si>
  <si>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</si>
  <si>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</si>
  <si>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</si>
  <si>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</si>
  <si>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</si>
  <si>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</si>
  <si>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</si>
  <si>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</si>
  <si>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</si>
  <si>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</si>
  <si>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</si>
  <si>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</si>
  <si>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</si>
  <si>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</si>
  <si>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</si>
  <si>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</si>
  <si>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</si>
  <si>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</si>
  <si>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</si>
  <si>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</si>
  <si>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</si>
  <si>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</si>
  <si>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</si>
  <si>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</si>
  <si>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</si>
  <si>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</si>
  <si>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</si>
  <si>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</si>
  <si>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</si>
  <si>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</si>
  <si>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</si>
  <si>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</si>
  <si>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</si>
  <si>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</si>
  <si>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</si>
  <si>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</si>
  <si>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</si>
  <si>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</si>
  <si>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</si>
  <si>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</si>
  <si>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</si>
  <si>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</si>
  <si>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</si>
  <si>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</si>
  <si>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</si>
  <si>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</si>
  <si>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</si>
  <si>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</si>
  <si>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</si>
  <si>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</si>
  <si>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</si>
  <si>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</si>
  <si>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</si>
  <si>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</si>
  <si>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</si>
  <si>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</si>
  <si>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</si>
  <si>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</si>
  <si>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</si>
  <si>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</si>
  <si>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</si>
  <si>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</si>
  <si>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</si>
  <si>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</si>
  <si>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</si>
  <si>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</si>
  <si>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</si>
  <si>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</si>
  <si>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</si>
  <si>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</si>
  <si>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</si>
  <si>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</si>
  <si>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</si>
  <si>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</si>
  <si>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</si>
  <si>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</si>
  <si>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</si>
  <si>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</si>
  <si>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</si>
  <si>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</si>
  <si>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</si>
  <si>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</si>
  <si>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</si>
  <si>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</si>
  <si>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</si>
  <si>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</si>
  <si>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</si>
  <si>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</si>
  <si>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</si>
  <si>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</si>
  <si>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</si>
  <si>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</si>
  <si>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</si>
  <si>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</si>
  <si>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</si>
  <si>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</si>
  <si>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</si>
  <si>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</si>
  <si>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</si>
  <si>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</si>
  <si>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</si>
  <si>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</si>
  <si>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</si>
  <si>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</si>
  <si>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</si>
  <si>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</si>
  <si>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</si>
  <si>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</si>
  <si>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</si>
  <si>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</si>
  <si>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</si>
  <si>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</si>
  <si>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</si>
  <si>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</si>
  <si>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</si>
  <si>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</si>
  <si>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</si>
  <si>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</si>
  <si>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</si>
  <si>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</si>
  <si>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</si>
  <si>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</si>
  <si>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</si>
  <si>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</si>
  <si>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</si>
  <si>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</si>
  <si>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</si>
  <si>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</si>
  <si>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</si>
  <si>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</si>
  <si>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</si>
  <si>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</si>
  <si>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</si>
  <si>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</si>
  <si>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</si>
  <si>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</si>
  <si>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</si>
  <si>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</si>
  <si>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</si>
  <si>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</si>
  <si>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</si>
  <si>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</si>
  <si>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</si>
  <si>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</si>
  <si>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</si>
  <si>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</si>
  <si>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</si>
  <si>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</si>
  <si>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</si>
  <si>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</si>
  <si>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</si>
  <si>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</si>
  <si>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</si>
  <si>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</si>
  <si>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</si>
  <si>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</si>
  <si>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</si>
  <si>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</si>
  <si>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</si>
  <si>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</si>
  <si>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</si>
  <si>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</si>
  <si>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</si>
  <si>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</si>
  <si>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</si>
  <si>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</si>
  <si>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</si>
  <si>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</si>
  <si>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</si>
  <si>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</si>
  <si>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</si>
  <si>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</si>
  <si>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</si>
  <si>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</si>
  <si>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</si>
  <si>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</si>
  <si>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</si>
  <si>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</si>
  <si>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</si>
  <si>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</si>
  <si>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</si>
  <si>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</si>
  <si>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</si>
  <si>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</si>
  <si>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</si>
  <si>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</si>
  <si>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</si>
  <si>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</si>
  <si>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</si>
  <si>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</si>
  <si>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</si>
  <si>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</si>
  <si>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</si>
  <si>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</si>
  <si>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</si>
  <si>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</si>
  <si>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</si>
  <si>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</si>
  <si>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</si>
  <si>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</si>
  <si>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</si>
  <si>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</si>
  <si>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</si>
  <si>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</si>
  <si>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</si>
  <si>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</si>
  <si>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</si>
  <si>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</si>
  <si>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</si>
  <si>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</si>
  <si>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</si>
  <si>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</si>
  <si>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</si>
  <si>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</si>
  <si>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</si>
  <si>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</si>
  <si>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</si>
  <si>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</si>
  <si>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</si>
  <si>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</si>
  <si>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</si>
  <si>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</si>
  <si>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</si>
  <si>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</si>
  <si>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</si>
  <si>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</si>
  <si>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</si>
  <si>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</si>
  <si>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</si>
  <si>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</si>
  <si>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</si>
  <si>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</si>
  <si>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</si>
  <si>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</si>
  <si>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</si>
  <si>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</si>
  <si>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</si>
  <si>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</si>
  <si>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</si>
  <si>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</si>
  <si>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</si>
  <si>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</si>
  <si>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</si>
  <si>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</si>
  <si>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</si>
  <si>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</si>
  <si>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</si>
  <si>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</si>
  <si>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</si>
  <si>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</si>
  <si>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</si>
  <si>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</si>
  <si>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</si>
  <si>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</si>
  <si>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</si>
  <si>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</si>
  <si>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</si>
  <si>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</si>
  <si>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</si>
  <si>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</si>
  <si>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</si>
  <si>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</si>
  <si>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</si>
  <si>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</si>
  <si>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</si>
  <si>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</si>
  <si>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</si>
  <si>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</si>
  <si>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</si>
  <si>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</si>
  <si>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</si>
  <si>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</si>
  <si>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</si>
  <si>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</si>
  <si>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</si>
  <si>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</si>
  <si>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</si>
  <si>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</si>
  <si>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</si>
  <si>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</si>
  <si>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</si>
  <si>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</si>
  <si>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</si>
  <si>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</si>
  <si>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</si>
  <si>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</si>
  <si>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</si>
  <si>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</si>
  <si>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</si>
  <si>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</si>
  <si>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</si>
  <si>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</si>
  <si>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</si>
  <si>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</si>
  <si>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</si>
  <si>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</si>
  <si>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</si>
  <si>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</si>
  <si>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</si>
  <si>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</si>
  <si>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</si>
  <si>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</si>
  <si>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</si>
  <si>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</si>
  <si>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</si>
  <si>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</si>
  <si>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</si>
  <si>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</si>
  <si>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</si>
  <si>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</si>
  <si>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</si>
  <si>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</si>
  <si>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</si>
  <si>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</si>
  <si>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</si>
  <si>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</si>
  <si>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</si>
  <si>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</si>
  <si>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</si>
  <si>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</si>
  <si>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</si>
  <si>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</si>
  <si>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</si>
  <si>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</si>
  <si>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</si>
  <si>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</si>
  <si>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</si>
  <si>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</si>
  <si>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</si>
  <si>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</si>
  <si>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</si>
  <si>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</si>
  <si>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</si>
  <si>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</si>
  <si>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</si>
  <si>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</si>
  <si>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</si>
  <si>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</si>
  <si>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</si>
  <si>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</si>
  <si>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</si>
  <si>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</si>
  <si>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</si>
  <si>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</si>
  <si>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</si>
  <si>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</si>
  <si>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</si>
  <si>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</si>
  <si>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</si>
  <si>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</si>
  <si>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</si>
  <si>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</si>
  <si>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</si>
  <si>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</si>
  <si>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</si>
  <si>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</si>
  <si>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</si>
  <si>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</si>
  <si>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</si>
  <si>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</si>
  <si>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</si>
  <si>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</si>
  <si>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</si>
  <si>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</si>
  <si>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</si>
  <si>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</si>
  <si>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</si>
  <si>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</si>
  <si>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</si>
  <si>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</si>
  <si>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</si>
  <si>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</si>
  <si>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</si>
  <si>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</si>
  <si>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</si>
  <si>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</si>
  <si>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</si>
  <si>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</si>
  <si>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</si>
  <si>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</si>
  <si>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</si>
  <si>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</si>
  <si>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</si>
  <si>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</si>
  <si>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</si>
  <si>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</si>
  <si>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</si>
  <si>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</si>
  <si>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</si>
  <si>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</si>
  <si>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</si>
  <si>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</si>
  <si>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</si>
  <si>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</si>
  <si>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</si>
  <si>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</si>
  <si>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</si>
  <si>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</si>
  <si>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</si>
  <si>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</si>
  <si>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</si>
  <si>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</si>
  <si>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</si>
  <si>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</si>
  <si>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</si>
  <si>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</si>
  <si>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</si>
  <si>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</si>
  <si>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</si>
  <si>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</si>
  <si>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</si>
  <si>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</si>
  <si>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</si>
  <si>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</si>
  <si>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</si>
  <si>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</si>
  <si>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</si>
  <si>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</si>
  <si>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</si>
  <si>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</si>
  <si>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</si>
  <si>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</si>
  <si>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</si>
  <si>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</si>
  <si>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</si>
  <si>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</si>
  <si>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</si>
  <si>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</si>
  <si>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</si>
  <si>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</si>
  <si>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</si>
  <si>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</si>
  <si>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</si>
  <si>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</si>
  <si>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</si>
  <si>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</si>
  <si>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</si>
  <si>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</si>
  <si>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</si>
  <si>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</si>
  <si>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</si>
  <si>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</si>
  <si>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</si>
  <si>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</si>
  <si>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</si>
  <si>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</si>
  <si>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</si>
  <si>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</si>
  <si>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</si>
  <si>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</si>
  <si>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</si>
  <si>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</si>
  <si>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</si>
  <si>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</si>
  <si>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</si>
  <si>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</si>
  <si>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</si>
  <si>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</si>
  <si>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</si>
  <si>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</si>
  <si>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</si>
  <si>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</si>
  <si>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</si>
  <si>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</si>
  <si>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</si>
  <si>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</si>
  <si>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</si>
  <si>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</si>
  <si>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</si>
  <si>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</si>
  <si>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</si>
  <si>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</si>
  <si>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</si>
  <si>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</si>
  <si>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</si>
  <si>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</si>
  <si>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</si>
  <si>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</si>
  <si>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</si>
  <si>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</si>
  <si>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</si>
  <si>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</si>
  <si>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</si>
  <si>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</si>
  <si>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</si>
  <si>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</si>
  <si>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</si>
  <si>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</si>
  <si>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</si>
  <si>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</si>
  <si>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</si>
  <si>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</si>
  <si>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</si>
  <si>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</si>
  <si>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</si>
  <si>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</si>
  <si>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</si>
  <si>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</si>
  <si>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</si>
  <si>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</si>
  <si>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</si>
  <si>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</si>
  <si>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</si>
  <si>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</si>
  <si>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</si>
  <si>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</si>
  <si>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</si>
  <si>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</si>
  <si>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</si>
  <si>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</si>
  <si>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</si>
  <si>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</si>
  <si>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</si>
  <si>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</si>
  <si>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</si>
  <si>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</si>
  <si>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</si>
  <si>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</si>
  <si>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</si>
  <si>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</si>
  <si>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</si>
  <si>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</si>
  <si>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</si>
  <si>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</si>
  <si>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</si>
  <si>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</si>
  <si>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</si>
  <si>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</si>
  <si>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</si>
  <si>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</si>
  <si>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</si>
  <si>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</si>
  <si>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</si>
  <si>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</si>
  <si>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</si>
  <si>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</si>
  <si>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</si>
  <si>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</si>
  <si>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</si>
  <si>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</si>
  <si>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</si>
  <si>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</si>
  <si>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</si>
  <si>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</si>
  <si>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</si>
  <si>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</si>
  <si>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</si>
  <si>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</si>
  <si>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</si>
  <si>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</si>
  <si>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</si>
  <si>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</si>
  <si>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</si>
  <si>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</si>
  <si>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</si>
  <si>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</si>
  <si>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</si>
  <si>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</si>
  <si>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</si>
  <si>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</si>
  <si>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</si>
  <si>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</si>
  <si>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</si>
  <si>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</si>
  <si>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</si>
  <si>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</si>
  <si>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</si>
  <si>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</si>
  <si>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</si>
  <si>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</si>
  <si>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</si>
  <si>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</si>
  <si>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</si>
  <si>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</si>
  <si>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</si>
  <si>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</si>
  <si>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</si>
  <si>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</si>
  <si>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</si>
  <si>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</si>
  <si>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</si>
  <si>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</si>
  <si>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</si>
  <si>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</si>
  <si>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</si>
  <si>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</si>
  <si>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</si>
  <si>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</si>
  <si>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</si>
  <si>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</si>
  <si>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</si>
  <si>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</si>
  <si>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</si>
  <si>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</si>
  <si>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</si>
  <si>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</si>
  <si>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</si>
  <si>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</si>
  <si>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</si>
  <si>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</si>
  <si>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</si>
  <si>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</si>
  <si>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</si>
  <si>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</si>
  <si>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</si>
  <si>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</si>
  <si>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</si>
  <si>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</si>
  <si>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</si>
  <si>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</si>
  <si>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</si>
  <si>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</si>
  <si>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</si>
  <si>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</si>
  <si>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</si>
  <si>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</si>
  <si>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</si>
  <si>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</si>
  <si>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</si>
  <si>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</si>
  <si>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</si>
  <si>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</si>
  <si>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</si>
  <si>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</si>
  <si>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</si>
  <si>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</si>
  <si>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</si>
  <si>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</si>
  <si>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</si>
  <si>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</si>
  <si>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</si>
  <si>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</si>
  <si>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</si>
  <si>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</si>
  <si>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</si>
  <si>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</si>
  <si>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</si>
  <si>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</si>
  <si>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</si>
  <si>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</si>
  <si>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</si>
  <si>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</si>
  <si>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</si>
  <si>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</si>
  <si>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</si>
  <si>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</si>
  <si>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</si>
  <si>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</si>
  <si>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</si>
  <si>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</si>
  <si>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</si>
  <si>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</si>
  <si>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</si>
  <si>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</si>
  <si>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</si>
  <si>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</si>
  <si>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</si>
  <si>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</si>
  <si>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</si>
  <si>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</si>
  <si>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</si>
  <si>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</si>
  <si>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</si>
  <si>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</si>
  <si>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</si>
  <si>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</si>
  <si>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</si>
  <si>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</si>
  <si>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</si>
  <si>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</si>
  <si>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</si>
  <si>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</si>
  <si>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</si>
  <si>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</si>
  <si>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</si>
  <si>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</si>
  <si>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</si>
  <si>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</si>
  <si>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</si>
  <si>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</si>
  <si>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</si>
  <si>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</si>
  <si>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</si>
  <si>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</si>
  <si>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</si>
  <si>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</si>
  <si>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</si>
  <si>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</si>
  <si>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</si>
  <si>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</si>
  <si>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</si>
  <si>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</si>
  <si>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</si>
  <si>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</si>
  <si>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</si>
  <si>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</si>
  <si>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</si>
  <si>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</si>
  <si>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</si>
  <si>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</si>
  <si>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</si>
  <si>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</si>
  <si>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</si>
  <si>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</si>
  <si>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</si>
  <si>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</si>
  <si>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</si>
  <si>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</si>
  <si>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</si>
  <si>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</si>
  <si>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</si>
  <si>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</si>
  <si>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</si>
  <si>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</si>
  <si>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</si>
  <si>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</si>
  <si>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</si>
  <si>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</si>
  <si>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</si>
  <si>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</si>
  <si>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</si>
  <si>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</si>
  <si>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</si>
  <si>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</si>
  <si>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</si>
  <si>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</si>
  <si>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</si>
  <si>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</si>
  <si>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</si>
  <si>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</si>
  <si>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</si>
  <si>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</si>
  <si>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</si>
  <si>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</si>
  <si>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</si>
  <si>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</si>
  <si>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</si>
  <si>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</si>
  <si>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</si>
  <si>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</si>
  <si>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</si>
  <si>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</si>
  <si>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</si>
  <si>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</si>
  <si>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</si>
  <si>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</si>
  <si>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</si>
  <si>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</si>
  <si>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</si>
  <si>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</si>
  <si>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</si>
  <si>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</si>
  <si>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</si>
  <si>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</si>
  <si>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</si>
  <si>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</si>
  <si>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</si>
  <si>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</si>
  <si>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</si>
  <si>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</si>
  <si>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</si>
  <si>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</si>
  <si>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</si>
  <si>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</si>
  <si>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</si>
  <si>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</si>
  <si>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</si>
  <si>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</si>
  <si>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</si>
  <si>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</si>
  <si>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</si>
  <si>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</si>
  <si>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</si>
  <si>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</si>
  <si>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</si>
  <si>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</si>
  <si>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</si>
  <si>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</si>
  <si>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</si>
  <si>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</si>
  <si>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</si>
  <si>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</si>
  <si>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</si>
  <si>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</si>
  <si>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</si>
  <si>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</si>
  <si>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</si>
  <si>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</si>
  <si>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</si>
  <si>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</si>
  <si>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</si>
  <si>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</si>
  <si>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</si>
  <si>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</si>
  <si>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</si>
  <si>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</si>
  <si>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</si>
  <si>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</si>
  <si>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</si>
  <si>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</si>
  <si>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</si>
  <si>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</si>
  <si>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</si>
  <si>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</si>
  <si>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</si>
  <si>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</si>
  <si>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</si>
  <si>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</si>
  <si>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</si>
  <si>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</si>
  <si>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</si>
  <si>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</si>
  <si>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</si>
  <si>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</si>
  <si>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</si>
  <si>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</si>
  <si>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</si>
  <si>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</si>
  <si>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</si>
  <si>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</si>
  <si>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</si>
  <si>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</si>
  <si>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</si>
  <si>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</si>
  <si>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</si>
  <si>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</si>
  <si>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</si>
  <si>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</si>
  <si>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</si>
  <si>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</si>
  <si>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</si>
  <si>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</si>
  <si>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</si>
  <si>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</si>
  <si>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</si>
  <si>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</si>
  <si>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</si>
  <si>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</si>
  <si>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</si>
  <si>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</si>
  <si>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</si>
  <si>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</si>
  <si>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</si>
  <si>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</si>
  <si>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</si>
  <si>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</si>
  <si>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</si>
  <si>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</si>
  <si>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</si>
  <si>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</si>
  <si>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</si>
  <si>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</si>
  <si>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</si>
  <si>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</si>
  <si>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</si>
  <si>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</si>
  <si>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</si>
  <si>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</si>
  <si>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</si>
  <si>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</si>
  <si>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</si>
  <si>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</si>
  <si>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</si>
  <si>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Massac</t>
  </si>
  <si>
    <t>401 Metropolis Street</t>
  </si>
  <si>
    <t>Metropolis</t>
  </si>
  <si>
    <t>dmccabe@massac.org</t>
  </si>
  <si>
    <t>Beussink, Hey, Roe &amp; Stroder, L.L.C.</t>
  </si>
  <si>
    <t>Jeffrey C. Stroder, CPA</t>
  </si>
  <si>
    <t>16 South Silver Springs Road</t>
  </si>
  <si>
    <t>Cape Girardeau</t>
  </si>
  <si>
    <t>MO</t>
  </si>
  <si>
    <t>573-334-7971</t>
  </si>
  <si>
    <t>573-334-8875</t>
  </si>
  <si>
    <t>066-003889</t>
  </si>
  <si>
    <t>jstroder@bhrcpas.com</t>
  </si>
  <si>
    <t>QZAB BONDS</t>
  </si>
  <si>
    <t>Qualified Zone Academy Bonds</t>
  </si>
  <si>
    <t>GENERAL OBLIGATION REFUNDING SCHOOL BONDS, SERIES 2011</t>
  </si>
  <si>
    <t>GENERAL OBLIGATION REFUNDING SCHOOL BONDS, SERIES 2016</t>
  </si>
  <si>
    <t>Assured Partner NL, LLC</t>
  </si>
  <si>
    <t>Berkshire Hathaway</t>
  </si>
  <si>
    <t>O&amp;M-O&amp;M of Plant Services-Purchased Services</t>
  </si>
  <si>
    <t>20-2540-300</t>
  </si>
  <si>
    <t>Clearwave</t>
  </si>
  <si>
    <t>ED-Food Service-Supplies &amp; Materials</t>
  </si>
  <si>
    <t>Domino's Pizza</t>
  </si>
  <si>
    <t>10-2560-400</t>
  </si>
  <si>
    <t>40-2550-300</t>
  </si>
  <si>
    <t>Durham School Services</t>
  </si>
  <si>
    <t>Helping Hands OT Services, LLC</t>
  </si>
  <si>
    <t>Kohl Wholesale</t>
  </si>
  <si>
    <t>Mic Wright Specialty</t>
  </si>
  <si>
    <t>Powerschool Group, LLC</t>
  </si>
  <si>
    <t>Prairie Farms Dairy, Inc.</t>
  </si>
  <si>
    <t>Triangle Enterprises, Inc.</t>
  </si>
  <si>
    <t>Tueth, Keeney, Cooper</t>
  </si>
  <si>
    <t>shared service - Five County Regional Vocational System</t>
  </si>
  <si>
    <t>U.S. DEPARTMENT OF AGRICULTURE</t>
  </si>
  <si>
    <t>Passed Through the Illinois State Board of Education</t>
  </si>
  <si>
    <t xml:space="preserve">  School Breakfast Program (M)</t>
  </si>
  <si>
    <t xml:space="preserve">    Total for CFDA Number 10.553</t>
  </si>
  <si>
    <t xml:space="preserve">  National School Lunch Program (M)</t>
  </si>
  <si>
    <t xml:space="preserve">  Commodities (Non-Cash) (M)</t>
  </si>
  <si>
    <t xml:space="preserve">  Dept. of Defense Fresh Fruits and Vegetables (M)</t>
  </si>
  <si>
    <t xml:space="preserve">   Total for CFDA Number 10.555</t>
  </si>
  <si>
    <t>Total Child Nutrition Cluster(CFDA Numbers 10.553 and 10.555)</t>
  </si>
  <si>
    <t>17-4220</t>
  </si>
  <si>
    <t>17-4210</t>
  </si>
  <si>
    <t>N/A - 17</t>
  </si>
  <si>
    <t>18-4220</t>
  </si>
  <si>
    <t>18-4210</t>
  </si>
  <si>
    <t>N/A -17</t>
  </si>
  <si>
    <t>N/A -18</t>
  </si>
  <si>
    <t>TOTAL U.S. DEPARTMENT OF AGRICULTURE</t>
  </si>
  <si>
    <t>U.S. DEPARTMENT OF EDUCATION</t>
  </si>
  <si>
    <t xml:space="preserve">  Title I : Grants to Local Education Agencies</t>
  </si>
  <si>
    <t xml:space="preserve">    Total for CFDA Number 84.010</t>
  </si>
  <si>
    <t xml:space="preserve">  Special Education - IDEA - Flow-Through (M)</t>
  </si>
  <si>
    <t xml:space="preserve">     Total for CFDA Number 84.027</t>
  </si>
  <si>
    <t>17-4300</t>
  </si>
  <si>
    <t>17-4620</t>
  </si>
  <si>
    <t>18-4300</t>
  </si>
  <si>
    <t>18-4620</t>
  </si>
  <si>
    <t>17-4625</t>
  </si>
  <si>
    <t xml:space="preserve">  Special Education - Pre-School - Flow (M)</t>
  </si>
  <si>
    <t xml:space="preserve">    Total for CFDA Number 84.173</t>
  </si>
  <si>
    <t>Total Special Education Cluster IDEA (CFDA Numbers 84.027 and 84.173)</t>
  </si>
  <si>
    <t xml:space="preserve">  Title IV Rural Education</t>
  </si>
  <si>
    <t xml:space="preserve">    Total for CFDA Numberd 84.358</t>
  </si>
  <si>
    <t>17-4600</t>
  </si>
  <si>
    <t>17-4107</t>
  </si>
  <si>
    <t>18-4600</t>
  </si>
  <si>
    <t>18-4107</t>
  </si>
  <si>
    <t xml:space="preserve">  Improving Teacher Quality State Grants</t>
  </si>
  <si>
    <t xml:space="preserve">     Total for CFDA Number 84.367</t>
  </si>
  <si>
    <t>TOTAL U.S. DEPARTMENT OF EDUCATION</t>
  </si>
  <si>
    <t>U.S. DEPARTMENT OF HEALTH &amp; HUMAN SERVICES</t>
  </si>
  <si>
    <t>Passed Through the IL Department of Healthcare &amp; Family Services</t>
  </si>
  <si>
    <t xml:space="preserve">   Medical Assistance Program</t>
  </si>
  <si>
    <t xml:space="preserve">      Total for CFDA Number 93.778</t>
  </si>
  <si>
    <t>TOTAL U.S. DEPARTMENT OF HEALTH &amp; HUMAN SERVICES</t>
  </si>
  <si>
    <t>TOTAL FEDERAL AWARDS</t>
  </si>
  <si>
    <t>17-4932</t>
  </si>
  <si>
    <t>17-4991</t>
  </si>
  <si>
    <t>18-4932</t>
  </si>
  <si>
    <t>18-4991</t>
  </si>
  <si>
    <r>
      <t xml:space="preserve">The accompanying Schedule of Expenditures of Federal Awards includes the federal grant activity of </t>
    </r>
    <r>
      <rPr>
        <b/>
        <sz val="9"/>
        <rFont val="Calibri"/>
        <family val="2"/>
        <scheme val="minor"/>
      </rPr>
      <t>Massac County Community Unit S.D.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</si>
  <si>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N/A</t>
  </si>
  <si>
    <r>
      <t xml:space="preserve">Of the federal expenditures presented in the schedule, </t>
    </r>
    <r>
      <rPr>
        <b/>
        <sz val="9"/>
        <rFont val="Calibri"/>
        <family val="2"/>
        <scheme val="minor"/>
      </rPr>
      <t>Massac County Community Unit S.D.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</si>
  <si>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Massac County Community Unit S.D.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</si>
  <si>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and 10.555</t>
  </si>
  <si>
    <t>Child Nutrition Cluster</t>
  </si>
  <si>
    <t>Adequate supporting documentation should be retained for all expenditures of the District.</t>
  </si>
  <si>
    <t>Lack of supporting documentation for expenditures incereases the risk of misuse of assets.</t>
  </si>
  <si>
    <t>There was an operational weakness in the District's internal controls over credit card purchases.  There was no documentation to support some of the credit card charges selected for testing.</t>
  </si>
  <si>
    <t>The District has controls in place requiring supporting documentation for all credit card charges.  The District didn't follow their own internal controls.</t>
  </si>
  <si>
    <t>We recommend the District follow its internal controls and require supporting documentation for all credit card charges.</t>
  </si>
  <si>
    <t>x</t>
  </si>
  <si>
    <t>Child Nutrition Cluster 2018</t>
  </si>
  <si>
    <t>18-4210 and 18-4220</t>
  </si>
  <si>
    <t>Illinois State Board of Education</t>
  </si>
  <si>
    <t>U.S. Department of Agriculture</t>
  </si>
  <si>
    <t>By December 15 of each year, the school must verify the current free and reduced price eligibility of households selected from a sample of applicants that it has approved for free and reduced price.  Applications considered error prone must be selected first for verification.</t>
  </si>
  <si>
    <t>One of the applications selected for sampling was not selected from error prone applications.  There was no confirming or verifying official's signature on three applications.  One application was marked as meeting free lunches when the income documentation actually supported meeting reduced lunches.</t>
  </si>
  <si>
    <t>None</t>
  </si>
  <si>
    <t>The District could provide benefits to ineligible children.</t>
  </si>
  <si>
    <t>For internal controls over reporting, the daily meal counts submitted to the Illinois State Board of education should be reviewed by a responsible official for accuracy prior to submission.</t>
  </si>
  <si>
    <t>Expenditures from the child nutrition cluster grant totaled $859,249 during the fiscal year ended June 30, 2018.</t>
  </si>
  <si>
    <t>Increases the risk that inaccurate counts could be submitted to the Illinois State Board of Education, leading to inaccurate benefits received.</t>
  </si>
  <si>
    <t>The District doesn't have internal controls in place requiring a responsible official to review meal count reports for accuracy.</t>
  </si>
  <si>
    <t>We recommend  the District expand their internal controls to require a responsible official to review the daily meal count reports for accuracy prior to the submission of the reports to the Illinois State Board of Education.</t>
  </si>
  <si>
    <t>2017-001</t>
  </si>
  <si>
    <t>Transfers of interest were recorded as negative</t>
  </si>
  <si>
    <t xml:space="preserve">interest income in the transferring fund and as </t>
  </si>
  <si>
    <t xml:space="preserve">interest income in the fund that received the </t>
  </si>
  <si>
    <t>transfer.  In addition, insurance proceeds were</t>
  </si>
  <si>
    <t>recorded as revenue instead of netted against</t>
  </si>
  <si>
    <t>the related expenditures for repairs.</t>
  </si>
  <si>
    <t>2017-002</t>
  </si>
  <si>
    <t>Actual expenditures of the Educational Fund</t>
  </si>
  <si>
    <t>exceeded budgetary limits by $106,986.</t>
  </si>
  <si>
    <t>2017-003</t>
  </si>
  <si>
    <t>Applications were marked as error prone and</t>
  </si>
  <si>
    <t>selected for sampling that were not actually</t>
  </si>
  <si>
    <t>error prone.</t>
  </si>
  <si>
    <t>2017-004</t>
  </si>
  <si>
    <t>Meal counts are submitted to the Illinois</t>
  </si>
  <si>
    <t>State Board of Education without review for</t>
  </si>
  <si>
    <t>accuracy by a responsible official.</t>
  </si>
  <si>
    <t>We recommend the District select from error prone applications first when conducting its verification sample.  All applications must be signed by both the confirming and verifying official.  The District should follow the USDA income eligibility guidelines when making determinations of free and reduced breakfasts and lunches.</t>
  </si>
  <si>
    <t>Page 10, Line 74</t>
  </si>
  <si>
    <t>Fund 10, Account 1690: Other Food Service</t>
  </si>
  <si>
    <t xml:space="preserve">  Regional Alternative Meals</t>
  </si>
  <si>
    <t xml:space="preserve">  Head Start Alternatives Meals</t>
  </si>
  <si>
    <t xml:space="preserve">  Various Other Misc. Income Items</t>
  </si>
  <si>
    <t>Page 11, Line 107</t>
  </si>
  <si>
    <t>Fund 10, Account 1999: Other Local Revenue</t>
  </si>
  <si>
    <t xml:space="preserve">  Activity Fund Reimbursements</t>
  </si>
  <si>
    <t xml:space="preserve">  AP Exam Fee Reimbursements</t>
  </si>
  <si>
    <t>Fund 20, Account 1999: Other Local Revenue</t>
  </si>
  <si>
    <t>Fund 40, Account 1999: Other Local Revenue</t>
  </si>
  <si>
    <t>Page 15, Line 41</t>
  </si>
  <si>
    <t>Fund 10, Account 2190: Other Support Services - Pupil</t>
  </si>
  <si>
    <t xml:space="preserve">  Extracurricular Payroll Certified</t>
  </si>
  <si>
    <t xml:space="preserve">  Extracurricular Other Payroll</t>
  </si>
  <si>
    <t xml:space="preserve">  Extracurricular Benefits</t>
  </si>
  <si>
    <t xml:space="preserve">  Driver's Ed Vehicle Rental</t>
  </si>
  <si>
    <t xml:space="preserve">  Miscellaneous</t>
  </si>
  <si>
    <t xml:space="preserve">  Special Events and Supplies</t>
  </si>
  <si>
    <t xml:space="preserve">  Dues and Fees</t>
  </si>
  <si>
    <t>Page 16, Line 56</t>
  </si>
  <si>
    <t>Fund 10, Account 2490: Other Support Services - School Admin</t>
  </si>
  <si>
    <t xml:space="preserve">  Dean of Student Salary</t>
  </si>
  <si>
    <t xml:space="preserve">  Dean of Student Benefits</t>
  </si>
  <si>
    <t>Page 16, Line 83</t>
  </si>
  <si>
    <t>Fund 10, Account 4190: Other Payments to In-State Govt. Units</t>
  </si>
  <si>
    <t>Page 19, Line 231</t>
  </si>
  <si>
    <t>Fund 50, Account 2190: Other Support Services - Pupils</t>
  </si>
  <si>
    <t>Page 20, Line 254</t>
  </si>
  <si>
    <t>Fund 50, Account 2490: Other Support Services - School Administration</t>
  </si>
  <si>
    <t>Page 18, Line 165</t>
  </si>
  <si>
    <t>Fund 30, Account 5400:  Debt Services - Other</t>
  </si>
  <si>
    <t>Page 12, Line 171</t>
  </si>
  <si>
    <t>Fund 10, Account 3999:  Other Restricted Revenue From State Sources</t>
  </si>
  <si>
    <t xml:space="preserve">  Illinois Department of Healthcare &amp; Family Services Administrative Contract</t>
  </si>
  <si>
    <t xml:space="preserve">  Incentive for LED Lighting Project at MCHS</t>
  </si>
  <si>
    <t xml:space="preserve">  State Library Grant</t>
  </si>
  <si>
    <t xml:space="preserve">  School Administration Salary</t>
  </si>
  <si>
    <t xml:space="preserve">  School Administration Benefits</t>
  </si>
  <si>
    <t xml:space="preserve">  Repayments to ISBE</t>
  </si>
  <si>
    <t xml:space="preserve">  Bond Fees</t>
  </si>
  <si>
    <t>Expenditures from the child nutrition cluster grant totaled $859,249 during the fiscal year ended June 30, 2017.  In addition, eligibility for several other grants is based on the number of students eligible for free and reduced breakfasts and lunches.</t>
  </si>
  <si>
    <t>The District has ineffective controls in place for the selection of the sample for verification and the determination of free and reduced applications.</t>
  </si>
  <si>
    <t>Meal counts are submitted to the Illinois State Board of Education without review for accuracy by a responsible official.</t>
  </si>
  <si>
    <t>Our internal controls will be followed more closely.  All required supporting documentation will be presented for all credit card charges.</t>
  </si>
  <si>
    <t>The District's internal controls have been explained to the new Food Service Director.  The meal count reports will be submitted to the Superintendent for review.</t>
  </si>
  <si>
    <t>Page 16, Line 73</t>
  </si>
  <si>
    <t>Fund 10, Account 2900: Other Support Services</t>
  </si>
  <si>
    <t>TF-General Admin-Purchased Services</t>
  </si>
  <si>
    <t>80-2300-300</t>
  </si>
  <si>
    <t>TR-Pupil Transportation -Purchased Services</t>
  </si>
  <si>
    <t>ED-Pupil-Purchased Services</t>
  </si>
  <si>
    <t>10-2100-300</t>
  </si>
  <si>
    <t>ED-School Admin-Purchased Services</t>
  </si>
  <si>
    <t>10-2400-300</t>
  </si>
  <si>
    <t>ED-General Admin-Purchased Services</t>
  </si>
  <si>
    <t>10-2300-300</t>
  </si>
  <si>
    <t>The financial statements are prepared in a format that complies with regualtory provisions prescribed by the Illinois State Board of Education, whose practices differ from accounting principles generally accepted in the United States of America.  In addition, the notes to the financial statements do not include the note disclosures required under GASB Statement No. 75 for one of the school's two defined contribution OPEB plans.</t>
  </si>
  <si>
    <r>
      <t>Reason for Adjustment</t>
    </r>
    <r>
      <rPr>
        <sz val="10"/>
        <rFont val="Calibri"/>
        <family val="2"/>
        <scheme val="minor"/>
      </rPr>
      <t>:</t>
    </r>
  </si>
  <si>
    <t>Total credit card charges for the year totaled $111,804.</t>
  </si>
  <si>
    <t>The District has employed a new Food Service Director, and she will be following the eligibility guidelines.  She has been sent to training on the verification process and will be reviewing all verifications for the District.  It has been stressed to the confirming and verifying officials how important these verifying samples is.</t>
  </si>
  <si>
    <t xml:space="preserve">                                       Implemented.</t>
  </si>
  <si>
    <t xml:space="preserve">                                      Implemented.</t>
  </si>
  <si>
    <t xml:space="preserve">                                      Not implemented.  See current year </t>
  </si>
  <si>
    <t xml:space="preserve">                                      finding 2018-002.</t>
  </si>
  <si>
    <t xml:space="preserve">                                       finding 2018-003.</t>
  </si>
  <si>
    <t xml:space="preserve"> Support &amp; Analytical Services</t>
  </si>
  <si>
    <t>Massac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</si>
</sst>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u val="doubleAccounting"/>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cellStyleXfs>
  <cellXfs count="25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54" fillId="0" borderId="0" xfId="3" applyFont="1" applyAlignment="1" applyProtection="1">
      <alignment horizontal="center" vertical="center"/>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3" fontId="11" fillId="0" borderId="22" xfId="3" applyNumberFormat="1" applyFont="1" applyBorder="1" applyAlignment="1" applyProtection="1">
      <alignment horizontal="left" vertical="center" wrapText="1"/>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1" fontId="11" fillId="0" borderId="8" xfId="3" applyNumberFormat="1" applyFont="1" applyBorder="1" applyAlignment="1" applyProtection="1">
      <alignment horizontal="center"/>
      <protection locked="0"/>
    </xf>
    <xf numFmtId="164" fontId="11" fillId="0" borderId="0" xfId="0" applyNumberFormat="1" applyFont="1"/>
    <xf numFmtId="41" fontId="0" fillId="0" borderId="0" xfId="0" applyNumberFormat="1"/>
    <xf numFmtId="42" fontId="0" fillId="0" borderId="0" xfId="0" applyNumberFormat="1"/>
    <xf numFmtId="164" fontId="0" fillId="0" borderId="0" xfId="0" applyNumberFormat="1"/>
    <xf numFmtId="41" fontId="138" fillId="0" borderId="0" xfId="0" applyNumberFormat="1" applyFont="1"/>
    <xf numFmtId="42" fontId="139" fillId="0" borderId="0" xfId="0" applyNumberFormat="1" applyFont="1"/>
    <xf numFmtId="42" fontId="138" fillId="0" borderId="0" xfId="0" applyNumberFormat="1" applyFont="1"/>
    <xf numFmtId="42" fontId="10"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_Itemization 33" xfId="20"/>
    <cellStyle name="Normal 3_Itemization 33" xfId="19"/>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2</xdr:row>
          <xdr:rowOff>19050</xdr:rowOff>
        </xdr:from>
        <xdr:to>
          <xdr:col>1</xdr:col>
          <xdr:colOff>1495425</xdr:colOff>
          <xdr:row>6</xdr:row>
          <xdr:rowOff>57150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76766454-49E2-4529-8B5E-AE2C4A946B4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B6" sqref="B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1" t="s">
        <v>425</v>
      </c>
      <c r="J1" s="2012"/>
      <c r="K1" s="2012"/>
      <c r="L1" s="2012"/>
      <c r="M1" s="2012"/>
      <c r="N1" s="2012"/>
      <c r="O1" s="2012"/>
      <c r="P1" s="2012"/>
      <c r="Q1" s="2012"/>
      <c r="R1" s="2012"/>
      <c r="S1" s="2012"/>
    </row>
    <row r="2" spans="1:28" ht="12" customHeight="1" x14ac:dyDescent="0.2">
      <c r="A2" s="47" t="s">
        <v>1683</v>
      </c>
      <c r="D2" s="48"/>
      <c r="I2" s="2013" t="s">
        <v>1036</v>
      </c>
      <c r="J2" s="2012"/>
      <c r="K2" s="2012"/>
      <c r="L2" s="2012"/>
      <c r="M2" s="2012"/>
      <c r="N2" s="2012"/>
      <c r="O2" s="2012"/>
      <c r="P2" s="2012"/>
      <c r="Q2" s="2012"/>
      <c r="R2" s="2012"/>
      <c r="S2" s="2012"/>
    </row>
    <row r="3" spans="1:28" ht="12" customHeight="1" x14ac:dyDescent="0.2">
      <c r="A3" s="155" t="s">
        <v>1684</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2169</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0"/>
      <c r="V10" s="2020"/>
      <c r="W10" s="2020"/>
      <c r="X10" s="2020"/>
      <c r="Y10" s="2020"/>
      <c r="Z10" s="2020"/>
      <c r="AA10" s="2026"/>
    </row>
    <row r="11" spans="1:28" ht="14.25" customHeight="1" x14ac:dyDescent="0.2">
      <c r="A11" s="2042" t="s">
        <v>1012</v>
      </c>
      <c r="B11" s="2043"/>
      <c r="C11" s="2043"/>
      <c r="D11" s="2043"/>
      <c r="E11" s="2043"/>
      <c r="F11" s="2043"/>
      <c r="G11" s="2043"/>
      <c r="H11" s="2044"/>
      <c r="I11" s="27"/>
      <c r="J11" s="74"/>
      <c r="K11" s="27"/>
      <c r="O11" s="148" t="s">
        <v>2073</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21061001026</v>
      </c>
      <c r="B13" s="2047"/>
      <c r="C13" s="2047"/>
      <c r="D13" s="2047"/>
      <c r="E13" s="2047"/>
      <c r="F13" s="2047"/>
      <c r="G13" s="2047"/>
      <c r="H13" s="2048"/>
      <c r="I13" s="31"/>
      <c r="J13" s="30"/>
      <c r="K13" s="28"/>
      <c r="L13" s="30"/>
      <c r="M13" s="30"/>
      <c r="N13" s="30"/>
      <c r="O13" s="30"/>
      <c r="P13" s="30"/>
      <c r="Q13" s="30"/>
      <c r="R13" s="30"/>
      <c r="S13" s="30"/>
      <c r="T13" s="2051" t="s">
        <v>2078</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1395</v>
      </c>
      <c r="U14" s="51"/>
      <c r="V14" s="51"/>
      <c r="W14" s="51"/>
      <c r="X14" s="51"/>
      <c r="Y14" s="45"/>
      <c r="Z14" s="45"/>
      <c r="AA14" s="46"/>
    </row>
    <row r="15" spans="1:28" ht="13.5" customHeight="1" x14ac:dyDescent="0.2">
      <c r="A15" s="2045" t="s">
        <v>2074</v>
      </c>
      <c r="B15" s="2049"/>
      <c r="C15" s="2049"/>
      <c r="D15" s="2049"/>
      <c r="E15" s="2049"/>
      <c r="F15" s="2049"/>
      <c r="G15" s="2049"/>
      <c r="H15" s="2050"/>
      <c r="T15" s="2055" t="s">
        <v>2079</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2269</v>
      </c>
      <c r="B17" s="2006"/>
      <c r="C17" s="2006"/>
      <c r="D17" s="2006"/>
      <c r="E17" s="2006"/>
      <c r="F17" s="2006"/>
      <c r="G17" s="2006"/>
      <c r="H17" s="2031"/>
      <c r="T17" s="2062" t="s">
        <v>2080</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1"/>
      <c r="K18" s="1981"/>
      <c r="L18" s="1981"/>
      <c r="M18" s="1981"/>
      <c r="N18" s="1981"/>
      <c r="O18" s="1981"/>
      <c r="P18" s="1981"/>
      <c r="Q18" s="1981"/>
      <c r="R18" s="1981"/>
      <c r="S18" s="1982"/>
      <c r="T18" s="85" t="s">
        <v>735</v>
      </c>
      <c r="U18" s="51"/>
      <c r="V18" s="72"/>
      <c r="W18" s="50"/>
      <c r="X18" s="85" t="s">
        <v>284</v>
      </c>
      <c r="Y18" s="81"/>
      <c r="Z18" s="159" t="s">
        <v>698</v>
      </c>
      <c r="AA18" s="46"/>
    </row>
    <row r="19" spans="1:27" ht="13.5" customHeight="1" x14ac:dyDescent="0.2">
      <c r="A19" s="2045" t="s">
        <v>2075</v>
      </c>
      <c r="B19" s="1991"/>
      <c r="C19" s="1991"/>
      <c r="D19" s="1991"/>
      <c r="E19" s="1991"/>
      <c r="F19" s="1991"/>
      <c r="G19" s="1991"/>
      <c r="H19" s="1971"/>
      <c r="I19" s="30"/>
      <c r="J19" s="99"/>
      <c r="K19" s="40"/>
      <c r="L19" s="38"/>
      <c r="M19" s="112" t="s">
        <v>333</v>
      </c>
      <c r="P19" s="27"/>
      <c r="Q19" s="27"/>
      <c r="R19" s="27"/>
      <c r="S19" s="31"/>
      <c r="T19" s="2045" t="s">
        <v>2081</v>
      </c>
      <c r="U19" s="1970"/>
      <c r="V19" s="1970"/>
      <c r="W19" s="1971"/>
      <c r="X19" s="2060" t="s">
        <v>2082</v>
      </c>
      <c r="Y19" s="2061"/>
      <c r="Z19" s="2058">
        <v>63703</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9" t="s">
        <v>2076</v>
      </c>
      <c r="B21" s="1970"/>
      <c r="C21" s="1970"/>
      <c r="D21" s="1970"/>
      <c r="E21" s="1970"/>
      <c r="F21" s="1970"/>
      <c r="G21" s="1970"/>
      <c r="H21" s="1971"/>
      <c r="I21" s="2025" t="s">
        <v>699</v>
      </c>
      <c r="J21" s="2020"/>
      <c r="K21" s="2020"/>
      <c r="L21" s="2020"/>
      <c r="M21" s="2020"/>
      <c r="N21" s="2020"/>
      <c r="O21" s="2020"/>
      <c r="P21" s="2020"/>
      <c r="Q21" s="2020"/>
      <c r="R21" s="2020"/>
      <c r="S21" s="2026"/>
      <c r="T21" s="2069" t="s">
        <v>2083</v>
      </c>
      <c r="U21" s="2070"/>
      <c r="V21" s="2070"/>
      <c r="W21" s="2070"/>
      <c r="X21" s="2075" t="s">
        <v>2084</v>
      </c>
      <c r="Y21" s="2076"/>
      <c r="Z21" s="2076"/>
      <c r="AA21" s="2077"/>
    </row>
    <row r="22" spans="1:27" ht="13.5" customHeight="1" x14ac:dyDescent="0.2">
      <c r="A22" s="87" t="s">
        <v>552</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2" t="s">
        <v>2077</v>
      </c>
      <c r="B23" s="2023"/>
      <c r="C23" s="2023"/>
      <c r="D23" s="2023"/>
      <c r="E23" s="2023"/>
      <c r="F23" s="2023"/>
      <c r="G23" s="2023"/>
      <c r="H23" s="2024"/>
      <c r="T23" s="2005" t="s">
        <v>2085</v>
      </c>
      <c r="U23" s="2068"/>
      <c r="V23" s="2068"/>
      <c r="W23" s="2068"/>
      <c r="X23" s="2072">
        <v>43434</v>
      </c>
      <c r="Y23" s="2073"/>
      <c r="Z23" s="2073"/>
      <c r="AA23" s="2074"/>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69">
        <v>62960</v>
      </c>
      <c r="B25" s="1970"/>
      <c r="C25" s="1970"/>
      <c r="D25" s="1970"/>
      <c r="E25" s="1970"/>
      <c r="F25" s="1970"/>
      <c r="G25" s="1970"/>
      <c r="H25" s="1971"/>
      <c r="I25" s="113"/>
      <c r="J25" s="1994"/>
      <c r="K25" s="1994"/>
      <c r="L25" s="1994"/>
      <c r="M25" s="1994"/>
      <c r="N25" s="1994"/>
      <c r="O25" s="1994"/>
      <c r="P25" s="1994"/>
      <c r="Q25" s="1994"/>
      <c r="R25" s="1994"/>
      <c r="S25" s="1995"/>
      <c r="T25" s="2065" t="s">
        <v>2086</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0" t="s">
        <v>1590</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1382</v>
      </c>
      <c r="G29" s="114"/>
      <c r="I29" s="54"/>
      <c r="J29" s="148" t="s">
        <v>2073</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70"/>
      <c r="R35" s="19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c r="B38" s="2006"/>
      <c r="C38" s="2006"/>
      <c r="D38" s="2006"/>
      <c r="E38" s="2006"/>
      <c r="F38" s="1970"/>
      <c r="G38" s="1970"/>
      <c r="H38" s="1971"/>
      <c r="I38" s="1998"/>
      <c r="J38" s="1999"/>
      <c r="K38" s="1999"/>
      <c r="L38" s="1999"/>
      <c r="M38" s="1999"/>
      <c r="N38" s="1999"/>
      <c r="O38" s="1999"/>
      <c r="P38" s="2000"/>
      <c r="Q38" s="2000"/>
      <c r="R38" s="2000"/>
      <c r="S38" s="2001"/>
      <c r="T38" s="2055"/>
      <c r="U38" s="1999"/>
      <c r="V38" s="1999"/>
      <c r="W38" s="1999"/>
      <c r="X38" s="2000"/>
      <c r="Y38" s="2000"/>
      <c r="Z38" s="2000"/>
      <c r="AA38" s="2001"/>
    </row>
    <row r="39" spans="1:27" ht="12" customHeight="1" x14ac:dyDescent="0.2">
      <c r="A39" s="1975" t="s">
        <v>552</v>
      </c>
      <c r="B39" s="1976"/>
      <c r="C39" s="72"/>
      <c r="D39" s="69"/>
      <c r="E39" s="69"/>
      <c r="F39" s="79"/>
      <c r="G39" s="69"/>
      <c r="H39" s="56"/>
      <c r="I39" s="1975" t="s">
        <v>552</v>
      </c>
      <c r="J39" s="1976"/>
      <c r="K39" s="1976"/>
      <c r="L39" s="1976"/>
      <c r="M39" s="1976"/>
      <c r="N39" s="67"/>
      <c r="O39" s="72"/>
      <c r="P39" s="72"/>
      <c r="Q39" s="78"/>
      <c r="R39" s="72"/>
      <c r="S39" s="56"/>
      <c r="T39" s="72" t="s">
        <v>552</v>
      </c>
      <c r="U39" s="51"/>
      <c r="V39" s="72"/>
      <c r="W39" s="50"/>
      <c r="X39" s="78"/>
      <c r="Y39" s="45"/>
      <c r="Z39" s="45"/>
      <c r="AA39" s="46"/>
    </row>
    <row r="40" spans="1:27" ht="13.5" customHeight="1" x14ac:dyDescent="0.2">
      <c r="A40" s="1983"/>
      <c r="B40" s="1984"/>
      <c r="C40" s="1985"/>
      <c r="D40" s="1985"/>
      <c r="E40" s="1985"/>
      <c r="F40" s="1986"/>
      <c r="G40" s="1986"/>
      <c r="H40" s="1987"/>
      <c r="I40" s="2008"/>
      <c r="J40" s="2009"/>
      <c r="K40" s="2009"/>
      <c r="L40" s="2009"/>
      <c r="M40" s="2009"/>
      <c r="N40" s="2009"/>
      <c r="O40" s="2009"/>
      <c r="P40" s="2009"/>
      <c r="Q40" s="2009"/>
      <c r="R40" s="2009"/>
      <c r="S40" s="2010"/>
      <c r="T40" s="2008"/>
      <c r="U40" s="2071"/>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c r="B42" s="1989"/>
      <c r="C42" s="1990"/>
      <c r="D42" s="1988"/>
      <c r="E42" s="1989"/>
      <c r="F42" s="1989"/>
      <c r="G42" s="1989"/>
      <c r="H42" s="1990"/>
      <c r="I42" s="1972"/>
      <c r="J42" s="1973"/>
      <c r="K42" s="1973"/>
      <c r="L42" s="1973"/>
      <c r="M42" s="1973"/>
      <c r="N42" s="1973"/>
      <c r="O42" s="1974"/>
      <c r="P42" s="2007"/>
      <c r="Q42" s="1973"/>
      <c r="R42" s="1973"/>
      <c r="S42" s="1974"/>
      <c r="T42" s="1972"/>
      <c r="U42" s="1973"/>
      <c r="V42" s="1973"/>
      <c r="W42" s="1974"/>
      <c r="X42" s="2007"/>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77"/>
      <c r="J44" s="1978"/>
      <c r="K44" s="1978"/>
      <c r="L44" s="1978"/>
      <c r="M44" s="1978"/>
      <c r="N44" s="1978"/>
      <c r="O44" s="1978"/>
      <c r="P44" s="1978"/>
      <c r="Q44" s="1978"/>
      <c r="R44" s="1978"/>
      <c r="S44" s="1979"/>
      <c r="T44" s="1977"/>
      <c r="U44" s="1996"/>
      <c r="V44" s="1996"/>
      <c r="W44" s="1996"/>
      <c r="X44" s="1996"/>
      <c r="Y44" s="1996"/>
      <c r="Z44" s="1978"/>
      <c r="AA44" s="197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5" sqref="A15:F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13" t="s">
        <v>1901</v>
      </c>
      <c r="B2" s="1547" t="s">
        <v>2033</v>
      </c>
      <c r="C2" s="715" t="s">
        <v>1906</v>
      </c>
      <c r="D2" s="715" t="s">
        <v>1907</v>
      </c>
      <c r="E2" s="715" t="s">
        <v>1908</v>
      </c>
      <c r="F2" s="715" t="s">
        <v>1909</v>
      </c>
    </row>
    <row r="3" spans="1:6" ht="12" customHeight="1" x14ac:dyDescent="0.2">
      <c r="A3" s="2214"/>
      <c r="B3" s="1544"/>
      <c r="C3" s="1545"/>
      <c r="D3" s="1546" t="s">
        <v>274</v>
      </c>
      <c r="E3" s="1545"/>
      <c r="F3" s="1546" t="s">
        <v>275</v>
      </c>
    </row>
    <row r="4" spans="1:6" ht="13.7" customHeight="1" x14ac:dyDescent="0.2">
      <c r="A4" s="716" t="s">
        <v>1217</v>
      </c>
      <c r="B4" s="1768">
        <f>'Revenues 9-14'!C5</f>
        <v>3756658</v>
      </c>
      <c r="C4" s="1543"/>
      <c r="D4" s="1771">
        <f>B4-C4</f>
        <v>3756658</v>
      </c>
      <c r="E4" s="1543">
        <v>3824734</v>
      </c>
      <c r="F4" s="1771">
        <f>E4-C4</f>
        <v>3824734</v>
      </c>
    </row>
    <row r="5" spans="1:6" ht="13.7" customHeight="1" x14ac:dyDescent="0.2">
      <c r="A5" s="716" t="s">
        <v>925</v>
      </c>
      <c r="B5" s="1769">
        <f>'Revenues 9-14'!D5</f>
        <v>680764</v>
      </c>
      <c r="C5" s="585"/>
      <c r="D5" s="1772">
        <f t="shared" ref="D5:D18" si="0">B5-C5</f>
        <v>680764</v>
      </c>
      <c r="E5" s="585">
        <v>727752</v>
      </c>
      <c r="F5" s="1772">
        <f>E5-C5</f>
        <v>727752</v>
      </c>
    </row>
    <row r="6" spans="1:6" ht="13.7" customHeight="1" x14ac:dyDescent="0.2">
      <c r="A6" s="716" t="s">
        <v>431</v>
      </c>
      <c r="B6" s="1769">
        <f>'Revenues 9-14'!E5</f>
        <v>705783</v>
      </c>
      <c r="C6" s="585"/>
      <c r="D6" s="1772">
        <f t="shared" si="0"/>
        <v>705783</v>
      </c>
      <c r="E6" s="585">
        <v>708033</v>
      </c>
      <c r="F6" s="1772">
        <f t="shared" ref="F6:F18" si="1">E6-C6</f>
        <v>708033</v>
      </c>
    </row>
    <row r="7" spans="1:6" ht="13.7" customHeight="1" x14ac:dyDescent="0.2">
      <c r="A7" s="716" t="s">
        <v>157</v>
      </c>
      <c r="B7" s="1769">
        <f>'Revenues 9-14'!F5</f>
        <v>272306</v>
      </c>
      <c r="C7" s="585"/>
      <c r="D7" s="1772">
        <f t="shared" si="0"/>
        <v>272306</v>
      </c>
      <c r="E7" s="585">
        <v>276673</v>
      </c>
      <c r="F7" s="1772">
        <f t="shared" si="1"/>
        <v>276673</v>
      </c>
    </row>
    <row r="8" spans="1:6" ht="13.7" customHeight="1" x14ac:dyDescent="0.2">
      <c r="A8" s="716" t="s">
        <v>1241</v>
      </c>
      <c r="B8" s="1769">
        <f>'Revenues 9-14'!G5</f>
        <v>223363</v>
      </c>
      <c r="C8" s="585"/>
      <c r="D8" s="1772">
        <f t="shared" si="0"/>
        <v>223363</v>
      </c>
      <c r="E8" s="585">
        <v>227412</v>
      </c>
      <c r="F8" s="1772">
        <f t="shared" si="1"/>
        <v>227412</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66283</v>
      </c>
      <c r="C10" s="585"/>
      <c r="D10" s="1772">
        <f t="shared" si="0"/>
        <v>66283</v>
      </c>
      <c r="E10" s="585">
        <v>67498</v>
      </c>
      <c r="F10" s="1772">
        <f t="shared" si="1"/>
        <v>67498</v>
      </c>
    </row>
    <row r="11" spans="1:6" x14ac:dyDescent="0.2">
      <c r="A11" s="716" t="s">
        <v>429</v>
      </c>
      <c r="B11" s="1769">
        <f>'Revenues 9-14'!J5</f>
        <v>467228</v>
      </c>
      <c r="C11" s="585"/>
      <c r="D11" s="1772">
        <f t="shared" si="0"/>
        <v>467228</v>
      </c>
      <c r="E11" s="585">
        <v>475702</v>
      </c>
      <c r="F11" s="1772">
        <f t="shared" si="1"/>
        <v>475702</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68090</v>
      </c>
      <c r="C13" s="585"/>
      <c r="D13" s="1772">
        <f t="shared" si="0"/>
        <v>68090</v>
      </c>
      <c r="E13" s="585">
        <v>34685</v>
      </c>
      <c r="F13" s="1772">
        <f t="shared" si="1"/>
        <v>34685</v>
      </c>
    </row>
    <row r="14" spans="1:6" ht="13.7" customHeight="1" x14ac:dyDescent="0.2">
      <c r="A14" s="716" t="s">
        <v>430</v>
      </c>
      <c r="B14" s="1769">
        <f>SUM('Revenues 9-14'!C7:D7,'Revenues 9-14'!F7:H7)</f>
        <v>0</v>
      </c>
      <c r="C14" s="585"/>
      <c r="D14" s="1772">
        <f t="shared" si="0"/>
        <v>0</v>
      </c>
      <c r="E14" s="585"/>
      <c r="F14" s="1772">
        <f t="shared" si="1"/>
        <v>0</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223363</v>
      </c>
      <c r="C16" s="585"/>
      <c r="D16" s="1772">
        <f t="shared" si="0"/>
        <v>223363</v>
      </c>
      <c r="E16" s="585">
        <v>227412</v>
      </c>
      <c r="F16" s="1772">
        <f t="shared" si="1"/>
        <v>227412</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6463838</v>
      </c>
      <c r="C19" s="1770">
        <f>SUM(C4:C18)</f>
        <v>0</v>
      </c>
      <c r="D19" s="1770">
        <f>SUM(D4:D18)</f>
        <v>6463838</v>
      </c>
      <c r="E19" s="1770">
        <f>SUM(E4:E18)</f>
        <v>6569901</v>
      </c>
      <c r="F19" s="1770">
        <f>SUM(F4:F18)</f>
        <v>6569901</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8" colorId="8" zoomScale="110" zoomScaleNormal="110" workbookViewId="0">
      <selection activeCell="A15" sqref="A15:F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722"/>
    </row>
    <row r="2" spans="1:7" ht="33.75" x14ac:dyDescent="0.2">
      <c r="A2" s="2240" t="s">
        <v>1901</v>
      </c>
      <c r="B2" s="2241"/>
      <c r="C2" s="1905" t="s">
        <v>2034</v>
      </c>
      <c r="D2" s="724" t="s">
        <v>2041</v>
      </c>
      <c r="E2" s="724" t="s">
        <v>2042</v>
      </c>
      <c r="F2" s="1905" t="s">
        <v>2035</v>
      </c>
    </row>
    <row r="3" spans="1:7" ht="15.75" customHeight="1" x14ac:dyDescent="0.2">
      <c r="A3" s="2242" t="s">
        <v>1176</v>
      </c>
      <c r="B3" s="2243"/>
      <c r="C3" s="2236"/>
      <c r="D3" s="2237"/>
      <c r="E3" s="2237"/>
      <c r="F3" s="2238"/>
    </row>
    <row r="4" spans="1:7" ht="12.75" customHeight="1" thickBot="1" x14ac:dyDescent="0.25">
      <c r="A4" s="2230" t="s">
        <v>651</v>
      </c>
      <c r="B4" s="2231"/>
      <c r="C4" s="581"/>
      <c r="D4" s="581"/>
      <c r="E4" s="581"/>
      <c r="F4" s="1774">
        <f>SUM(C4+D4)-E4</f>
        <v>0</v>
      </c>
    </row>
    <row r="5" spans="1:7" ht="15.75" customHeight="1" thickTop="1" x14ac:dyDescent="0.2">
      <c r="A5" s="2234" t="s">
        <v>1172</v>
      </c>
      <c r="B5" s="2229"/>
      <c r="C5" s="2223"/>
      <c r="D5" s="2224"/>
      <c r="E5" s="2224"/>
      <c r="F5" s="2225"/>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26" t="s">
        <v>652</v>
      </c>
      <c r="B15" s="2227"/>
      <c r="C15" s="1774">
        <f>SUM(C6:C14)</f>
        <v>0</v>
      </c>
      <c r="D15" s="1774">
        <f>SUM(D6:D14)</f>
        <v>0</v>
      </c>
      <c r="E15" s="1774">
        <f>SUM(E6:E14)</f>
        <v>0</v>
      </c>
      <c r="F15" s="1774">
        <f>SUM(F6:F14)</f>
        <v>0</v>
      </c>
      <c r="G15" s="552"/>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727"/>
      <c r="D17" s="585"/>
      <c r="E17" s="727"/>
      <c r="F17" s="1774">
        <f>SUM(C17+D17)-E17</f>
        <v>0</v>
      </c>
    </row>
    <row r="18" spans="1:11" ht="12.75" customHeight="1" thickTop="1" thickBot="1" x14ac:dyDescent="0.25">
      <c r="A18" s="2221" t="s">
        <v>6</v>
      </c>
      <c r="B18" s="2222"/>
      <c r="C18" s="727"/>
      <c r="D18" s="585"/>
      <c r="E18" s="727"/>
      <c r="F18" s="1774">
        <f>SUM(C18+D18)-E18</f>
        <v>0</v>
      </c>
    </row>
    <row r="19" spans="1:11" ht="12.75" customHeight="1" thickTop="1" thickBot="1" x14ac:dyDescent="0.25">
      <c r="A19" s="2221" t="s">
        <v>406</v>
      </c>
      <c r="B19" s="2222"/>
      <c r="C19" s="727"/>
      <c r="D19" s="585"/>
      <c r="E19" s="727"/>
      <c r="F19" s="1774">
        <f>SUM(C19+D19)-E19</f>
        <v>0</v>
      </c>
    </row>
    <row r="20" spans="1:11" ht="12.75" customHeight="1" thickTop="1" thickBot="1" x14ac:dyDescent="0.25">
      <c r="A20" s="2221" t="s">
        <v>468</v>
      </c>
      <c r="B20" s="2222"/>
      <c r="C20" s="727"/>
      <c r="D20" s="585"/>
      <c r="E20" s="727"/>
      <c r="F20" s="1774">
        <f>SUM(C20+D20)-E20</f>
        <v>0</v>
      </c>
    </row>
    <row r="21" spans="1:11" ht="14.25" thickTop="1" thickBot="1" x14ac:dyDescent="0.25">
      <c r="A21" s="2226" t="s">
        <v>653</v>
      </c>
      <c r="B21" s="2227"/>
      <c r="C21" s="1774">
        <f>SUM(C17:C20)</f>
        <v>0</v>
      </c>
      <c r="D21" s="1774">
        <f>SUM(D17:D20)</f>
        <v>0</v>
      </c>
      <c r="E21" s="1774">
        <f>SUM(E17:E20)</f>
        <v>0</v>
      </c>
      <c r="F21" s="1774">
        <f>SUM(F17:F20)</f>
        <v>0</v>
      </c>
      <c r="G21" s="552"/>
    </row>
    <row r="22" spans="1:11" ht="15.75" customHeight="1" thickTop="1" x14ac:dyDescent="0.2">
      <c r="A22" s="2228" t="s">
        <v>1174</v>
      </c>
      <c r="B22" s="2229"/>
      <c r="C22" s="2223"/>
      <c r="D22" s="2224"/>
      <c r="E22" s="2224"/>
      <c r="F22" s="2225"/>
    </row>
    <row r="23" spans="1:11" ht="13.5" thickBot="1" x14ac:dyDescent="0.25">
      <c r="A23" s="2230" t="s">
        <v>654</v>
      </c>
      <c r="B23" s="2231"/>
      <c r="C23" s="581"/>
      <c r="D23" s="581"/>
      <c r="E23" s="581"/>
      <c r="F23" s="1774">
        <f>SUM(C23+D23)-E23</f>
        <v>0</v>
      </c>
      <c r="G23" s="552"/>
    </row>
    <row r="24" spans="1:11" ht="15.75" customHeight="1" thickTop="1" x14ac:dyDescent="0.2">
      <c r="A24" s="2228" t="s">
        <v>1175</v>
      </c>
      <c r="B24" s="2229"/>
      <c r="C24" s="2223"/>
      <c r="D24" s="2224"/>
      <c r="E24" s="2224"/>
      <c r="F24" s="2225"/>
    </row>
    <row r="25" spans="1:11" ht="13.5" thickBot="1" x14ac:dyDescent="0.25">
      <c r="A25" s="2230" t="s">
        <v>655</v>
      </c>
      <c r="B25" s="2231"/>
      <c r="C25" s="581"/>
      <c r="D25" s="581"/>
      <c r="E25" s="581"/>
      <c r="F25" s="1774">
        <f>SUM(C25+D25)-E25</f>
        <v>0</v>
      </c>
      <c r="G25" s="552"/>
    </row>
    <row r="26" spans="1:11" ht="15.75" customHeight="1" thickTop="1" x14ac:dyDescent="0.2">
      <c r="A26" s="2234" t="s">
        <v>678</v>
      </c>
      <c r="B26" s="2229"/>
      <c r="C26" s="728"/>
      <c r="D26" s="728"/>
      <c r="E26" s="728"/>
      <c r="F26" s="729"/>
    </row>
    <row r="27" spans="1:11" ht="13.5" thickBot="1" x14ac:dyDescent="0.25">
      <c r="A27" s="2226" t="s">
        <v>1130</v>
      </c>
      <c r="B27" s="2227"/>
      <c r="C27" s="585"/>
      <c r="D27" s="585"/>
      <c r="E27" s="585"/>
      <c r="F27" s="1774">
        <f>SUM(C27+D27)-E27</f>
        <v>0</v>
      </c>
      <c r="G27" s="552"/>
    </row>
    <row r="28" spans="1:11" ht="7.5" customHeight="1" thickTop="1" x14ac:dyDescent="0.2">
      <c r="A28" s="594"/>
    </row>
    <row r="29" spans="1:11" ht="23.25" customHeight="1" x14ac:dyDescent="0.2">
      <c r="A29" s="2232" t="s">
        <v>603</v>
      </c>
      <c r="B29" s="2233"/>
      <c r="C29" s="730"/>
      <c r="D29" s="730"/>
      <c r="E29" s="730"/>
      <c r="F29" s="730"/>
      <c r="G29" s="730"/>
      <c r="H29" s="730"/>
      <c r="I29" s="730"/>
      <c r="J29" s="730"/>
    </row>
    <row r="30" spans="1:11" ht="33.75" x14ac:dyDescent="0.2">
      <c r="A30" s="1548" t="s">
        <v>1131</v>
      </c>
      <c r="B30" s="731" t="s">
        <v>1186</v>
      </c>
      <c r="C30" s="1906" t="s">
        <v>604</v>
      </c>
      <c r="D30" s="1906" t="s">
        <v>1771</v>
      </c>
      <c r="E30" s="1906" t="s">
        <v>2036</v>
      </c>
      <c r="F30" s="1906" t="s">
        <v>2037</v>
      </c>
      <c r="G30" s="1906" t="s">
        <v>2040</v>
      </c>
      <c r="H30" s="1906" t="s">
        <v>2038</v>
      </c>
      <c r="I30" s="1906" t="s">
        <v>2039</v>
      </c>
      <c r="J30" s="1907" t="s">
        <v>2</v>
      </c>
      <c r="K30" s="732"/>
    </row>
    <row r="31" spans="1:11" ht="12" customHeight="1" x14ac:dyDescent="0.2">
      <c r="A31" s="733" t="s">
        <v>2087</v>
      </c>
      <c r="B31" s="734">
        <v>37712</v>
      </c>
      <c r="C31" s="735">
        <v>3070000</v>
      </c>
      <c r="D31" s="736">
        <v>7</v>
      </c>
      <c r="E31" s="735">
        <v>266116</v>
      </c>
      <c r="F31" s="735"/>
      <c r="G31" s="735"/>
      <c r="H31" s="735">
        <v>266116</v>
      </c>
      <c r="I31" s="1775">
        <f>((E31+F31)-H31)+G31</f>
        <v>0</v>
      </c>
      <c r="J31" s="735"/>
      <c r="K31" s="737"/>
    </row>
    <row r="32" spans="1:11" ht="12" customHeight="1" x14ac:dyDescent="0.2">
      <c r="A32" s="733" t="s">
        <v>2089</v>
      </c>
      <c r="B32" s="734">
        <v>42152</v>
      </c>
      <c r="C32" s="735">
        <v>2158100</v>
      </c>
      <c r="D32" s="736">
        <v>3</v>
      </c>
      <c r="E32" s="735">
        <v>2011700</v>
      </c>
      <c r="F32" s="735"/>
      <c r="G32" s="735"/>
      <c r="H32" s="735">
        <v>66500</v>
      </c>
      <c r="I32" s="1775">
        <f>((E32+F32)-H32)+G32</f>
        <v>1945200</v>
      </c>
      <c r="J32" s="735">
        <v>1453910</v>
      </c>
      <c r="K32" s="737"/>
    </row>
    <row r="33" spans="1:11" ht="12" customHeight="1" x14ac:dyDescent="0.2">
      <c r="A33" s="733" t="s">
        <v>2090</v>
      </c>
      <c r="B33" s="734">
        <v>42675</v>
      </c>
      <c r="C33" s="739">
        <v>2020000</v>
      </c>
      <c r="D33" s="736">
        <v>3</v>
      </c>
      <c r="E33" s="739">
        <v>2020000</v>
      </c>
      <c r="F33" s="739"/>
      <c r="G33" s="739"/>
      <c r="H33" s="739">
        <v>557500</v>
      </c>
      <c r="I33" s="1775">
        <f t="shared" ref="I33:I48" si="1">((E33+F33)-H33)+G33</f>
        <v>1462500</v>
      </c>
      <c r="J33" s="735">
        <v>1462500</v>
      </c>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7248100</v>
      </c>
      <c r="D49" s="746"/>
      <c r="E49" s="1775">
        <f t="shared" ref="E49:J49" si="2">SUM(E31:E48)</f>
        <v>4297816</v>
      </c>
      <c r="F49" s="1775">
        <f t="shared" si="2"/>
        <v>0</v>
      </c>
      <c r="G49" s="1775">
        <f t="shared" si="2"/>
        <v>0</v>
      </c>
      <c r="H49" s="1775">
        <f t="shared" si="2"/>
        <v>890116</v>
      </c>
      <c r="I49" s="1775">
        <f t="shared" si="2"/>
        <v>3407700</v>
      </c>
      <c r="J49" s="1775">
        <f t="shared" si="2"/>
        <v>2916410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5" t="s">
        <v>605</v>
      </c>
      <c r="C52" s="2216"/>
      <c r="D52" s="2216"/>
      <c r="E52" s="750" t="s">
        <v>900</v>
      </c>
      <c r="F52" s="2217" t="s">
        <v>2088</v>
      </c>
      <c r="G52" s="2218"/>
      <c r="H52" s="737"/>
      <c r="I52" s="737"/>
      <c r="J52" s="747"/>
    </row>
    <row r="53" spans="1:11" ht="11.25" customHeight="1" x14ac:dyDescent="0.2">
      <c r="A53" s="751" t="s">
        <v>969</v>
      </c>
      <c r="B53" s="752" t="s">
        <v>1008</v>
      </c>
      <c r="C53" s="747"/>
      <c r="D53" s="738"/>
      <c r="E53" s="750" t="s">
        <v>518</v>
      </c>
      <c r="F53" s="2219"/>
      <c r="G53" s="2220"/>
      <c r="H53" s="737"/>
      <c r="I53" s="737"/>
      <c r="J53" s="747"/>
    </row>
    <row r="54" spans="1:11" ht="11.25" customHeight="1" x14ac:dyDescent="0.2">
      <c r="A54" s="753" t="s">
        <v>970</v>
      </c>
      <c r="B54" s="748" t="s">
        <v>1009</v>
      </c>
      <c r="C54" s="747"/>
      <c r="D54" s="738"/>
      <c r="E54" s="750" t="s">
        <v>519</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5" sqref="A15:F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49"/>
      <c r="I1" s="761"/>
      <c r="J1" s="433"/>
    </row>
    <row r="2" spans="1:11" ht="26.25" x14ac:dyDescent="0.2">
      <c r="A2" s="2263" t="s">
        <v>1775</v>
      </c>
      <c r="B2" s="2264"/>
      <c r="C2" s="2264"/>
      <c r="D2" s="2264"/>
      <c r="E2" s="2265"/>
      <c r="F2" s="762" t="s">
        <v>960</v>
      </c>
      <c r="G2" s="763" t="s">
        <v>1772</v>
      </c>
      <c r="H2" s="763" t="s">
        <v>430</v>
      </c>
      <c r="I2" s="763" t="s">
        <v>1220</v>
      </c>
      <c r="J2" s="763" t="s">
        <v>1915</v>
      </c>
      <c r="K2" s="763" t="s">
        <v>140</v>
      </c>
    </row>
    <row r="3" spans="1:11" x14ac:dyDescent="0.2">
      <c r="A3" s="2266" t="s">
        <v>1697</v>
      </c>
      <c r="B3" s="2267"/>
      <c r="C3" s="2267"/>
      <c r="D3" s="2267"/>
      <c r="E3" s="2268"/>
      <c r="F3" s="764"/>
      <c r="G3" s="765"/>
      <c r="H3" s="765"/>
      <c r="I3" s="765"/>
      <c r="J3" s="766"/>
      <c r="K3" s="766"/>
    </row>
    <row r="4" spans="1:11" x14ac:dyDescent="0.2">
      <c r="A4" s="2269" t="s">
        <v>387</v>
      </c>
      <c r="B4" s="2270"/>
      <c r="C4" s="2270"/>
      <c r="D4" s="2270"/>
      <c r="E4" s="2216"/>
      <c r="F4" s="767"/>
      <c r="G4" s="768"/>
      <c r="H4" s="769"/>
      <c r="I4" s="768"/>
      <c r="J4" s="770"/>
      <c r="K4" s="770"/>
    </row>
    <row r="5" spans="1:11" x14ac:dyDescent="0.2">
      <c r="A5" s="2247" t="s">
        <v>1129</v>
      </c>
      <c r="B5" s="2248"/>
      <c r="C5" s="2248"/>
      <c r="D5" s="2248"/>
      <c r="E5" s="224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23537</v>
      </c>
    </row>
    <row r="10" spans="1:11" x14ac:dyDescent="0.2">
      <c r="A10" s="2247" t="s">
        <v>1916</v>
      </c>
      <c r="B10" s="2248"/>
      <c r="C10" s="2248"/>
      <c r="D10" s="2248"/>
      <c r="E10" s="2250"/>
      <c r="F10" s="784" t="s">
        <v>917</v>
      </c>
      <c r="G10" s="783"/>
      <c r="H10" s="785"/>
      <c r="I10" s="765"/>
      <c r="J10" s="766"/>
      <c r="K10" s="766"/>
    </row>
    <row r="11" spans="1:11" x14ac:dyDescent="0.2">
      <c r="A11" s="2247" t="s">
        <v>162</v>
      </c>
      <c r="B11" s="2248"/>
      <c r="C11" s="2248"/>
      <c r="D11" s="2248"/>
      <c r="E11" s="2249"/>
      <c r="F11" s="771" t="s">
        <v>907</v>
      </c>
      <c r="G11" s="772"/>
      <c r="H11" s="765"/>
      <c r="I11" s="765"/>
      <c r="J11" s="766"/>
      <c r="K11" s="774"/>
    </row>
    <row r="12" spans="1:11" ht="13.5" thickBot="1" x14ac:dyDescent="0.25">
      <c r="A12" s="2274" t="s">
        <v>961</v>
      </c>
      <c r="B12" s="2275"/>
      <c r="C12" s="2275"/>
      <c r="D12" s="2275"/>
      <c r="E12" s="2276"/>
      <c r="F12" s="1776"/>
      <c r="G12" s="1777">
        <f>SUM(G5:G11)</f>
        <v>0</v>
      </c>
      <c r="H12" s="1777">
        <f>SUM(H5:H11)</f>
        <v>0</v>
      </c>
      <c r="I12" s="1777">
        <f>SUM(I5:I11)</f>
        <v>0</v>
      </c>
      <c r="J12" s="1777">
        <f>SUM(J5:J11)</f>
        <v>0</v>
      </c>
      <c r="K12" s="1777">
        <f>SUM(K5:K11)</f>
        <v>23537</v>
      </c>
    </row>
    <row r="13" spans="1:11" ht="13.5" thickTop="1" x14ac:dyDescent="0.2">
      <c r="A13" s="2271" t="s">
        <v>388</v>
      </c>
      <c r="B13" s="2272"/>
      <c r="C13" s="2272"/>
      <c r="D13" s="2272"/>
      <c r="E13" s="2273"/>
      <c r="F13" s="786"/>
      <c r="G13" s="787"/>
      <c r="H13" s="788"/>
      <c r="I13" s="789"/>
      <c r="J13" s="789"/>
      <c r="K13" s="789"/>
    </row>
    <row r="14" spans="1:11" x14ac:dyDescent="0.2">
      <c r="A14" s="2254" t="s">
        <v>476</v>
      </c>
      <c r="B14" s="2254"/>
      <c r="C14" s="2254"/>
      <c r="D14" s="2254"/>
      <c r="E14" s="2255"/>
      <c r="F14" s="790" t="s">
        <v>909</v>
      </c>
      <c r="G14" s="783"/>
      <c r="H14" s="765"/>
      <c r="I14" s="772"/>
      <c r="J14" s="774"/>
      <c r="K14" s="766">
        <v>23537</v>
      </c>
    </row>
    <row r="15" spans="1:11" x14ac:dyDescent="0.2">
      <c r="A15" s="2248" t="s">
        <v>4</v>
      </c>
      <c r="B15" s="2248"/>
      <c r="C15" s="2248"/>
      <c r="D15" s="2248"/>
      <c r="E15" s="2249"/>
      <c r="F15" s="790" t="s">
        <v>910</v>
      </c>
      <c r="G15" s="772"/>
      <c r="H15" s="765"/>
      <c r="I15" s="765"/>
      <c r="J15" s="766"/>
      <c r="K15" s="766"/>
    </row>
    <row r="16" spans="1:11" x14ac:dyDescent="0.2">
      <c r="A16" s="2248" t="s">
        <v>316</v>
      </c>
      <c r="B16" s="2248"/>
      <c r="C16" s="2248"/>
      <c r="D16" s="2248"/>
      <c r="E16" s="2249"/>
      <c r="F16" s="790" t="s">
        <v>980</v>
      </c>
      <c r="G16" s="773"/>
      <c r="H16" s="768"/>
      <c r="I16" s="768"/>
      <c r="J16" s="770"/>
      <c r="K16" s="770"/>
    </row>
    <row r="17" spans="1:11" x14ac:dyDescent="0.2">
      <c r="A17" s="2279" t="s">
        <v>992</v>
      </c>
      <c r="B17" s="2279"/>
      <c r="C17" s="2279"/>
      <c r="D17" s="2279"/>
      <c r="E17" s="2280"/>
      <c r="F17" s="791"/>
      <c r="G17" s="792"/>
      <c r="H17" s="793"/>
      <c r="I17" s="793"/>
      <c r="J17" s="794"/>
      <c r="K17" s="795"/>
    </row>
    <row r="18" spans="1:11" x14ac:dyDescent="0.2">
      <c r="A18" s="2258" t="s">
        <v>386</v>
      </c>
      <c r="B18" s="2259"/>
      <c r="C18" s="2259"/>
      <c r="D18" s="2259"/>
      <c r="E18" s="2260"/>
      <c r="F18" s="790" t="s">
        <v>989</v>
      </c>
      <c r="G18" s="783"/>
      <c r="H18" s="783"/>
      <c r="I18" s="783"/>
      <c r="J18" s="766"/>
      <c r="K18" s="796"/>
    </row>
    <row r="19" spans="1:11" ht="21.75" customHeight="1" x14ac:dyDescent="0.2">
      <c r="A19" s="2256" t="s">
        <v>1912</v>
      </c>
      <c r="B19" s="2256"/>
      <c r="C19" s="2256"/>
      <c r="D19" s="2256"/>
      <c r="E19" s="2257"/>
      <c r="F19" s="790" t="s">
        <v>990</v>
      </c>
      <c r="G19" s="783"/>
      <c r="H19" s="783"/>
      <c r="I19" s="783"/>
      <c r="J19" s="766"/>
      <c r="K19" s="796"/>
    </row>
    <row r="20" spans="1:11" x14ac:dyDescent="0.2">
      <c r="A20" s="2258" t="s">
        <v>1917</v>
      </c>
      <c r="B20" s="2259"/>
      <c r="C20" s="2259"/>
      <c r="D20" s="2259"/>
      <c r="E20" s="2260"/>
      <c r="F20" s="790" t="s">
        <v>991</v>
      </c>
      <c r="G20" s="783"/>
      <c r="H20" s="783"/>
      <c r="I20" s="783"/>
      <c r="J20" s="766"/>
      <c r="K20" s="796"/>
    </row>
    <row r="21" spans="1:11" ht="13.5" thickBot="1" x14ac:dyDescent="0.25">
      <c r="A21" s="2277" t="s">
        <v>659</v>
      </c>
      <c r="B21" s="2277"/>
      <c r="C21" s="2277"/>
      <c r="D21" s="2277"/>
      <c r="E21" s="2277"/>
      <c r="F21" s="1778"/>
      <c r="G21" s="793"/>
      <c r="H21" s="797"/>
      <c r="I21" s="797"/>
      <c r="J21" s="1779">
        <f>SUM(J18:J20)</f>
        <v>0</v>
      </c>
      <c r="K21" s="794"/>
    </row>
    <row r="22" spans="1:11" ht="13.5" thickTop="1" x14ac:dyDescent="0.2">
      <c r="A22" s="2248" t="s">
        <v>1918</v>
      </c>
      <c r="B22" s="2248"/>
      <c r="C22" s="2248"/>
      <c r="D22" s="2248"/>
      <c r="E22" s="2249"/>
      <c r="F22" s="790" t="s">
        <v>917</v>
      </c>
      <c r="G22" s="783"/>
      <c r="H22" s="765"/>
      <c r="I22" s="765"/>
      <c r="J22" s="798"/>
      <c r="K22" s="766"/>
    </row>
    <row r="23" spans="1:11" ht="13.5" thickBot="1" x14ac:dyDescent="0.25">
      <c r="A23" s="2278" t="s">
        <v>962</v>
      </c>
      <c r="B23" s="2277"/>
      <c r="C23" s="2277"/>
      <c r="D23" s="2277"/>
      <c r="E23" s="2277"/>
      <c r="F23" s="1780"/>
      <c r="G23" s="1777">
        <f>SUM(G14:G16,G21,G22)</f>
        <v>0</v>
      </c>
      <c r="H23" s="1777">
        <f>SUM(H14:H16,H21,H22)</f>
        <v>0</v>
      </c>
      <c r="I23" s="1777">
        <f>SUM(I14:I16,I21,I22)</f>
        <v>0</v>
      </c>
      <c r="J23" s="1777">
        <f>SUM(J14:J16,J21,J22)</f>
        <v>0</v>
      </c>
      <c r="K23" s="1777">
        <f>SUM(K14:K16,K21,K22)</f>
        <v>23537</v>
      </c>
    </row>
    <row r="24" spans="1:11" ht="14.25" thickTop="1" thickBot="1" x14ac:dyDescent="0.25">
      <c r="A24" s="2278" t="s">
        <v>2022</v>
      </c>
      <c r="B24" s="2277"/>
      <c r="C24" s="2277"/>
      <c r="D24" s="2277"/>
      <c r="E24" s="2277"/>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1" t="s">
        <v>2032</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1"/>
      <c r="I31" s="2252"/>
      <c r="J31" s="2252"/>
      <c r="K31" s="2252"/>
    </row>
    <row r="32" spans="1:11" x14ac:dyDescent="0.2">
      <c r="A32" s="810"/>
      <c r="B32" s="237"/>
      <c r="C32" s="237"/>
      <c r="D32" s="237"/>
      <c r="E32" s="806"/>
      <c r="F32" s="812" t="s">
        <v>561</v>
      </c>
      <c r="G32" s="765"/>
      <c r="H32" s="2253"/>
      <c r="I32" s="2252"/>
      <c r="J32" s="2252"/>
      <c r="K32" s="2252"/>
    </row>
    <row r="33" spans="1:11" ht="1.5" customHeight="1" x14ac:dyDescent="0.2">
      <c r="A33" s="813" t="s">
        <v>1231</v>
      </c>
      <c r="B33" s="364"/>
      <c r="C33" s="364"/>
      <c r="D33" s="364"/>
      <c r="E33" s="364"/>
      <c r="F33" s="364"/>
      <c r="G33" s="814"/>
      <c r="H33" s="2253"/>
      <c r="I33" s="2252"/>
      <c r="J33" s="2252"/>
      <c r="K33" s="2252"/>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61"/>
      <c r="C41" s="2261"/>
      <c r="D41" s="2261"/>
      <c r="E41" s="2261"/>
      <c r="F41" s="226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1773</v>
      </c>
    </row>
    <row r="47" spans="1:11" s="824" customFormat="1" ht="12.75" customHeight="1" x14ac:dyDescent="0.2">
      <c r="A47" s="822"/>
      <c r="B47" s="823" t="s">
        <v>1774</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verticalCentered="1" heading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topLeftCell="A2" colorId="8" zoomScale="110" zoomScaleNormal="110" workbookViewId="0">
      <selection activeCell="A15" sqref="A15:F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2031</v>
      </c>
      <c r="B1" s="2284"/>
      <c r="C1" s="2285"/>
      <c r="D1" s="827"/>
      <c r="E1" s="828"/>
      <c r="F1" s="828"/>
      <c r="G1" s="829"/>
      <c r="H1" s="830"/>
      <c r="I1" s="831"/>
      <c r="J1" s="2281"/>
      <c r="K1" s="2282"/>
      <c r="L1" s="2282"/>
    </row>
    <row r="2" spans="1:14" ht="69.75" customHeight="1" x14ac:dyDescent="0.2">
      <c r="A2" s="832" t="s">
        <v>1776</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1227227</v>
      </c>
      <c r="D5" s="842"/>
      <c r="E5" s="842"/>
      <c r="F5" s="1779">
        <f>(C5+D5)-E5</f>
        <v>1227227</v>
      </c>
      <c r="G5" s="838"/>
      <c r="H5" s="843"/>
      <c r="I5" s="843"/>
      <c r="J5" s="843"/>
      <c r="K5" s="794"/>
      <c r="L5" s="1788">
        <f>F5-K5</f>
        <v>1227227</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25924702</v>
      </c>
      <c r="D8" s="845"/>
      <c r="E8" s="845">
        <v>1072611</v>
      </c>
      <c r="F8" s="1779">
        <f>(C8+D8)-E8</f>
        <v>24852091</v>
      </c>
      <c r="G8" s="844">
        <v>50</v>
      </c>
      <c r="H8" s="766">
        <v>8686456</v>
      </c>
      <c r="I8" s="766">
        <v>507767</v>
      </c>
      <c r="J8" s="766">
        <v>935261</v>
      </c>
      <c r="K8" s="1788">
        <f>(H8+I8)-J8</f>
        <v>8258962</v>
      </c>
      <c r="L8" s="1788">
        <f>F8-K8</f>
        <v>16593129</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5839251</v>
      </c>
      <c r="D10" s="847">
        <v>15630</v>
      </c>
      <c r="E10" s="847"/>
      <c r="F10" s="1783">
        <f>(C10+D10)-E10</f>
        <v>5854881</v>
      </c>
      <c r="G10" s="844">
        <v>20</v>
      </c>
      <c r="H10" s="848">
        <v>2824524</v>
      </c>
      <c r="I10" s="848">
        <v>278915</v>
      </c>
      <c r="J10" s="848"/>
      <c r="K10" s="1788">
        <f>(H10+I10)-J10</f>
        <v>3103439</v>
      </c>
      <c r="L10" s="1788">
        <f>F10-K10</f>
        <v>2751442</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5683575</v>
      </c>
      <c r="D12" s="845">
        <v>94767</v>
      </c>
      <c r="E12" s="845"/>
      <c r="F12" s="1779">
        <f>(C12+D12)-E12</f>
        <v>5778342</v>
      </c>
      <c r="G12" s="844">
        <v>10</v>
      </c>
      <c r="H12" s="766">
        <v>5006533</v>
      </c>
      <c r="I12" s="766">
        <v>137440</v>
      </c>
      <c r="J12" s="766"/>
      <c r="K12" s="1788">
        <f>(H12+I12)-J12</f>
        <v>5143973</v>
      </c>
      <c r="L12" s="1788">
        <f>F12-K12</f>
        <v>634369</v>
      </c>
    </row>
    <row r="13" spans="1:14" ht="14.25" thickTop="1" thickBot="1" x14ac:dyDescent="0.25">
      <c r="A13" s="849" t="s">
        <v>1184</v>
      </c>
      <c r="B13" s="841">
        <v>252</v>
      </c>
      <c r="C13" s="845">
        <v>421353</v>
      </c>
      <c r="D13" s="845"/>
      <c r="E13" s="845">
        <v>1575</v>
      </c>
      <c r="F13" s="1779">
        <f>(C13+D13)-E13</f>
        <v>419778</v>
      </c>
      <c r="G13" s="844">
        <v>5</v>
      </c>
      <c r="H13" s="766">
        <v>415885</v>
      </c>
      <c r="I13" s="766">
        <v>1734</v>
      </c>
      <c r="J13" s="766">
        <v>1575</v>
      </c>
      <c r="K13" s="1788">
        <f>(H13+I13)-J13</f>
        <v>416044</v>
      </c>
      <c r="L13" s="1788">
        <f>F13-K13</f>
        <v>3734</v>
      </c>
    </row>
    <row r="14" spans="1:14" ht="14.25" thickTop="1" thickBot="1" x14ac:dyDescent="0.25">
      <c r="A14" s="849" t="s">
        <v>1185</v>
      </c>
      <c r="B14" s="841">
        <v>253</v>
      </c>
      <c r="C14" s="766">
        <v>56923</v>
      </c>
      <c r="D14" s="766"/>
      <c r="E14" s="766"/>
      <c r="F14" s="1779">
        <f>(C14+D14)-E14</f>
        <v>56923</v>
      </c>
      <c r="G14" s="844">
        <v>3</v>
      </c>
      <c r="H14" s="766">
        <v>56923</v>
      </c>
      <c r="I14" s="766"/>
      <c r="J14" s="766"/>
      <c r="K14" s="1788">
        <f>(H14+I14)-J14</f>
        <v>56923</v>
      </c>
      <c r="L14" s="1788">
        <f>F14-K14</f>
        <v>0</v>
      </c>
    </row>
    <row r="15" spans="1:14" ht="15" customHeight="1" thickTop="1" thickBot="1" x14ac:dyDescent="0.25">
      <c r="A15" s="1650" t="s">
        <v>549</v>
      </c>
      <c r="B15" s="1649">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39153031</v>
      </c>
      <c r="D16" s="1779">
        <f>SUM(D3,D5:D6,D8:D10,D12:D15)</f>
        <v>110397</v>
      </c>
      <c r="E16" s="1779">
        <f>SUM(E3,E5:E6,E8:E10,E12:E15)</f>
        <v>1074186</v>
      </c>
      <c r="F16" s="1779">
        <f>SUM(F3,F5:F6,F8:F10,F12:F15)</f>
        <v>38189242</v>
      </c>
      <c r="G16" s="844"/>
      <c r="H16" s="1779">
        <f>SUM(H3,H6,H8:H10,H12:H14,)</f>
        <v>16990321</v>
      </c>
      <c r="I16" s="1779">
        <f>SUM(I3,I6,I8:I10,I12:I14,)</f>
        <v>925856</v>
      </c>
      <c r="J16" s="1779">
        <f>SUM(J3,J6,J8:J10,J12:J14,)</f>
        <v>936836</v>
      </c>
      <c r="K16" s="1779">
        <f>(H16+I16)-J16</f>
        <v>16979341</v>
      </c>
      <c r="L16" s="1779">
        <f>F16-K16</f>
        <v>21209901</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925856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orizontalCentered="1" verticalCentered="1" headings="1"/>
  <pageMargins left="1" right="1" top="0.75" bottom="0.75" header="1" footer="0.75"/>
  <pageSetup scale="69"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15" sqref="A15:F15"/>
      <selection pane="bottomLeft" activeCell="A15" sqref="A15:F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1698</v>
      </c>
      <c r="B1" s="2290"/>
      <c r="C1" s="2290"/>
      <c r="D1" s="2290"/>
      <c r="E1" s="2290"/>
      <c r="F1" s="2291"/>
      <c r="G1" s="856"/>
    </row>
    <row r="2" spans="1:7" ht="15" customHeight="1" thickBot="1" x14ac:dyDescent="0.25">
      <c r="A2" s="2292" t="s">
        <v>498</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6"/>
    </row>
    <row r="7" spans="1:7" s="866" customFormat="1" ht="12" thickTop="1" x14ac:dyDescent="0.2">
      <c r="A7" s="867" t="s">
        <v>523</v>
      </c>
      <c r="B7" s="868"/>
      <c r="C7" s="869"/>
      <c r="D7" s="868"/>
      <c r="E7" s="869"/>
      <c r="F7" s="868"/>
    </row>
    <row r="8" spans="1:7" x14ac:dyDescent="0.2">
      <c r="A8" s="870" t="s">
        <v>479</v>
      </c>
      <c r="B8" s="871" t="s">
        <v>1543</v>
      </c>
      <c r="C8" s="872"/>
      <c r="D8" s="870" t="s">
        <v>522</v>
      </c>
      <c r="E8" s="869" t="s">
        <v>1015</v>
      </c>
      <c r="F8" s="1930">
        <f>'Expenditures 15-22'!K114</f>
        <v>15071092</v>
      </c>
      <c r="G8" s="866"/>
    </row>
    <row r="9" spans="1:7" x14ac:dyDescent="0.2">
      <c r="A9" s="870" t="s">
        <v>480</v>
      </c>
      <c r="B9" s="871" t="s">
        <v>1985</v>
      </c>
      <c r="C9" s="872"/>
      <c r="D9" s="870" t="s">
        <v>522</v>
      </c>
      <c r="E9" s="869"/>
      <c r="F9" s="1931">
        <f>'Expenditures 15-22'!K151</f>
        <v>1933107</v>
      </c>
      <c r="G9" s="873"/>
    </row>
    <row r="10" spans="1:7" x14ac:dyDescent="0.2">
      <c r="A10" s="870" t="s">
        <v>520</v>
      </c>
      <c r="B10" s="871" t="s">
        <v>1986</v>
      </c>
      <c r="C10" s="872"/>
      <c r="D10" s="870" t="s">
        <v>522</v>
      </c>
      <c r="E10" s="869"/>
      <c r="F10" s="1931">
        <f>'Expenditures 15-22'!K174</f>
        <v>981193</v>
      </c>
      <c r="G10" s="873"/>
    </row>
    <row r="11" spans="1:7" x14ac:dyDescent="0.2">
      <c r="A11" s="870" t="s">
        <v>481</v>
      </c>
      <c r="B11" s="871" t="s">
        <v>1987</v>
      </c>
      <c r="C11" s="872"/>
      <c r="D11" s="870" t="s">
        <v>522</v>
      </c>
      <c r="E11" s="869"/>
      <c r="F11" s="1931">
        <f>'Expenditures 15-22'!K210</f>
        <v>1394113</v>
      </c>
      <c r="G11" s="873"/>
    </row>
    <row r="12" spans="1:7" x14ac:dyDescent="0.2">
      <c r="A12" s="870" t="s">
        <v>482</v>
      </c>
      <c r="B12" s="871" t="s">
        <v>1988</v>
      </c>
      <c r="C12" s="872"/>
      <c r="D12" s="870" t="s">
        <v>522</v>
      </c>
      <c r="E12" s="869"/>
      <c r="F12" s="1931">
        <f>'Expenditures 15-22'!K295</f>
        <v>607039</v>
      </c>
      <c r="G12" s="873"/>
    </row>
    <row r="13" spans="1:7" x14ac:dyDescent="0.2">
      <c r="A13" s="870" t="s">
        <v>108</v>
      </c>
      <c r="B13" s="871" t="s">
        <v>1989</v>
      </c>
      <c r="C13" s="872"/>
      <c r="D13" s="870" t="s">
        <v>522</v>
      </c>
      <c r="E13" s="869"/>
      <c r="F13" s="1931">
        <f>'Expenditures 15-22'!K342</f>
        <v>412522</v>
      </c>
      <c r="G13" s="874"/>
    </row>
    <row r="14" spans="1:7" ht="12" customHeight="1" thickBot="1" x14ac:dyDescent="0.25">
      <c r="A14" s="1789"/>
      <c r="B14" s="1790"/>
      <c r="C14" s="1791"/>
      <c r="D14" s="1792" t="s">
        <v>522</v>
      </c>
      <c r="E14" s="1793" t="s">
        <v>1015</v>
      </c>
      <c r="F14" s="1794">
        <f>SUM(F8:F13)</f>
        <v>20399066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1682</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1544</v>
      </c>
      <c r="C34" s="887" t="str">
        <f>'Expenditures 15-22'!B7</f>
        <v>1125</v>
      </c>
      <c r="D34" s="888" t="str">
        <f>'Expenditures 15-22'!A7</f>
        <v>Pre-K Programs</v>
      </c>
      <c r="E34" s="869"/>
      <c r="F34" s="1935">
        <f>'Expenditures 15-22'!K7-SUM('Expenditures 15-22'!G7,'Expenditures 15-22'!I7)</f>
        <v>85905</v>
      </c>
      <c r="G34" s="866"/>
    </row>
    <row r="35" spans="1:7" x14ac:dyDescent="0.2">
      <c r="A35" s="870" t="s">
        <v>479</v>
      </c>
      <c r="B35" s="870" t="s">
        <v>1545</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1546</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1547</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1548</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1549</v>
      </c>
      <c r="C52" s="890" t="str">
        <f>'Expenditures 15-22'!B75</f>
        <v>3000</v>
      </c>
      <c r="D52" s="889" t="s">
        <v>469</v>
      </c>
      <c r="E52" s="869"/>
      <c r="F52" s="1935">
        <f>'Expenditures 15-22'!K75-SUM('Expenditures 15-22'!G75,'Expenditures 15-22'!I75)</f>
        <v>16664</v>
      </c>
      <c r="G52" s="866"/>
    </row>
    <row r="53" spans="1:7" x14ac:dyDescent="0.2">
      <c r="A53" s="870" t="s">
        <v>479</v>
      </c>
      <c r="B53" s="870" t="s">
        <v>1550</v>
      </c>
      <c r="C53" s="890">
        <f>'Expenditures 15-22'!B102</f>
        <v>4000</v>
      </c>
      <c r="D53" s="889" t="str">
        <f>'Expenditures 15-22'!A102</f>
        <v>Total Payments to Other Govt Units</v>
      </c>
      <c r="E53" s="869"/>
      <c r="F53" s="1935">
        <f>'Expenditures 15-22'!K102</f>
        <v>173424</v>
      </c>
      <c r="G53" s="866"/>
    </row>
    <row r="54" spans="1:7" x14ac:dyDescent="0.2">
      <c r="A54" s="870" t="s">
        <v>479</v>
      </c>
      <c r="B54" s="870" t="s">
        <v>1551</v>
      </c>
      <c r="C54" s="890" t="s">
        <v>1039</v>
      </c>
      <c r="D54" s="886" t="s">
        <v>1157</v>
      </c>
      <c r="E54" s="869"/>
      <c r="F54" s="1935">
        <f>'Expenditures 15-22'!G114</f>
        <v>75944</v>
      </c>
      <c r="G54" s="866"/>
    </row>
    <row r="55" spans="1:7" x14ac:dyDescent="0.2">
      <c r="A55" s="870" t="s">
        <v>479</v>
      </c>
      <c r="B55" s="870" t="s">
        <v>1552</v>
      </c>
      <c r="C55" s="890" t="s">
        <v>1039</v>
      </c>
      <c r="D55" s="886" t="s">
        <v>309</v>
      </c>
      <c r="E55" s="869"/>
      <c r="F55" s="1935">
        <f>'Expenditures 15-22'!I114</f>
        <v>0</v>
      </c>
      <c r="G55" s="866"/>
    </row>
    <row r="56" spans="1:7" x14ac:dyDescent="0.2">
      <c r="A56" s="870" t="s">
        <v>480</v>
      </c>
      <c r="B56" s="870" t="s">
        <v>1553</v>
      </c>
      <c r="C56" s="887" t="str">
        <f>'Expenditures 15-22'!B130</f>
        <v>3000</v>
      </c>
      <c r="D56" s="893" t="s">
        <v>469</v>
      </c>
      <c r="E56" s="869"/>
      <c r="F56" s="1935">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5">
        <f>'Expenditures 15-22'!K139</f>
        <v>0</v>
      </c>
      <c r="G57" s="866"/>
    </row>
    <row r="58" spans="1:7" x14ac:dyDescent="0.2">
      <c r="A58" s="870" t="s">
        <v>480</v>
      </c>
      <c r="B58" s="870" t="s">
        <v>1991</v>
      </c>
      <c r="C58" s="887" t="s">
        <v>1039</v>
      </c>
      <c r="D58" s="886" t="s">
        <v>1157</v>
      </c>
      <c r="E58" s="869"/>
      <c r="F58" s="1937">
        <f>'Expenditures 15-22'!G151</f>
        <v>34454</v>
      </c>
      <c r="G58" s="866"/>
    </row>
    <row r="59" spans="1:7" x14ac:dyDescent="0.2">
      <c r="A59" s="894" t="s">
        <v>480</v>
      </c>
      <c r="B59" s="857" t="s">
        <v>1992</v>
      </c>
      <c r="C59" s="895" t="s">
        <v>1039</v>
      </c>
      <c r="D59" s="857" t="s">
        <v>309</v>
      </c>
      <c r="F59" s="1938">
        <f>'Expenditures 15-22'!I151</f>
        <v>0</v>
      </c>
      <c r="G59" s="866"/>
    </row>
    <row r="60" spans="1:7" x14ac:dyDescent="0.2">
      <c r="A60" s="894" t="s">
        <v>520</v>
      </c>
      <c r="B60" s="857" t="s">
        <v>1993</v>
      </c>
      <c r="C60" s="895">
        <v>4000</v>
      </c>
      <c r="D60" s="857" t="s">
        <v>330</v>
      </c>
      <c r="F60" s="1936">
        <f>'Expenditures 15-22'!K160</f>
        <v>0</v>
      </c>
      <c r="G60" s="866"/>
    </row>
    <row r="61" spans="1:7" x14ac:dyDescent="0.2">
      <c r="A61" s="896" t="s">
        <v>520</v>
      </c>
      <c r="B61" s="896" t="s">
        <v>1994</v>
      </c>
      <c r="C61" s="897" t="str">
        <f>'Expenditures 15-22'!B170</f>
        <v>5300</v>
      </c>
      <c r="D61" s="898" t="s">
        <v>329</v>
      </c>
      <c r="E61" s="880"/>
      <c r="F61" s="1935">
        <f>'Expenditures 15-22'!K170</f>
        <v>890116</v>
      </c>
      <c r="G61" s="866"/>
    </row>
    <row r="62" spans="1:7" x14ac:dyDescent="0.2">
      <c r="A62" s="870" t="s">
        <v>481</v>
      </c>
      <c r="B62" s="870" t="s">
        <v>1995</v>
      </c>
      <c r="C62" s="887">
        <f>'Expenditures 15-22'!B185</f>
        <v>3000</v>
      </c>
      <c r="D62" s="877" t="s">
        <v>469</v>
      </c>
      <c r="E62" s="869"/>
      <c r="F62" s="1935">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1997</v>
      </c>
      <c r="C64" s="897" t="str">
        <f>'Expenditures 15-22'!B206</f>
        <v>5300</v>
      </c>
      <c r="D64" s="893" t="s">
        <v>329</v>
      </c>
      <c r="E64" s="869"/>
      <c r="F64" s="1935">
        <f>'Expenditures 15-22'!K206</f>
        <v>0</v>
      </c>
      <c r="G64" s="866"/>
    </row>
    <row r="65" spans="1:8" x14ac:dyDescent="0.2">
      <c r="A65" s="870" t="s">
        <v>481</v>
      </c>
      <c r="B65" s="870" t="s">
        <v>1998</v>
      </c>
      <c r="C65" s="887" t="s">
        <v>1039</v>
      </c>
      <c r="D65" s="886" t="s">
        <v>1157</v>
      </c>
      <c r="E65" s="869"/>
      <c r="F65" s="1935">
        <f>'Expenditures 15-22'!G210</f>
        <v>0</v>
      </c>
      <c r="G65" s="866"/>
    </row>
    <row r="66" spans="1:8" x14ac:dyDescent="0.2">
      <c r="A66" s="870" t="s">
        <v>481</v>
      </c>
      <c r="B66" s="870" t="s">
        <v>1999</v>
      </c>
      <c r="C66" s="887" t="s">
        <v>1039</v>
      </c>
      <c r="D66" s="886" t="s">
        <v>309</v>
      </c>
      <c r="E66" s="869"/>
      <c r="F66" s="1935">
        <f>'Expenditures 15-22'!I210</f>
        <v>0</v>
      </c>
      <c r="G66" s="866"/>
    </row>
    <row r="67" spans="1:8" x14ac:dyDescent="0.2">
      <c r="A67" s="870" t="s">
        <v>482</v>
      </c>
      <c r="B67" s="870" t="s">
        <v>2000</v>
      </c>
      <c r="C67" s="887" t="str">
        <f>'Expenditures 15-22'!B216</f>
        <v>1125</v>
      </c>
      <c r="D67" s="893" t="str">
        <f>'Expenditures 15-22'!A216</f>
        <v>Pre-K Programs</v>
      </c>
      <c r="E67" s="869"/>
      <c r="F67" s="1935">
        <f>'Expenditures 15-22'!K216</f>
        <v>3011</v>
      </c>
      <c r="G67" s="866"/>
    </row>
    <row r="68" spans="1:8" x14ac:dyDescent="0.2">
      <c r="A68" s="870" t="s">
        <v>482</v>
      </c>
      <c r="B68" s="870" t="s">
        <v>1554</v>
      </c>
      <c r="C68" s="887" t="str">
        <f>'Expenditures 15-22'!B218</f>
        <v>1225</v>
      </c>
      <c r="D68" s="893" t="str">
        <f>'Expenditures 15-22'!A218</f>
        <v>Special Education Programs - Pre-K</v>
      </c>
      <c r="E68" s="869"/>
      <c r="F68" s="1935">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2002</v>
      </c>
      <c r="C70" s="887">
        <f>'Expenditures 15-22'!B221</f>
        <v>1300</v>
      </c>
      <c r="D70" s="888" t="str">
        <f>'Expenditures 15-22'!A221</f>
        <v>Adult/Continuing Education Programs</v>
      </c>
      <c r="E70" s="869"/>
      <c r="F70" s="1935">
        <f>'Expenditures 15-22'!K221</f>
        <v>0</v>
      </c>
      <c r="G70" s="866"/>
    </row>
    <row r="71" spans="1:8" x14ac:dyDescent="0.2">
      <c r="A71" s="870" t="s">
        <v>482</v>
      </c>
      <c r="B71" s="870" t="s">
        <v>2003</v>
      </c>
      <c r="C71" s="887">
        <f>'Expenditures 15-22'!B224</f>
        <v>1600</v>
      </c>
      <c r="D71" s="888" t="str">
        <f>'Expenditures 15-22'!A224</f>
        <v>Summer School Programs</v>
      </c>
      <c r="E71" s="869"/>
      <c r="F71" s="1935">
        <f>'Expenditures 15-22'!K224</f>
        <v>0</v>
      </c>
      <c r="G71" s="866"/>
    </row>
    <row r="72" spans="1:8" x14ac:dyDescent="0.2">
      <c r="A72" s="870" t="s">
        <v>482</v>
      </c>
      <c r="B72" s="870" t="s">
        <v>2004</v>
      </c>
      <c r="C72" s="887">
        <f>'Expenditures 15-22'!B280</f>
        <v>3000</v>
      </c>
      <c r="D72" s="877" t="s">
        <v>469</v>
      </c>
      <c r="E72" s="869"/>
      <c r="F72" s="1935">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2006</v>
      </c>
      <c r="C74" s="887" t="s">
        <v>915</v>
      </c>
      <c r="D74" s="888" t="s">
        <v>1566</v>
      </c>
      <c r="E74" s="869"/>
      <c r="F74" s="1939">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2007</v>
      </c>
      <c r="E76" s="1793" t="s">
        <v>1015</v>
      </c>
      <c r="F76" s="1797">
        <f>SUM(F18:F74)</f>
        <v>1279518</v>
      </c>
      <c r="G76" s="866"/>
    </row>
    <row r="77" spans="1:8" s="894" customFormat="1" ht="12" customHeight="1" thickTop="1" thickBot="1" x14ac:dyDescent="0.25">
      <c r="A77" s="1798"/>
      <c r="B77" s="1795"/>
      <c r="C77" s="1791"/>
      <c r="D77" s="1796" t="s">
        <v>2008</v>
      </c>
      <c r="E77" s="1793"/>
      <c r="F77" s="1799">
        <f>(F14-F76)</f>
        <v>19119548</v>
      </c>
      <c r="G77" s="870"/>
    </row>
    <row r="78" spans="1:8" s="894" customFormat="1" ht="12" customHeight="1" thickTop="1" x14ac:dyDescent="0.2">
      <c r="A78" s="1800"/>
      <c r="B78" s="1795"/>
      <c r="C78" s="1791"/>
      <c r="D78" s="1796" t="s">
        <v>2055</v>
      </c>
      <c r="E78" s="1793"/>
      <c r="F78" s="899">
        <v>1836.22</v>
      </c>
      <c r="G78" s="900"/>
      <c r="H78" s="870"/>
    </row>
    <row r="79" spans="1:8" s="894" customFormat="1" ht="12" customHeight="1" thickBot="1" x14ac:dyDescent="0.25">
      <c r="A79" s="1801"/>
      <c r="B79" s="1795"/>
      <c r="C79" s="1791"/>
      <c r="D79" s="1796" t="s">
        <v>2009</v>
      </c>
      <c r="E79" s="1793" t="s">
        <v>1015</v>
      </c>
      <c r="F79" s="1802">
        <f>IF(F78&gt;0,F77/F78," Complete Line 78")</f>
        <v>10412.449488623368</v>
      </c>
      <c r="G79" s="870"/>
    </row>
    <row r="80" spans="1:8" s="894" customFormat="1" ht="8.25" customHeight="1" thickTop="1" x14ac:dyDescent="0.2">
      <c r="A80" s="901"/>
      <c r="B80" s="870"/>
      <c r="C80" s="872"/>
      <c r="D80" s="902"/>
      <c r="E80" s="869"/>
      <c r="F80" s="903"/>
      <c r="G80" s="870"/>
    </row>
    <row r="81" spans="1:7" s="894" customFormat="1" ht="12" thickBot="1" x14ac:dyDescent="0.25">
      <c r="A81" s="2286" t="s">
        <v>1167</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276288</v>
      </c>
      <c r="G94" s="913"/>
    </row>
    <row r="95" spans="1:7" x14ac:dyDescent="0.2">
      <c r="A95" s="909" t="s">
        <v>142</v>
      </c>
      <c r="B95" s="909" t="s">
        <v>177</v>
      </c>
      <c r="C95" s="911">
        <v>1700</v>
      </c>
      <c r="D95" s="919" t="str">
        <f>'Revenues 9-14'!A82</f>
        <v>Total District/School Activity Income</v>
      </c>
      <c r="E95" s="907"/>
      <c r="F95" s="1808">
        <f>SUM('Revenues 9-14'!C82,'Revenues 9-14'!D82)</f>
        <v>43802</v>
      </c>
      <c r="G95" s="913"/>
    </row>
    <row r="96" spans="1:7" x14ac:dyDescent="0.2">
      <c r="A96" s="909" t="s">
        <v>479</v>
      </c>
      <c r="B96" s="909" t="s">
        <v>178</v>
      </c>
      <c r="C96" s="911">
        <f>'Revenues 9-14'!B84</f>
        <v>1811</v>
      </c>
      <c r="D96" s="912" t="str">
        <f>'Revenues 9-14'!A84</f>
        <v>Rentals - Regular Textbooks</v>
      </c>
      <c r="E96" s="907"/>
      <c r="F96" s="1808">
        <f>'Revenues 9-14'!C84</f>
        <v>20725</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9000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392629</v>
      </c>
      <c r="G105" s="913"/>
    </row>
    <row r="106" spans="1:7" x14ac:dyDescent="0.2">
      <c r="A106" s="909" t="s">
        <v>694</v>
      </c>
      <c r="B106" s="909" t="s">
        <v>1482</v>
      </c>
      <c r="C106" s="921">
        <v>3200</v>
      </c>
      <c r="D106" s="912" t="str">
        <f>'Revenues 9-14'!A140</f>
        <v>Total Career and Technical Education</v>
      </c>
      <c r="E106" s="907"/>
      <c r="F106" s="1808">
        <f>SUM('Revenues 9-14'!C140,'Revenues 9-14'!D140,'Revenues 9-14'!G140)</f>
        <v>14673</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11135</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23537</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1006315</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23540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37915</v>
      </c>
      <c r="G128" s="931"/>
    </row>
    <row r="129" spans="1:7" x14ac:dyDescent="0.2">
      <c r="A129" s="928" t="s">
        <v>685</v>
      </c>
      <c r="B129" s="928" t="s">
        <v>803</v>
      </c>
      <c r="C129" s="933">
        <v>4200</v>
      </c>
      <c r="D129" s="930" t="str">
        <f>'Revenues 9-14'!A201</f>
        <v>Total Food Service</v>
      </c>
      <c r="E129" s="907"/>
      <c r="F129" s="1808">
        <f>SUM('Revenues 9-14'!C201,'Revenues 9-14'!G201)</f>
        <v>769730</v>
      </c>
      <c r="G129" s="931"/>
    </row>
    <row r="130" spans="1:7" x14ac:dyDescent="0.2">
      <c r="A130" s="928" t="s">
        <v>689</v>
      </c>
      <c r="B130" s="928" t="s">
        <v>804</v>
      </c>
      <c r="C130" s="933">
        <v>4300</v>
      </c>
      <c r="D130" s="934" t="str">
        <f>'Revenues 9-14'!A211</f>
        <v>Total Title I</v>
      </c>
      <c r="E130" s="907"/>
      <c r="F130" s="1808">
        <f>SUM('Revenues 9-14'!C211,'Revenues 9-14'!D211,'Revenues 9-14'!F211,'Revenues 9-14'!G211)</f>
        <v>568631</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379553</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11182</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1486</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1563</v>
      </c>
      <c r="C161" s="941" t="s">
        <v>896</v>
      </c>
      <c r="D161" s="942" t="s">
        <v>808</v>
      </c>
      <c r="E161" s="943"/>
      <c r="F161" s="1808">
        <f>SUM(F137:F160)</f>
        <v>0</v>
      </c>
      <c r="G161" s="906"/>
    </row>
    <row r="162" spans="1:7" s="868" customFormat="1" x14ac:dyDescent="0.2">
      <c r="A162" s="939" t="s">
        <v>479</v>
      </c>
      <c r="B162" s="940" t="s">
        <v>1500</v>
      </c>
      <c r="C162" s="941" t="s">
        <v>1498</v>
      </c>
      <c r="D162" s="942" t="s">
        <v>1499</v>
      </c>
      <c r="E162" s="943"/>
      <c r="F162" s="1808">
        <f>SUM('Revenues 9-14'!C260)</f>
        <v>0</v>
      </c>
      <c r="G162" s="906"/>
    </row>
    <row r="163" spans="1:7" s="868" customFormat="1" x14ac:dyDescent="0.2">
      <c r="A163" s="939" t="s">
        <v>521</v>
      </c>
      <c r="B163" s="940" t="s">
        <v>1540</v>
      </c>
      <c r="C163" s="941" t="s">
        <v>1541</v>
      </c>
      <c r="D163" s="942" t="s">
        <v>1542</v>
      </c>
      <c r="E163" s="943"/>
      <c r="F163" s="1808">
        <f>SUM('Revenues 9-14'!C261:H261,'Revenues 9-14'!J261:K261)</f>
        <v>0</v>
      </c>
      <c r="G163" s="906"/>
    </row>
    <row r="164" spans="1:7" x14ac:dyDescent="0.2">
      <c r="A164" s="928" t="s">
        <v>1067</v>
      </c>
      <c r="B164" s="928" t="s">
        <v>1555</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86862</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33261</v>
      </c>
      <c r="G172" s="948">
        <v>6320</v>
      </c>
    </row>
    <row r="173" spans="1:7" x14ac:dyDescent="0.2">
      <c r="A173" s="928" t="s">
        <v>689</v>
      </c>
      <c r="B173" s="928" t="s">
        <v>1502</v>
      </c>
      <c r="C173" s="933">
        <f>'Revenues 9-14'!B271</f>
        <v>4992</v>
      </c>
      <c r="D173" s="934" t="str">
        <f>'Revenues 9-14'!A271</f>
        <v>Medicaid Matching Funds - Fee-for-Service Program</v>
      </c>
      <c r="E173" s="907"/>
      <c r="F173" s="1808">
        <f>SUM('Revenues 9-14'!C271:D271,'Revenues 9-14'!F271:G271)</f>
        <v>111981</v>
      </c>
      <c r="G173" s="948"/>
    </row>
    <row r="174" spans="1:7" x14ac:dyDescent="0.2">
      <c r="A174" s="949" t="s">
        <v>689</v>
      </c>
      <c r="B174" s="945" t="s">
        <v>1557</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0" t="s">
        <v>5</v>
      </c>
      <c r="B175" s="1941" t="s">
        <v>2054</v>
      </c>
      <c r="C175" s="1942">
        <v>3100</v>
      </c>
      <c r="D175" s="1943" t="s">
        <v>2057</v>
      </c>
      <c r="E175" s="907"/>
      <c r="F175" s="1927"/>
      <c r="G175" s="928"/>
    </row>
    <row r="176" spans="1:7" x14ac:dyDescent="0.2">
      <c r="A176" s="1940" t="s">
        <v>685</v>
      </c>
      <c r="B176" s="1941" t="s">
        <v>2054</v>
      </c>
      <c r="C176" s="1942">
        <v>3300</v>
      </c>
      <c r="D176" s="1943" t="s">
        <v>2058</v>
      </c>
      <c r="E176" s="907"/>
      <c r="F176" s="1927"/>
      <c r="G176" s="928"/>
    </row>
    <row r="177" spans="1:7" ht="6" customHeight="1" x14ac:dyDescent="0.2">
      <c r="A177" s="928"/>
      <c r="B177" s="928"/>
      <c r="C177" s="950"/>
      <c r="D177" s="928"/>
      <c r="E177" s="907"/>
      <c r="F177" s="951"/>
      <c r="G177" s="948"/>
    </row>
    <row r="178" spans="1:7" x14ac:dyDescent="0.2">
      <c r="A178" s="1789"/>
      <c r="B178" s="1803"/>
      <c r="C178" s="1804"/>
      <c r="D178" s="1805" t="s">
        <v>2010</v>
      </c>
      <c r="E178" s="1806" t="s">
        <v>1015</v>
      </c>
      <c r="F178" s="1807">
        <f>SUM(F84:F136,F161:F176)</f>
        <v>3820759</v>
      </c>
    </row>
    <row r="179" spans="1:7" ht="12" customHeight="1" x14ac:dyDescent="0.2">
      <c r="A179" s="1789"/>
      <c r="B179" s="1803"/>
      <c r="C179" s="1804"/>
      <c r="D179" s="1805" t="s">
        <v>2011</v>
      </c>
      <c r="E179" s="1806"/>
      <c r="F179" s="1808">
        <f>'PCTC-OEPP 27-28'!F77-F178</f>
        <v>15298789</v>
      </c>
    </row>
    <row r="180" spans="1:7" ht="12" customHeight="1" x14ac:dyDescent="0.2">
      <c r="A180" s="1789"/>
      <c r="B180" s="1803"/>
      <c r="C180" s="1804"/>
      <c r="D180" s="1805" t="s">
        <v>1920</v>
      </c>
      <c r="E180" s="1806"/>
      <c r="F180" s="1808">
        <f>'Cap Outlay Deprec 26'!I18</f>
        <v>925856</v>
      </c>
    </row>
    <row r="181" spans="1:7" ht="12" customHeight="1" x14ac:dyDescent="0.2">
      <c r="A181" s="1789"/>
      <c r="B181" s="1803"/>
      <c r="C181" s="1804"/>
      <c r="D181" s="1805" t="s">
        <v>2012</v>
      </c>
      <c r="E181" s="1806"/>
      <c r="F181" s="1808">
        <f>F179+F180</f>
        <v>16224645</v>
      </c>
    </row>
    <row r="182" spans="1:7" ht="12" customHeight="1" x14ac:dyDescent="0.2">
      <c r="A182" s="1789"/>
      <c r="B182" s="1809"/>
      <c r="C182" s="1804"/>
      <c r="D182" s="1805" t="str">
        <f>D78</f>
        <v>9 Month ADA from District Average Daily Attendance/Prior General State Aid Inquiry 2017-2018</v>
      </c>
      <c r="E182" s="1806"/>
      <c r="F182" s="1810">
        <f>'PCTC-OEPP 27-28'!F78</f>
        <v>1836.22</v>
      </c>
      <c r="G182" s="931"/>
    </row>
    <row r="183" spans="1:7" ht="12" customHeight="1" thickBot="1" x14ac:dyDescent="0.25">
      <c r="A183" s="1789"/>
      <c r="B183" s="1809"/>
      <c r="C183" s="1804"/>
      <c r="D183" s="1805" t="s">
        <v>2013</v>
      </c>
      <c r="E183" s="1806" t="s">
        <v>1625</v>
      </c>
      <c r="F183" s="1811">
        <f>F181/F182</f>
        <v>8835.893847142499</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4" customFormat="1" ht="12.2" customHeight="1" x14ac:dyDescent="0.2">
      <c r="A186" s="1944" t="s">
        <v>2061</v>
      </c>
      <c r="B186" s="1945"/>
      <c r="C186" s="1946"/>
      <c r="D186" s="1945"/>
      <c r="E186" s="1946"/>
      <c r="F186" s="1945"/>
      <c r="G186" s="1945"/>
    </row>
    <row r="187" spans="1:7" s="1944" customFormat="1" ht="12.2" customHeight="1" x14ac:dyDescent="0.2">
      <c r="A187" s="1947" t="s">
        <v>2062</v>
      </c>
      <c r="C187" s="1946"/>
      <c r="D187" s="1945"/>
      <c r="E187" s="1946"/>
      <c r="F187" s="1945"/>
      <c r="G187" s="1945"/>
    </row>
    <row r="188" spans="1:7" ht="12" customHeight="1" x14ac:dyDescent="0.2">
      <c r="C188" s="950"/>
      <c r="D188" s="931"/>
      <c r="E188" s="950"/>
      <c r="F188" s="931"/>
      <c r="G188" s="931"/>
    </row>
    <row r="189" spans="1:7" x14ac:dyDescent="0.2">
      <c r="A189" s="1948" t="s">
        <v>2060</v>
      </c>
      <c r="B189" s="1949"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verticalCentered="1" heading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5" sqref="A15:F15"/>
      <selection pane="bottomLeft" activeCell="A15" sqref="A15:F15"/>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1936</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00" t="s">
        <v>1921</v>
      </c>
      <c r="B4" s="2301"/>
      <c r="C4" s="2301"/>
      <c r="D4" s="2301"/>
      <c r="E4" s="2301"/>
      <c r="F4" s="2301"/>
      <c r="G4" s="2302"/>
    </row>
    <row r="5" spans="1:7" x14ac:dyDescent="0.25">
      <c r="A5" s="2303"/>
      <c r="B5" s="2304"/>
      <c r="C5" s="2304"/>
      <c r="D5" s="2304"/>
      <c r="E5" s="2304"/>
      <c r="F5" s="2304"/>
      <c r="G5" s="2305"/>
    </row>
    <row r="6" spans="1:7" ht="18.75" x14ac:dyDescent="0.25">
      <c r="A6" s="1553" t="s">
        <v>1922</v>
      </c>
      <c r="B6" s="1554"/>
      <c r="C6" s="1554"/>
      <c r="D6" s="1554"/>
      <c r="E6" s="1554"/>
      <c r="F6" s="1554"/>
      <c r="G6" s="1555"/>
    </row>
    <row r="7" spans="1:7" ht="30.75" customHeight="1" x14ac:dyDescent="0.25">
      <c r="A7" s="2306" t="s">
        <v>2071</v>
      </c>
      <c r="B7" s="2307"/>
      <c r="C7" s="2307"/>
      <c r="D7" s="2307"/>
      <c r="E7" s="2307"/>
      <c r="F7" s="2307"/>
      <c r="G7" s="2308"/>
    </row>
    <row r="8" spans="1:7" ht="15.75" customHeight="1" x14ac:dyDescent="0.25">
      <c r="A8" s="2309" t="s">
        <v>2020</v>
      </c>
      <c r="B8" s="2310"/>
      <c r="C8" s="2310"/>
      <c r="D8" s="2310"/>
      <c r="E8" s="2310"/>
      <c r="F8" s="2310"/>
      <c r="G8" s="2311"/>
    </row>
    <row r="9" spans="1:7" ht="35.25" customHeight="1" x14ac:dyDescent="0.25">
      <c r="A9" s="2306" t="s">
        <v>2019</v>
      </c>
      <c r="B9" s="2307"/>
      <c r="C9" s="2307"/>
      <c r="D9" s="2307"/>
      <c r="E9" s="2307"/>
      <c r="F9" s="2307"/>
      <c r="G9" s="2308"/>
    </row>
    <row r="10" spans="1:7" ht="15" customHeight="1" x14ac:dyDescent="0.25">
      <c r="A10" s="1556" t="s">
        <v>1923</v>
      </c>
      <c r="B10" s="1557"/>
      <c r="C10" s="1557"/>
      <c r="D10" s="1557"/>
      <c r="E10" s="1557"/>
      <c r="F10" s="1557"/>
      <c r="G10" s="1558"/>
    </row>
    <row r="11" spans="1:7" ht="17.25" customHeight="1" x14ac:dyDescent="0.25">
      <c r="A11" s="2306" t="s">
        <v>1937</v>
      </c>
      <c r="B11" s="2307"/>
      <c r="C11" s="2307"/>
      <c r="D11" s="2307"/>
      <c r="E11" s="2307"/>
      <c r="F11" s="2307"/>
      <c r="G11" s="2308"/>
    </row>
    <row r="12" spans="1:7" ht="15" customHeight="1" x14ac:dyDescent="0.25">
      <c r="A12" s="1556" t="s">
        <v>1928</v>
      </c>
      <c r="B12" s="1557"/>
      <c r="C12" s="1557"/>
      <c r="D12" s="1557"/>
      <c r="E12" s="1557"/>
      <c r="F12" s="1557"/>
      <c r="G12" s="1558"/>
    </row>
    <row r="13" spans="1:7" ht="32.25" customHeight="1" x14ac:dyDescent="0.25">
      <c r="A13" s="2297" t="s">
        <v>1929</v>
      </c>
      <c r="B13" s="2298"/>
      <c r="C13" s="2298"/>
      <c r="D13" s="2298"/>
      <c r="E13" s="2298"/>
      <c r="F13" s="2298"/>
      <c r="G13" s="2299"/>
    </row>
    <row r="14" spans="1:7" x14ac:dyDescent="0.25">
      <c r="A14" s="1680" t="s">
        <v>1938</v>
      </c>
      <c r="B14" s="1681"/>
      <c r="C14" s="1681"/>
      <c r="D14" s="1681"/>
      <c r="E14" s="1681"/>
      <c r="F14" s="1681"/>
      <c r="G14" s="1682"/>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1939</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67" t="s">
        <v>2250</v>
      </c>
      <c r="B17" s="1968" t="s">
        <v>2251</v>
      </c>
      <c r="C17" s="1953" t="s">
        <v>2091</v>
      </c>
      <c r="D17" s="1864">
        <v>99953</v>
      </c>
      <c r="E17" s="1559">
        <f t="shared" ref="E17:E141" si="1">IF(D17&lt;=25000,D17,IF(D17&gt;25000,25000,0))</f>
        <v>25000</v>
      </c>
      <c r="F17" s="1812">
        <f t="shared" si="0"/>
        <v>25000</v>
      </c>
      <c r="G17" s="1813">
        <f>IF(F17=0,0,D17-F17)</f>
        <v>74953</v>
      </c>
      <c r="H17" s="1666"/>
    </row>
    <row r="18" spans="1:8" x14ac:dyDescent="0.25">
      <c r="A18" s="1967" t="s">
        <v>2250</v>
      </c>
      <c r="B18" s="1968" t="s">
        <v>2251</v>
      </c>
      <c r="C18" s="1953" t="s">
        <v>2092</v>
      </c>
      <c r="D18" s="1864">
        <v>223519</v>
      </c>
      <c r="E18" s="1559">
        <f t="shared" ref="E18:E140" si="2">IF(D18&lt;=25000,D18,IF(D18&gt;25000,25000,0))</f>
        <v>25000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140" si="4">IF(F18=0,0,D18-F18)</f>
        <v>198519</v>
      </c>
    </row>
    <row r="19" spans="1:8" x14ac:dyDescent="0.25">
      <c r="A19" s="1951" t="s">
        <v>2093</v>
      </c>
      <c r="B19" s="1952" t="s">
        <v>2094</v>
      </c>
      <c r="C19" s="1953" t="s">
        <v>2095</v>
      </c>
      <c r="D19" s="1864">
        <v>78020</v>
      </c>
      <c r="E19" s="1559">
        <f t="shared" si="2"/>
        <v>25000</v>
      </c>
      <c r="F19" s="1812">
        <f t="shared" si="3"/>
        <v>25000</v>
      </c>
      <c r="G19" s="1813">
        <f t="shared" si="4"/>
        <v>53020</v>
      </c>
    </row>
    <row r="20" spans="1:8" x14ac:dyDescent="0.25">
      <c r="A20" s="1951" t="s">
        <v>2096</v>
      </c>
      <c r="B20" s="1952" t="s">
        <v>2098</v>
      </c>
      <c r="C20" s="1953" t="s">
        <v>2097</v>
      </c>
      <c r="D20" s="1864">
        <v>43473</v>
      </c>
      <c r="E20" s="1559">
        <f t="shared" si="2"/>
        <v>25000</v>
      </c>
      <c r="F20" s="1812">
        <f t="shared" si="3"/>
        <v>25000</v>
      </c>
      <c r="G20" s="1813">
        <f t="shared" si="4"/>
        <v>18473</v>
      </c>
    </row>
    <row r="21" spans="1:8" x14ac:dyDescent="0.25">
      <c r="A21" s="1967" t="s">
        <v>2252</v>
      </c>
      <c r="B21" s="1952" t="s">
        <v>2099</v>
      </c>
      <c r="C21" s="1953" t="s">
        <v>2100</v>
      </c>
      <c r="D21" s="1864">
        <v>1392934</v>
      </c>
      <c r="E21" s="1559">
        <f t="shared" si="2"/>
        <v>25000</v>
      </c>
      <c r="F21" s="1812">
        <f t="shared" si="3"/>
        <v>25000</v>
      </c>
      <c r="G21" s="1813">
        <f t="shared" si="4"/>
        <v>1367934</v>
      </c>
    </row>
    <row r="22" spans="1:8" x14ac:dyDescent="0.25">
      <c r="A22" s="1967" t="s">
        <v>2253</v>
      </c>
      <c r="B22" s="1968" t="s">
        <v>2254</v>
      </c>
      <c r="C22" s="1953" t="s">
        <v>2101</v>
      </c>
      <c r="D22" s="1864">
        <v>30675</v>
      </c>
      <c r="E22" s="1559">
        <f t="shared" si="2"/>
        <v>25000</v>
      </c>
      <c r="F22" s="1812">
        <f t="shared" si="3"/>
        <v>25000</v>
      </c>
      <c r="G22" s="1813">
        <f t="shared" si="4"/>
        <v>5675</v>
      </c>
    </row>
    <row r="23" spans="1:8" x14ac:dyDescent="0.25">
      <c r="A23" s="1951" t="s">
        <v>2096</v>
      </c>
      <c r="B23" s="1952" t="s">
        <v>2098</v>
      </c>
      <c r="C23" s="1953" t="s">
        <v>2102</v>
      </c>
      <c r="D23" s="1864">
        <v>264083</v>
      </c>
      <c r="E23" s="1559">
        <f t="shared" si="2"/>
        <v>25000</v>
      </c>
      <c r="F23" s="1812">
        <f t="shared" si="3"/>
        <v>25000</v>
      </c>
      <c r="G23" s="1813">
        <f t="shared" si="4"/>
        <v>239083</v>
      </c>
    </row>
    <row r="24" spans="1:8" x14ac:dyDescent="0.25">
      <c r="A24" s="1967" t="s">
        <v>2250</v>
      </c>
      <c r="B24" s="1968" t="s">
        <v>2251</v>
      </c>
      <c r="C24" s="1953" t="s">
        <v>2103</v>
      </c>
      <c r="D24" s="1864">
        <v>56283</v>
      </c>
      <c r="E24" s="1559">
        <f t="shared" si="2"/>
        <v>25000</v>
      </c>
      <c r="F24" s="1812">
        <f t="shared" si="3"/>
        <v>25000</v>
      </c>
      <c r="G24" s="1813">
        <f t="shared" si="4"/>
        <v>31283</v>
      </c>
    </row>
    <row r="25" spans="1:8" x14ac:dyDescent="0.25">
      <c r="A25" s="1967" t="s">
        <v>2255</v>
      </c>
      <c r="B25" s="1968" t="s">
        <v>2256</v>
      </c>
      <c r="C25" s="1953" t="s">
        <v>2104</v>
      </c>
      <c r="D25" s="1864">
        <v>61099</v>
      </c>
      <c r="E25" s="1559">
        <f t="shared" si="2"/>
        <v>25000</v>
      </c>
      <c r="F25" s="1812">
        <f t="shared" si="3"/>
        <v>25000</v>
      </c>
      <c r="G25" s="1813">
        <f t="shared" si="4"/>
        <v>36099</v>
      </c>
    </row>
    <row r="26" spans="1:8" x14ac:dyDescent="0.25">
      <c r="A26" s="1951" t="s">
        <v>2096</v>
      </c>
      <c r="B26" s="1952" t="s">
        <v>2098</v>
      </c>
      <c r="C26" s="1953" t="s">
        <v>2105</v>
      </c>
      <c r="D26" s="1864">
        <v>97925</v>
      </c>
      <c r="E26" s="1559">
        <f t="shared" si="2"/>
        <v>25000</v>
      </c>
      <c r="F26" s="1812">
        <f t="shared" si="3"/>
        <v>25000</v>
      </c>
      <c r="G26" s="1813">
        <f t="shared" si="4"/>
        <v>72925</v>
      </c>
    </row>
    <row r="27" spans="1:8" x14ac:dyDescent="0.25">
      <c r="A27" s="1951" t="s">
        <v>2093</v>
      </c>
      <c r="B27" s="1952" t="s">
        <v>2094</v>
      </c>
      <c r="C27" s="1953" t="s">
        <v>2106</v>
      </c>
      <c r="D27" s="1864">
        <v>33088</v>
      </c>
      <c r="E27" s="1559">
        <f t="shared" si="2"/>
        <v>25000</v>
      </c>
      <c r="F27" s="1812">
        <f t="shared" si="3"/>
        <v>25000</v>
      </c>
      <c r="G27" s="1813">
        <f t="shared" si="4"/>
        <v>8088</v>
      </c>
    </row>
    <row r="28" spans="1:8" x14ac:dyDescent="0.25">
      <c r="A28" s="1967" t="s">
        <v>2257</v>
      </c>
      <c r="B28" s="1968" t="s">
        <v>2258</v>
      </c>
      <c r="C28" s="1953" t="s">
        <v>2107</v>
      </c>
      <c r="D28" s="1864">
        <v>38810</v>
      </c>
      <c r="E28" s="1559">
        <f t="shared" si="2"/>
        <v>25000</v>
      </c>
      <c r="F28" s="1812">
        <f t="shared" si="3"/>
        <v>25000</v>
      </c>
      <c r="G28" s="1813">
        <f t="shared" si="4"/>
        <v>13810</v>
      </c>
    </row>
    <row r="29" spans="1:8" x14ac:dyDescent="0.25">
      <c r="A29" s="1951"/>
      <c r="B29" s="1952"/>
      <c r="C29" s="1953"/>
      <c r="D29" s="1864"/>
      <c r="E29" s="1559">
        <f t="shared" si="2"/>
        <v>0</v>
      </c>
      <c r="F29" s="1812">
        <f t="shared" si="3"/>
        <v>0</v>
      </c>
      <c r="G29" s="1813">
        <f t="shared" si="4"/>
        <v>0</v>
      </c>
    </row>
    <row r="30" spans="1:8" x14ac:dyDescent="0.25">
      <c r="A30" s="1672"/>
      <c r="B30" s="1865"/>
      <c r="C30" s="1673"/>
      <c r="D30" s="1864"/>
      <c r="E30" s="1559">
        <f t="shared" si="2"/>
        <v>0</v>
      </c>
      <c r="F30" s="1812">
        <f t="shared" si="3"/>
        <v>0</v>
      </c>
      <c r="G30" s="1813">
        <f t="shared" si="4"/>
        <v>0</v>
      </c>
    </row>
    <row r="31" spans="1:8" x14ac:dyDescent="0.25">
      <c r="A31" s="1672"/>
      <c r="B31" s="1865"/>
      <c r="C31" s="1673"/>
      <c r="D31" s="1864"/>
      <c r="E31" s="1559">
        <f t="shared" si="2"/>
        <v>0</v>
      </c>
      <c r="F31" s="1812">
        <f t="shared" si="3"/>
        <v>0</v>
      </c>
      <c r="G31" s="1813">
        <f t="shared" si="4"/>
        <v>0</v>
      </c>
    </row>
    <row r="32" spans="1:8" x14ac:dyDescent="0.25">
      <c r="A32" s="1672"/>
      <c r="B32" s="1865"/>
      <c r="C32" s="1673"/>
      <c r="D32" s="1864"/>
      <c r="E32" s="1559">
        <f t="shared" si="2"/>
        <v>0</v>
      </c>
      <c r="F32" s="1812">
        <f t="shared" si="3"/>
        <v>0</v>
      </c>
      <c r="G32" s="1813">
        <f t="shared" si="4"/>
        <v>0</v>
      </c>
    </row>
    <row r="33" spans="1:7" x14ac:dyDescent="0.25">
      <c r="A33" s="1672"/>
      <c r="B33" s="1865"/>
      <c r="C33" s="1673"/>
      <c r="D33" s="1864"/>
      <c r="E33" s="1559">
        <f t="shared" si="2"/>
        <v>0</v>
      </c>
      <c r="F33" s="1812">
        <f t="shared" si="3"/>
        <v>0</v>
      </c>
      <c r="G33" s="1813">
        <f t="shared" si="4"/>
        <v>0</v>
      </c>
    </row>
    <row r="34" spans="1:7" x14ac:dyDescent="0.25">
      <c r="A34" s="1672"/>
      <c r="B34" s="1865"/>
      <c r="C34" s="1673"/>
      <c r="D34" s="1864"/>
      <c r="E34" s="1559">
        <f t="shared" si="2"/>
        <v>0</v>
      </c>
      <c r="F34" s="1812">
        <f t="shared" si="3"/>
        <v>0</v>
      </c>
      <c r="G34" s="1813">
        <f t="shared" si="4"/>
        <v>0</v>
      </c>
    </row>
    <row r="35" spans="1:7" x14ac:dyDescent="0.25">
      <c r="A35" s="1672"/>
      <c r="B35" s="1865"/>
      <c r="C35" s="1673"/>
      <c r="D35" s="1864"/>
      <c r="E35" s="1559">
        <f t="shared" si="2"/>
        <v>0</v>
      </c>
      <c r="F35" s="1812">
        <f t="shared" si="3"/>
        <v>0</v>
      </c>
      <c r="G35" s="1813">
        <f t="shared" si="4"/>
        <v>0</v>
      </c>
    </row>
    <row r="36" spans="1:7" x14ac:dyDescent="0.25">
      <c r="A36" s="1672"/>
      <c r="B36" s="1865"/>
      <c r="C36" s="1673"/>
      <c r="D36" s="1864"/>
      <c r="E36" s="1559">
        <f t="shared" si="2"/>
        <v>0</v>
      </c>
      <c r="F36" s="1812">
        <f t="shared" si="3"/>
        <v>0</v>
      </c>
      <c r="G36" s="1813">
        <f t="shared" si="4"/>
        <v>0</v>
      </c>
    </row>
    <row r="37" spans="1:7" x14ac:dyDescent="0.25">
      <c r="A37" s="1672"/>
      <c r="B37" s="1865"/>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951"/>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2419862</v>
      </c>
      <c r="E141" s="1560">
        <f t="shared" si="1"/>
        <v>25000</v>
      </c>
      <c r="F141" s="1814">
        <f>SUM(F17:F140)</f>
        <v>300000</v>
      </c>
      <c r="G141" s="1815">
        <f>SUM(G17:G140)</f>
        <v>2119862</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15" sqref="A15:F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1422</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2" t="s">
        <v>1777</v>
      </c>
      <c r="B5" s="2313"/>
      <c r="C5" s="2313"/>
      <c r="D5" s="2313"/>
      <c r="E5" s="2313"/>
      <c r="F5" s="2313"/>
      <c r="G5" s="231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800</v>
      </c>
      <c r="F9" s="975"/>
      <c r="G9" s="976"/>
      <c r="H9" s="162"/>
      <c r="I9" s="162"/>
    </row>
    <row r="10" spans="1:9" s="669" customFormat="1" ht="12" customHeight="1" x14ac:dyDescent="0.2">
      <c r="A10" s="971" t="s">
        <v>2072</v>
      </c>
      <c r="B10" s="972"/>
      <c r="C10" s="977"/>
      <c r="D10" s="973"/>
      <c r="E10" s="974">
        <v>590956</v>
      </c>
      <c r="F10" s="975"/>
      <c r="G10" s="976"/>
      <c r="H10" s="162"/>
      <c r="I10" s="162"/>
    </row>
    <row r="11" spans="1:9" s="669" customFormat="1" ht="22.5" customHeight="1" x14ac:dyDescent="0.2">
      <c r="A11" s="2317" t="s">
        <v>1941</v>
      </c>
      <c r="B11" s="2318"/>
      <c r="C11" s="2318"/>
      <c r="D11" s="2319"/>
      <c r="E11" s="978">
        <v>89519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10962644</v>
      </c>
      <c r="F19" s="1819"/>
      <c r="G19" s="1821">
        <f>'Expenditures 15-22'!K33-SUM('Expenditures 15-22'!G33,'Expenditures 15-22'!I33)+'Expenditures 15-22'!D229</f>
        <v>10962644</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906146</v>
      </c>
      <c r="F21" s="1822"/>
      <c r="G21" s="1825">
        <f>'Expenditures 15-22'!K42-SUM('Expenditures 15-22'!G42,'Expenditures 15-22'!I42)+'Expenditures 15-22'!K120-SUM('Expenditures 15-22'!G120,'Expenditures 15-22'!I120)+'Expenditures 15-22'!K180-SUM('Expenditures 15-22'!G180,'Expenditures 15-22'!I180)+'Expenditures 15-22'!D238</f>
        <v>906146</v>
      </c>
      <c r="H21" s="988"/>
      <c r="I21" s="162"/>
    </row>
    <row r="22" spans="1:9" s="669" customFormat="1" ht="12" customHeight="1" x14ac:dyDescent="0.2">
      <c r="A22" s="995" t="s">
        <v>585</v>
      </c>
      <c r="B22" s="996"/>
      <c r="C22" s="994">
        <v>2200</v>
      </c>
      <c r="D22" s="1822"/>
      <c r="E22" s="1824">
        <f>'Expenditures 15-22'!K47-SUM('Expenditures 15-22'!G47,'Expenditures 15-22'!I47)+'Expenditures 15-22'!D243</f>
        <v>343716</v>
      </c>
      <c r="F22" s="1822"/>
      <c r="G22" s="1825">
        <f>'Expenditures 15-22'!K47-SUM('Expenditures 15-22'!G47,'Expenditures 15-22'!I47)+'Expenditures 15-22'!D243</f>
        <v>343716</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669484</v>
      </c>
      <c r="F23" s="1822"/>
      <c r="G23" s="1824">
        <f>'Expenditures 15-22'!K53-SUM('Expenditures 15-22'!G53,'Expenditures 15-22'!I53)+'Expenditures 15-22'!D257+'Expenditures 15-22'!K330-SUM('Expenditures 15-22'!G330,'Expenditures 15-22'!I330)</f>
        <v>669484</v>
      </c>
      <c r="H23" s="988"/>
      <c r="I23" s="162"/>
    </row>
    <row r="24" spans="1:9" s="669" customFormat="1" ht="12" customHeight="1" x14ac:dyDescent="0.2">
      <c r="A24" s="995" t="s">
        <v>587</v>
      </c>
      <c r="B24" s="996"/>
      <c r="C24" s="994">
        <v>2400</v>
      </c>
      <c r="D24" s="1822"/>
      <c r="E24" s="1824">
        <f>'Expenditures 15-22'!K57-SUM('Expenditures 15-22'!G57,'Expenditures 15-22'!I57)+'Expenditures 15-22'!D261</f>
        <v>1071024</v>
      </c>
      <c r="F24" s="1822"/>
      <c r="G24" s="1825">
        <f>'Expenditures 15-22'!K57-SUM('Expenditures 15-22'!G57,'Expenditures 15-22'!I57)+'Expenditures 15-22'!D261</f>
        <v>1071024</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589468</v>
      </c>
      <c r="E27" s="1824">
        <f>E8</f>
        <v>0</v>
      </c>
      <c r="F27" s="1824">
        <f>'Expenditures 15-22'!K60-SUM('Expenditures 15-22'!G60,'Expenditures 15-22'!I60)+'Expenditures 15-22'!D264-E8</f>
        <v>589468</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2024981</v>
      </c>
      <c r="F28" s="1826">
        <f>'Expenditures 15-22'!K61-SUM('Expenditures 15-22'!G61,'Expenditures 15-22'!I61)+'Expenditures 15-22'!K124-SUM('Expenditures 15-22'!G124,'Expenditures 15-22'!I124)+'Expenditures 15-22'!D266-E9</f>
        <v>2024181</v>
      </c>
      <c r="G28" s="1825">
        <f>E9</f>
        <v>800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1394913</v>
      </c>
      <c r="F29" s="1822"/>
      <c r="G29" s="1825">
        <f>'Expenditures 15-22'!K62-SUM('Expenditures 15-22'!G62,'Expenditures 15-22'!I62)+'Expenditures 15-22'!K125-SUM('Expenditures 15-22'!G125,'Expenditures 15-22'!I125)+'Expenditures 15-22'!K182-SUM('Expenditures 15-22'!G182,'Expenditures 15-22'!I182)+'Expenditures 15-22'!D267</f>
        <v>1394913</v>
      </c>
      <c r="H29" s="986"/>
    </row>
    <row r="30" spans="1:9" ht="12" customHeight="1" x14ac:dyDescent="0.2">
      <c r="A30" s="995" t="s">
        <v>102</v>
      </c>
      <c r="B30" s="998"/>
      <c r="C30" s="994">
        <v>2560</v>
      </c>
      <c r="D30" s="1822"/>
      <c r="E30" s="1824">
        <f>'Expenditures 15-22'!K63-SUM('Expenditures 15-22'!G63,'Expenditures 15-22'!I63)+'Expenditures 15-22'!D268-E10</f>
        <v>519241</v>
      </c>
      <c r="F30" s="1822"/>
      <c r="G30" s="1824">
        <f>'Expenditures 15-22'!K63-SUM('Expenditures 15-22'!G63,'Expenditures 15-22'!I63)+'Expenditures 15-22'!D268-E10</f>
        <v>519241</v>
      </c>
    </row>
    <row r="31" spans="1:9" ht="12" customHeight="1" x14ac:dyDescent="0.2">
      <c r="A31" s="995" t="s">
        <v>103</v>
      </c>
      <c r="B31" s="998"/>
      <c r="C31" s="994">
        <v>2570</v>
      </c>
      <c r="D31" s="1824">
        <f>'Expenditures 15-22'!K64-SUM('Expenditures 15-22'!G64,'Expenditures 15-22'!I64)+'Expenditures 15-22'!D269-E12</f>
        <v>19868</v>
      </c>
      <c r="E31" s="1824">
        <f>E12</f>
        <v>0</v>
      </c>
      <c r="F31" s="1824">
        <f>'Expenditures 15-22'!K64-SUM('Expenditures 15-22'!G64,'Expenditures 15-22'!I64)+'Expenditures 15-22'!D269-E12</f>
        <v>19868</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24218</v>
      </c>
      <c r="F38" s="1822"/>
      <c r="G38" s="1824">
        <f>'Expenditures 15-22'!K73-SUM('Expenditures 15-22'!G73,'Expenditures 15-22'!I73)+'Expenditures 15-22'!K128-SUM('Expenditures 15-22'!G128,'Expenditures 15-22'!I128)+'Expenditures 15-22'!K183-SUM('Expenditures 15-22'!G183,'Expenditures 15-22'!I183)+'Expenditures 15-22'!D278</f>
        <v>24218</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16664</v>
      </c>
      <c r="F39" s="1822"/>
      <c r="G39" s="1824">
        <f>'Expenditures 15-22'!K75-SUM('Expenditures 15-22'!G75,'Expenditures 15-22'!I75)+'Expenditures 15-22'!K130-SUM('Expenditures 15-22'!G130,'Expenditures 15-22'!I130)+'Expenditures 15-22'!K185-SUM('Expenditures 15-22'!G185,'Expenditures 15-22'!I185)+'Expenditures 15-22'!D280</f>
        <v>16664</v>
      </c>
    </row>
    <row r="40" spans="1:7" ht="12" customHeight="1" x14ac:dyDescent="0.2">
      <c r="A40" s="991" t="s">
        <v>1926</v>
      </c>
      <c r="B40" s="992"/>
      <c r="C40" s="994"/>
      <c r="D40" s="1822"/>
      <c r="E40" s="1826">
        <f>-'Contracts Paid in CY 29'!G141</f>
        <v>-2119862</v>
      </c>
      <c r="F40" s="1822"/>
      <c r="G40" s="1826">
        <f>-'Contracts Paid in CY 29'!G141</f>
        <v>-2119862</v>
      </c>
    </row>
    <row r="41" spans="1:7" ht="12" customHeight="1" x14ac:dyDescent="0.2">
      <c r="A41" s="999" t="s">
        <v>158</v>
      </c>
      <c r="B41" s="1000"/>
      <c r="C41" s="1001"/>
      <c r="D41" s="1826">
        <f>SUM(D19:D39)</f>
        <v>609336</v>
      </c>
      <c r="E41" s="1826">
        <f>SUM(E19:E40)</f>
        <v>15813169</v>
      </c>
      <c r="F41" s="1826">
        <f>SUM(F19:F39)</f>
        <v>2633517</v>
      </c>
      <c r="G41" s="1826">
        <f>SUM(G19:G40)</f>
        <v>13788988</v>
      </c>
    </row>
    <row r="42" spans="1:7" x14ac:dyDescent="0.2">
      <c r="A42" s="988"/>
      <c r="B42" s="162"/>
      <c r="C42" s="1002"/>
      <c r="D42" s="2315" t="s">
        <v>543</v>
      </c>
      <c r="E42" s="2316"/>
      <c r="F42" s="1003" t="s">
        <v>544</v>
      </c>
      <c r="G42" s="1004"/>
    </row>
    <row r="43" spans="1:7" ht="12" customHeight="1" x14ac:dyDescent="0.2">
      <c r="A43" s="988"/>
      <c r="B43" s="162"/>
      <c r="C43" s="1002"/>
      <c r="D43" s="1827" t="s">
        <v>493</v>
      </c>
      <c r="E43" s="1828">
        <f>D41</f>
        <v>609336</v>
      </c>
      <c r="F43" s="1827" t="s">
        <v>495</v>
      </c>
      <c r="G43" s="1828">
        <f>F41</f>
        <v>2633517</v>
      </c>
    </row>
    <row r="44" spans="1:7" ht="12" customHeight="1" x14ac:dyDescent="0.2">
      <c r="A44" s="988"/>
      <c r="B44" s="162"/>
      <c r="C44" s="1002"/>
      <c r="D44" s="1827" t="s">
        <v>494</v>
      </c>
      <c r="E44" s="1828">
        <f>E41</f>
        <v>15813169</v>
      </c>
      <c r="F44" s="1827" t="s">
        <v>494</v>
      </c>
      <c r="G44" s="1828">
        <f>G41</f>
        <v>13788988</v>
      </c>
    </row>
    <row r="45" spans="1:7" ht="12" customHeight="1" x14ac:dyDescent="0.2">
      <c r="A45" s="988"/>
      <c r="B45" s="162"/>
      <c r="C45" s="162"/>
      <c r="D45" s="1829" t="s">
        <v>1063</v>
      </c>
      <c r="E45" s="1830">
        <f>(E43/E44)</f>
        <v>3.8533452719059662E-2</v>
      </c>
      <c r="F45" s="1829" t="s">
        <v>1063</v>
      </c>
      <c r="G45" s="1830">
        <f>(G43/G44)</f>
        <v>0.19098696728142775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heading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5" sqref="A15:F15"/>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34" t="s">
        <v>1445</v>
      </c>
      <c r="B1" s="2334"/>
      <c r="C1" s="2334"/>
      <c r="D1" s="2334"/>
      <c r="E1" s="2334"/>
      <c r="F1" s="2334"/>
    </row>
    <row r="2" spans="1:10" x14ac:dyDescent="0.2">
      <c r="A2" s="1908" t="s">
        <v>2044</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335" t="s">
        <v>1626</v>
      </c>
      <c r="B5" s="2336"/>
      <c r="C5" s="2337"/>
      <c r="D5" s="2337"/>
      <c r="E5" s="2337"/>
      <c r="F5" s="2337"/>
    </row>
    <row r="6" spans="1:10" ht="12" customHeight="1" x14ac:dyDescent="0.25">
      <c r="A6" s="1871"/>
      <c r="B6" s="1872"/>
      <c r="C6" s="2338" t="str">
        <f>COVER!A17</f>
        <v>Massac County CUSD 1</v>
      </c>
      <c r="D6" s="2338"/>
      <c r="E6" s="2338"/>
      <c r="F6" s="1873"/>
    </row>
    <row r="7" spans="1:10" ht="11.25" customHeight="1" thickBot="1" x14ac:dyDescent="0.3">
      <c r="A7" s="1871"/>
      <c r="B7" s="1872"/>
      <c r="C7" s="2339">
        <f>COVER!A13</f>
        <v>21061001026</v>
      </c>
      <c r="D7" s="2339"/>
      <c r="E7" s="2339"/>
      <c r="F7" s="1873"/>
    </row>
    <row r="8" spans="1:10" ht="25.5" customHeight="1" thickBot="1" x14ac:dyDescent="0.25">
      <c r="A8" s="1914" t="s">
        <v>2021</v>
      </c>
      <c r="B8" s="1874"/>
      <c r="C8" s="1910" t="s">
        <v>1779</v>
      </c>
      <c r="D8" s="1909" t="s">
        <v>1780</v>
      </c>
      <c r="E8" s="1911" t="s">
        <v>1446</v>
      </c>
      <c r="F8" s="1909" t="s">
        <v>1781</v>
      </c>
      <c r="H8" s="1875" t="b">
        <v>0</v>
      </c>
    </row>
    <row r="9" spans="1:10" ht="15.75" customHeight="1" x14ac:dyDescent="0.2">
      <c r="A9" s="1876" t="s">
        <v>1622</v>
      </c>
      <c r="B9" s="1877"/>
      <c r="C9" s="1878"/>
      <c r="D9" s="1878"/>
      <c r="E9" s="1879"/>
      <c r="F9" s="1880"/>
    </row>
    <row r="10" spans="1:10" ht="27.75" customHeight="1" x14ac:dyDescent="0.2">
      <c r="A10" s="1881" t="s">
        <v>1778</v>
      </c>
      <c r="B10" s="1882"/>
      <c r="C10" s="1883"/>
      <c r="D10" s="1883"/>
      <c r="E10" s="1912" t="s">
        <v>1447</v>
      </c>
      <c r="F10" s="1913" t="s">
        <v>1448</v>
      </c>
    </row>
    <row r="11" spans="1:10" ht="12" customHeight="1" x14ac:dyDescent="0.2">
      <c r="A11" s="1884" t="s">
        <v>1449</v>
      </c>
      <c r="B11" s="1885"/>
      <c r="C11" s="1886"/>
      <c r="D11" s="1886"/>
      <c r="E11" s="1887"/>
      <c r="F11" s="1888"/>
      <c r="H11" s="1899">
        <f>IF(C11="X",5,0)</f>
        <v>0</v>
      </c>
      <c r="I11" s="1899">
        <f>IF(D11="X",5,0)</f>
        <v>0</v>
      </c>
      <c r="J11" s="1899">
        <f>IF(E11="X",5,0)</f>
        <v>0</v>
      </c>
    </row>
    <row r="12" spans="1:10" ht="12" customHeight="1" x14ac:dyDescent="0.2">
      <c r="A12" s="1884" t="s">
        <v>1450</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1451</v>
      </c>
      <c r="B13" s="1885"/>
      <c r="C13" s="1886"/>
      <c r="D13" s="1886"/>
      <c r="E13" s="1889"/>
      <c r="F13" s="1888"/>
      <c r="H13" s="1899">
        <f t="shared" si="0"/>
        <v>0</v>
      </c>
      <c r="I13" s="1899">
        <f t="shared" si="1"/>
        <v>0</v>
      </c>
      <c r="J13" s="1899">
        <f t="shared" si="2"/>
        <v>0</v>
      </c>
    </row>
    <row r="14" spans="1:10" ht="12" customHeight="1" x14ac:dyDescent="0.2">
      <c r="A14" s="1884" t="s">
        <v>1452</v>
      </c>
      <c r="B14" s="1885"/>
      <c r="C14" s="1886"/>
      <c r="D14" s="1886"/>
      <c r="E14" s="1889"/>
      <c r="F14" s="1888"/>
      <c r="H14" s="1899">
        <f t="shared" si="0"/>
        <v>0</v>
      </c>
      <c r="I14" s="1899">
        <f t="shared" si="1"/>
        <v>0</v>
      </c>
      <c r="J14" s="1899">
        <f t="shared" si="2"/>
        <v>0</v>
      </c>
    </row>
    <row r="15" spans="1:10" ht="12" customHeight="1" x14ac:dyDescent="0.2">
      <c r="A15" s="1884" t="s">
        <v>1453</v>
      </c>
      <c r="B15" s="1885"/>
      <c r="C15" s="1886"/>
      <c r="D15" s="1886"/>
      <c r="E15" s="1889"/>
      <c r="F15" s="1888"/>
      <c r="H15" s="1899">
        <f t="shared" si="0"/>
        <v>0</v>
      </c>
      <c r="I15" s="1899">
        <f t="shared" si="1"/>
        <v>0</v>
      </c>
      <c r="J15" s="1899">
        <f t="shared" si="2"/>
        <v>0</v>
      </c>
    </row>
    <row r="16" spans="1:10" ht="12" customHeight="1" x14ac:dyDescent="0.2">
      <c r="A16" s="1884" t="s">
        <v>1454</v>
      </c>
      <c r="B16" s="1885"/>
      <c r="C16" s="1886"/>
      <c r="D16" s="1886"/>
      <c r="E16" s="1889"/>
      <c r="F16" s="1888"/>
      <c r="H16" s="1899">
        <f t="shared" si="0"/>
        <v>0</v>
      </c>
      <c r="I16" s="1899">
        <f t="shared" si="1"/>
        <v>0</v>
      </c>
      <c r="J16" s="1899">
        <f t="shared" si="2"/>
        <v>0</v>
      </c>
    </row>
    <row r="17" spans="1:12" ht="12" customHeight="1" x14ac:dyDescent="0.2">
      <c r="A17" s="1884" t="s">
        <v>1455</v>
      </c>
      <c r="B17" s="1885"/>
      <c r="C17" s="1886"/>
      <c r="D17" s="1886"/>
      <c r="E17" s="1889"/>
      <c r="F17" s="1888"/>
      <c r="H17" s="1899">
        <f t="shared" si="0"/>
        <v>0</v>
      </c>
      <c r="I17" s="1899">
        <f t="shared" si="1"/>
        <v>0</v>
      </c>
      <c r="J17" s="1899">
        <f t="shared" si="2"/>
        <v>0</v>
      </c>
    </row>
    <row r="18" spans="1:12" ht="12" customHeight="1" x14ac:dyDescent="0.2">
      <c r="A18" s="1884" t="s">
        <v>1456</v>
      </c>
      <c r="B18" s="1885"/>
      <c r="C18" s="1886"/>
      <c r="D18" s="1886"/>
      <c r="E18" s="1889"/>
      <c r="F18" s="1888"/>
      <c r="H18" s="1899">
        <f t="shared" si="0"/>
        <v>0</v>
      </c>
      <c r="I18" s="1899">
        <f t="shared" si="1"/>
        <v>0</v>
      </c>
      <c r="J18" s="1899">
        <f t="shared" si="2"/>
        <v>0</v>
      </c>
    </row>
    <row r="19" spans="1:12" ht="12" customHeight="1" x14ac:dyDescent="0.2">
      <c r="A19" s="1884" t="s">
        <v>1607</v>
      </c>
      <c r="B19" s="1885"/>
      <c r="C19" s="1886"/>
      <c r="D19" s="1886"/>
      <c r="E19" s="1889"/>
      <c r="F19" s="1888"/>
      <c r="H19" s="1899">
        <f t="shared" si="0"/>
        <v>0</v>
      </c>
      <c r="I19" s="1899">
        <f t="shared" si="1"/>
        <v>0</v>
      </c>
      <c r="J19" s="1899">
        <f t="shared" si="2"/>
        <v>0</v>
      </c>
    </row>
    <row r="20" spans="1:12" ht="12" customHeight="1" x14ac:dyDescent="0.2">
      <c r="A20" s="1884" t="s">
        <v>1608</v>
      </c>
      <c r="B20" s="1885"/>
      <c r="C20" s="1886"/>
      <c r="D20" s="1886"/>
      <c r="E20" s="1889"/>
      <c r="F20" s="1888"/>
      <c r="H20" s="1899">
        <f t="shared" si="0"/>
        <v>0</v>
      </c>
      <c r="I20" s="1899">
        <f t="shared" si="1"/>
        <v>0</v>
      </c>
      <c r="J20" s="1899">
        <f t="shared" si="2"/>
        <v>0</v>
      </c>
    </row>
    <row r="21" spans="1:12" ht="12" customHeight="1" x14ac:dyDescent="0.2">
      <c r="A21" s="1884" t="s">
        <v>1609</v>
      </c>
      <c r="B21" s="1885"/>
      <c r="C21" s="1886"/>
      <c r="D21" s="1886"/>
      <c r="E21" s="1889"/>
      <c r="F21" s="1888"/>
      <c r="H21" s="1899">
        <f t="shared" si="0"/>
        <v>0</v>
      </c>
      <c r="I21" s="1899">
        <f t="shared" si="1"/>
        <v>0</v>
      </c>
      <c r="J21" s="1899">
        <f t="shared" si="2"/>
        <v>0</v>
      </c>
    </row>
    <row r="22" spans="1:12" ht="12" customHeight="1" x14ac:dyDescent="0.2">
      <c r="A22" s="1884" t="s">
        <v>1610</v>
      </c>
      <c r="B22" s="1885"/>
      <c r="C22" s="1886"/>
      <c r="D22" s="1886"/>
      <c r="E22" s="1889"/>
      <c r="F22" s="1888"/>
      <c r="H22" s="1899">
        <f t="shared" si="0"/>
        <v>0</v>
      </c>
      <c r="I22" s="1899">
        <f t="shared" si="1"/>
        <v>0</v>
      </c>
      <c r="J22" s="1899">
        <f t="shared" si="2"/>
        <v>0</v>
      </c>
    </row>
    <row r="23" spans="1:12" ht="12" customHeight="1" x14ac:dyDescent="0.2">
      <c r="A23" s="1884" t="s">
        <v>1611</v>
      </c>
      <c r="B23" s="1885"/>
      <c r="C23" s="1886"/>
      <c r="D23" s="1886"/>
      <c r="E23" s="1889"/>
      <c r="F23" s="1888"/>
      <c r="H23" s="1899">
        <f t="shared" si="0"/>
        <v>0</v>
      </c>
      <c r="I23" s="1899">
        <f t="shared" si="1"/>
        <v>0</v>
      </c>
      <c r="J23" s="1899">
        <f t="shared" si="2"/>
        <v>0</v>
      </c>
    </row>
    <row r="24" spans="1:12" ht="12" customHeight="1" x14ac:dyDescent="0.2">
      <c r="A24" s="1884" t="s">
        <v>1612</v>
      </c>
      <c r="B24" s="1885"/>
      <c r="C24" s="1886"/>
      <c r="D24" s="1886"/>
      <c r="E24" s="1889"/>
      <c r="F24" s="1888"/>
      <c r="H24" s="1899">
        <f t="shared" si="0"/>
        <v>0</v>
      </c>
      <c r="I24" s="1899">
        <f t="shared" si="1"/>
        <v>0</v>
      </c>
      <c r="J24" s="1899">
        <f t="shared" si="2"/>
        <v>0</v>
      </c>
    </row>
    <row r="25" spans="1:12" ht="12" customHeight="1" x14ac:dyDescent="0.2">
      <c r="A25" s="1884" t="s">
        <v>1613</v>
      </c>
      <c r="B25" s="1885"/>
      <c r="C25" s="1886"/>
      <c r="D25" s="1886"/>
      <c r="E25" s="1889"/>
      <c r="F25" s="1888"/>
      <c r="H25" s="1899">
        <f t="shared" si="0"/>
        <v>0</v>
      </c>
      <c r="I25" s="1899">
        <f t="shared" si="1"/>
        <v>0</v>
      </c>
      <c r="J25" s="1899">
        <f t="shared" si="2"/>
        <v>0</v>
      </c>
    </row>
    <row r="26" spans="1:12" ht="12" customHeight="1" x14ac:dyDescent="0.2">
      <c r="A26" s="1884" t="s">
        <v>1614</v>
      </c>
      <c r="B26" s="1885"/>
      <c r="C26" s="1886"/>
      <c r="D26" s="1886"/>
      <c r="E26" s="1889"/>
      <c r="F26" s="1888"/>
      <c r="H26" s="1899">
        <f t="shared" si="0"/>
        <v>0</v>
      </c>
      <c r="I26" s="1899">
        <f t="shared" si="1"/>
        <v>0</v>
      </c>
      <c r="J26" s="1899">
        <f t="shared" si="2"/>
        <v>0</v>
      </c>
    </row>
    <row r="27" spans="1:12" ht="18.75" x14ac:dyDescent="0.2">
      <c r="A27" s="1884" t="s">
        <v>1615</v>
      </c>
      <c r="B27" s="1885"/>
      <c r="C27" s="1886"/>
      <c r="D27" s="1886"/>
      <c r="E27" s="1889"/>
      <c r="F27" s="1888"/>
      <c r="H27" s="1899">
        <f t="shared" si="0"/>
        <v>0</v>
      </c>
      <c r="I27" s="1899">
        <f t="shared" si="1"/>
        <v>0</v>
      </c>
      <c r="J27" s="1899">
        <f t="shared" si="2"/>
        <v>0</v>
      </c>
    </row>
    <row r="28" spans="1:12" ht="12" customHeight="1" x14ac:dyDescent="0.2">
      <c r="A28" s="1884" t="s">
        <v>1616</v>
      </c>
      <c r="B28" s="1885"/>
      <c r="C28" s="1886"/>
      <c r="D28" s="1886"/>
      <c r="E28" s="1889"/>
      <c r="F28" s="1888"/>
      <c r="H28" s="1899">
        <f t="shared" si="0"/>
        <v>0</v>
      </c>
      <c r="I28" s="1899">
        <f t="shared" si="1"/>
        <v>0</v>
      </c>
      <c r="J28" s="1899">
        <f t="shared" si="2"/>
        <v>0</v>
      </c>
    </row>
    <row r="29" spans="1:12" ht="12" customHeight="1" x14ac:dyDescent="0.2">
      <c r="A29" s="1884" t="s">
        <v>1617</v>
      </c>
      <c r="B29" s="1885"/>
      <c r="C29" s="1886"/>
      <c r="D29" s="1886"/>
      <c r="E29" s="1889"/>
      <c r="F29" s="1888"/>
      <c r="H29" s="1899">
        <f t="shared" si="0"/>
        <v>0</v>
      </c>
      <c r="I29" s="1899">
        <f t="shared" si="1"/>
        <v>0</v>
      </c>
      <c r="J29" s="1899">
        <f t="shared" si="2"/>
        <v>0</v>
      </c>
    </row>
    <row r="30" spans="1:12" ht="12" customHeight="1" x14ac:dyDescent="0.2">
      <c r="A30" s="1884" t="s">
        <v>1618</v>
      </c>
      <c r="B30" s="1885"/>
      <c r="C30" s="1886"/>
      <c r="D30" s="1886"/>
      <c r="E30" s="1889"/>
      <c r="F30" s="1888"/>
      <c r="H30" s="1899">
        <f t="shared" si="0"/>
        <v>0</v>
      </c>
      <c r="I30" s="1899">
        <f t="shared" si="1"/>
        <v>0</v>
      </c>
      <c r="J30" s="1899">
        <f t="shared" si="2"/>
        <v>0</v>
      </c>
    </row>
    <row r="31" spans="1:12" ht="12" customHeight="1" x14ac:dyDescent="0.2">
      <c r="A31" s="1884" t="s">
        <v>1619</v>
      </c>
      <c r="B31" s="1885"/>
      <c r="C31" s="1886" t="s">
        <v>2073</v>
      </c>
      <c r="D31" s="1886" t="s">
        <v>2073</v>
      </c>
      <c r="E31" s="1889"/>
      <c r="F31" s="1888" t="s">
        <v>2108</v>
      </c>
      <c r="H31" s="1899">
        <f t="shared" si="0"/>
        <v>5</v>
      </c>
      <c r="I31" s="1899">
        <f t="shared" si="1"/>
        <v>5</v>
      </c>
      <c r="J31" s="1899">
        <f t="shared" si="2"/>
        <v>0</v>
      </c>
      <c r="L31" s="1890"/>
    </row>
    <row r="32" spans="1:12" ht="12" customHeight="1" x14ac:dyDescent="0.2">
      <c r="A32" s="1884" t="s">
        <v>1620</v>
      </c>
      <c r="B32" s="1885"/>
      <c r="C32" s="1886"/>
      <c r="D32" s="1886"/>
      <c r="E32" s="1889"/>
      <c r="F32" s="1888"/>
      <c r="H32" s="1899">
        <f t="shared" si="0"/>
        <v>0</v>
      </c>
      <c r="I32" s="1899">
        <f t="shared" si="1"/>
        <v>0</v>
      </c>
      <c r="J32" s="1899">
        <f t="shared" si="2"/>
        <v>0</v>
      </c>
    </row>
    <row r="33" spans="1:11" ht="12" customHeight="1" x14ac:dyDescent="0.2">
      <c r="A33" s="1884" t="s">
        <v>1621</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5</v>
      </c>
      <c r="I34" s="1899">
        <f>SUM(I11:I32)</f>
        <v>5</v>
      </c>
      <c r="J34" s="1899">
        <f>SUM(J11:J32)</f>
        <v>0</v>
      </c>
      <c r="K34" s="1899">
        <f>SUM(H34:J34)</f>
        <v>10</v>
      </c>
    </row>
    <row r="35" spans="1:11" ht="12" customHeight="1" x14ac:dyDescent="0.2">
      <c r="A35" s="1892" t="s">
        <v>1458</v>
      </c>
      <c r="B35" s="1893"/>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94"/>
      <c r="B39" s="1894"/>
      <c r="C39" s="1894"/>
      <c r="D39" s="1894"/>
      <c r="E39" s="1894"/>
      <c r="F39" s="1894"/>
    </row>
    <row r="40" spans="1:11" s="1891" customFormat="1" ht="12" customHeight="1" x14ac:dyDescent="0.25">
      <c r="A40" s="1895" t="s">
        <v>1457</v>
      </c>
      <c r="B40" s="1896"/>
      <c r="C40" s="2329"/>
      <c r="D40" s="2329"/>
      <c r="E40" s="2329"/>
      <c r="F40" s="2330"/>
      <c r="H40" s="1900"/>
      <c r="I40" s="1900"/>
      <c r="J40" s="1900"/>
      <c r="K40" s="1900"/>
    </row>
    <row r="41" spans="1:11" s="1891" customFormat="1" ht="12" customHeight="1" x14ac:dyDescent="0.25">
      <c r="A41" s="2331"/>
      <c r="B41" s="2332"/>
      <c r="C41" s="2332"/>
      <c r="D41" s="2332"/>
      <c r="E41" s="2332"/>
      <c r="F41" s="2333"/>
      <c r="H41" s="1900"/>
      <c r="I41" s="1900"/>
      <c r="J41" s="1900"/>
      <c r="K41" s="1900"/>
    </row>
    <row r="42" spans="1:11" s="1891" customFormat="1" ht="12" customHeight="1" x14ac:dyDescent="0.25">
      <c r="A42" s="2331"/>
      <c r="B42" s="2332"/>
      <c r="C42" s="2332"/>
      <c r="D42" s="2332"/>
      <c r="E42" s="2332"/>
      <c r="F42" s="2333"/>
      <c r="H42" s="1900"/>
      <c r="I42" s="1900"/>
      <c r="J42" s="1900"/>
      <c r="K42" s="1900"/>
    </row>
    <row r="43" spans="1:11" s="1891" customFormat="1" ht="15" x14ac:dyDescent="0.25">
      <c r="A43" s="2320"/>
      <c r="B43" s="2321"/>
      <c r="C43" s="2321"/>
      <c r="D43" s="2321"/>
      <c r="E43" s="2321"/>
      <c r="F43" s="2322"/>
      <c r="H43" s="1900"/>
      <c r="I43" s="1900"/>
      <c r="J43" s="1900"/>
      <c r="K43" s="1900"/>
    </row>
    <row r="44" spans="1:11" s="1891" customFormat="1" ht="12" hidden="1" customHeight="1" x14ac:dyDescent="0.25">
      <c r="A44" s="2320"/>
      <c r="B44" s="2321"/>
      <c r="C44" s="2321"/>
      <c r="D44" s="2321"/>
      <c r="E44" s="2321"/>
      <c r="F44" s="2322"/>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heading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14" colorId="8" zoomScale="110" zoomScaleNormal="110" workbookViewId="0">
      <selection activeCell="A15" sqref="A15:F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1"/>
      <c r="C6" s="1661"/>
      <c r="D6" s="1661"/>
      <c r="E6" s="1662"/>
      <c r="F6" s="1016"/>
      <c r="G6" s="1010"/>
      <c r="H6" s="1017" t="s">
        <v>1086</v>
      </c>
      <c r="I6" s="2347" t="str">
        <f>COVER!A17</f>
        <v>Massac County CUSD 1</v>
      </c>
      <c r="J6" s="2348"/>
      <c r="Q6" s="1683"/>
    </row>
    <row r="7" spans="1:17" x14ac:dyDescent="0.2">
      <c r="A7" s="2349" t="s">
        <v>924</v>
      </c>
      <c r="B7" s="2350"/>
      <c r="C7" s="2350"/>
      <c r="D7" s="2350"/>
      <c r="E7" s="2351"/>
      <c r="F7" s="1018"/>
      <c r="G7" s="1010"/>
      <c r="H7" s="1017" t="s">
        <v>390</v>
      </c>
      <c r="I7" s="2352">
        <f>COVER!A13</f>
        <v>21061001026</v>
      </c>
      <c r="J7" s="235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6" t="s">
        <v>1700</v>
      </c>
      <c r="F9" s="1024"/>
      <c r="G9" s="1024"/>
      <c r="H9" s="1917"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128517</v>
      </c>
      <c r="F12" s="1040"/>
      <c r="G12" s="1831">
        <f t="shared" ref="G12:G18" si="0">SUM(E12:F12)</f>
        <v>128517</v>
      </c>
      <c r="H12" s="1041">
        <v>140803</v>
      </c>
      <c r="I12" s="1040"/>
      <c r="J12" s="1831">
        <f t="shared" ref="J12:J18" si="1">SUM(H12:I12)</f>
        <v>140803</v>
      </c>
    </row>
    <row r="13" spans="1:17" ht="15" customHeight="1" x14ac:dyDescent="0.2">
      <c r="A13" s="1036">
        <v>2</v>
      </c>
      <c r="B13" s="1037" t="s">
        <v>44</v>
      </c>
      <c r="C13" s="1038"/>
      <c r="D13" s="1039">
        <v>2330</v>
      </c>
      <c r="E13" s="1831">
        <f>'Expenditures 15-22'!K51</f>
        <v>14046</v>
      </c>
      <c r="F13" s="1040"/>
      <c r="G13" s="1831">
        <f t="shared" si="0"/>
        <v>14046</v>
      </c>
      <c r="H13" s="1041">
        <v>66500</v>
      </c>
      <c r="I13" s="1040"/>
      <c r="J13" s="1831">
        <f t="shared" si="1"/>
        <v>66500</v>
      </c>
    </row>
    <row r="14" spans="1:17" ht="15" customHeight="1" x14ac:dyDescent="0.2">
      <c r="A14" s="1036">
        <v>3</v>
      </c>
      <c r="B14" s="1037" t="s">
        <v>45</v>
      </c>
      <c r="C14" s="1038"/>
      <c r="D14" s="1042">
        <v>2490</v>
      </c>
      <c r="E14" s="1831">
        <f>'Expenditures 15-22'!K56</f>
        <v>4081</v>
      </c>
      <c r="F14" s="1040"/>
      <c r="G14" s="1831">
        <f t="shared" si="0"/>
        <v>4081</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19000</v>
      </c>
      <c r="F16" s="1040"/>
      <c r="G16" s="1831">
        <f t="shared" si="0"/>
        <v>19000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v>4800</v>
      </c>
      <c r="I17" s="1040"/>
      <c r="J17" s="1831">
        <f t="shared" si="1"/>
        <v>4800</v>
      </c>
    </row>
    <row r="18" spans="1:10" ht="22.5" customHeight="1" x14ac:dyDescent="0.2">
      <c r="A18" s="1043">
        <v>7</v>
      </c>
      <c r="B18" s="2356" t="s">
        <v>7</v>
      </c>
      <c r="C18" s="2357"/>
      <c r="D18" s="2358"/>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165644</v>
      </c>
      <c r="F19" s="1833">
        <f t="shared" si="2"/>
        <v>0</v>
      </c>
      <c r="G19" s="1833">
        <f t="shared" si="2"/>
        <v>165644</v>
      </c>
      <c r="H19" s="1833">
        <f t="shared" si="2"/>
        <v>212103</v>
      </c>
      <c r="I19" s="1833">
        <f t="shared" si="2"/>
        <v>0</v>
      </c>
      <c r="J19" s="1833">
        <f t="shared" si="2"/>
        <v>212103</v>
      </c>
    </row>
    <row r="20" spans="1:10" ht="13.5" thickTop="1" x14ac:dyDescent="0.2">
      <c r="A20" s="1036">
        <v>9</v>
      </c>
      <c r="B20" s="2359" t="s">
        <v>1702</v>
      </c>
      <c r="C20" s="2359"/>
      <c r="D20" s="2360"/>
      <c r="E20" s="1047"/>
      <c r="F20" s="1047"/>
      <c r="G20" s="1047"/>
      <c r="H20" s="1047"/>
      <c r="I20" s="1047"/>
      <c r="J20" s="1834">
        <f>IF(AND(G19&gt;0,J19&gt;0),(((J19-G19)/G19)),"Enter Budget Data")</f>
        <v>0.28047499456666103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1588</v>
      </c>
      <c r="G27" s="2361"/>
    </row>
    <row r="28" spans="1:10" ht="28.5" customHeight="1" x14ac:dyDescent="0.2">
      <c r="B28" s="1048"/>
      <c r="C28" s="2363"/>
      <c r="D28" s="2363"/>
      <c r="E28" s="1055"/>
      <c r="F28" s="2363"/>
      <c r="G28" s="2363"/>
    </row>
    <row r="29" spans="1:10" x14ac:dyDescent="0.2">
      <c r="B29" s="1048"/>
      <c r="C29" s="1056" t="s">
        <v>1641</v>
      </c>
      <c r="E29" s="1057"/>
      <c r="F29" s="2362" t="s">
        <v>1589</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t="s">
        <v>2073</v>
      </c>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1940</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D78"/>
  <sheetViews>
    <sheetView showGridLines="0" topLeftCell="A59" zoomScale="110" zoomScaleNormal="110" workbookViewId="0">
      <selection activeCell="A15" sqref="A15:F15"/>
    </sheetView>
  </sheetViews>
  <sheetFormatPr defaultColWidth="9.140625" defaultRowHeight="12.75" x14ac:dyDescent="0.2"/>
  <cols>
    <col min="1" max="1" width="4" style="329" customWidth="1"/>
    <col min="2" max="2" width="71.28515625" style="329" customWidth="1"/>
    <col min="3" max="3" width="8.7109375" style="329" customWidth="1"/>
    <col min="4" max="4" width="10.7109375" style="329" customWidth="1"/>
    <col min="5" max="16384" width="9.140625" style="329"/>
  </cols>
  <sheetData>
    <row r="2" spans="1:4" x14ac:dyDescent="0.2">
      <c r="A2" s="389" t="s">
        <v>276</v>
      </c>
    </row>
    <row r="3" spans="1:4" x14ac:dyDescent="0.2">
      <c r="A3" s="329" t="s">
        <v>277</v>
      </c>
    </row>
    <row r="5" spans="1:4" x14ac:dyDescent="0.2">
      <c r="A5" s="1959">
        <v>1</v>
      </c>
      <c r="B5" t="s">
        <v>2202</v>
      </c>
      <c r="C5"/>
      <c r="D5" s="1960"/>
    </row>
    <row r="6" spans="1:4" x14ac:dyDescent="0.2">
      <c r="A6" s="1959"/>
      <c r="B6" t="s">
        <v>2203</v>
      </c>
      <c r="C6"/>
      <c r="D6" s="1960"/>
    </row>
    <row r="7" spans="1:4" x14ac:dyDescent="0.2">
      <c r="A7" s="1959"/>
      <c r="B7" t="s">
        <v>2204</v>
      </c>
      <c r="C7"/>
      <c r="D7" s="1961">
        <v>2167</v>
      </c>
    </row>
    <row r="8" spans="1:4" x14ac:dyDescent="0.2">
      <c r="A8" s="1959"/>
      <c r="B8" t="s">
        <v>2205</v>
      </c>
      <c r="C8"/>
      <c r="D8" s="1960">
        <v>13838</v>
      </c>
    </row>
    <row r="9" spans="1:4" ht="15" x14ac:dyDescent="0.35">
      <c r="A9" s="1962"/>
      <c r="B9" t="s">
        <v>2206</v>
      </c>
      <c r="C9"/>
      <c r="D9" s="1963">
        <v>937</v>
      </c>
    </row>
    <row r="10" spans="1:4" ht="15" x14ac:dyDescent="0.35">
      <c r="A10" s="1962"/>
      <c r="B10"/>
      <c r="C10" t="s">
        <v>158</v>
      </c>
      <c r="D10" s="1964">
        <f>SUM(D7:D9)</f>
        <v>16942</v>
      </c>
    </row>
    <row r="11" spans="1:4" x14ac:dyDescent="0.2">
      <c r="A11" s="1962"/>
      <c r="B11"/>
      <c r="C11"/>
      <c r="D11" s="1960"/>
    </row>
    <row r="12" spans="1:4" x14ac:dyDescent="0.2">
      <c r="A12" s="1962">
        <v>2</v>
      </c>
      <c r="B12" t="s">
        <v>2207</v>
      </c>
      <c r="C12"/>
      <c r="D12" s="1960"/>
    </row>
    <row r="13" spans="1:4" x14ac:dyDescent="0.2">
      <c r="A13" s="1962"/>
      <c r="B13" t="s">
        <v>2208</v>
      </c>
      <c r="C13"/>
      <c r="D13" s="1960"/>
    </row>
    <row r="14" spans="1:4" x14ac:dyDescent="0.2">
      <c r="A14" s="1962"/>
      <c r="B14" t="s">
        <v>2209</v>
      </c>
      <c r="C14"/>
      <c r="D14" s="1961">
        <v>53381</v>
      </c>
    </row>
    <row r="15" spans="1:4" x14ac:dyDescent="0.2">
      <c r="A15" s="1962"/>
      <c r="B15" t="s">
        <v>2210</v>
      </c>
      <c r="C15"/>
      <c r="D15" s="1960">
        <v>8890</v>
      </c>
    </row>
    <row r="16" spans="1:4" x14ac:dyDescent="0.2">
      <c r="A16" s="1962"/>
      <c r="B16" s="1" t="s">
        <v>2237</v>
      </c>
      <c r="C16"/>
      <c r="D16" s="1960">
        <v>8297</v>
      </c>
    </row>
    <row r="17" spans="1:4" ht="15" x14ac:dyDescent="0.35">
      <c r="A17" s="1962"/>
      <c r="B17" t="s">
        <v>2206</v>
      </c>
      <c r="C17"/>
      <c r="D17" s="1963">
        <v>11176</v>
      </c>
    </row>
    <row r="18" spans="1:4" ht="15" x14ac:dyDescent="0.35">
      <c r="A18" s="1962"/>
      <c r="B18"/>
      <c r="C18" t="s">
        <v>158</v>
      </c>
      <c r="D18" s="1964">
        <f>SUM(D14:D17)</f>
        <v>81744</v>
      </c>
    </row>
    <row r="19" spans="1:4" x14ac:dyDescent="0.2">
      <c r="A19" s="1962"/>
      <c r="B19"/>
      <c r="C19"/>
      <c r="D19" s="1960"/>
    </row>
    <row r="20" spans="1:4" x14ac:dyDescent="0.2">
      <c r="A20" s="1962">
        <v>3</v>
      </c>
      <c r="B20" t="s">
        <v>2207</v>
      </c>
      <c r="C20"/>
      <c r="D20" s="1960"/>
    </row>
    <row r="21" spans="1:4" x14ac:dyDescent="0.2">
      <c r="A21" s="1962"/>
      <c r="B21" t="s">
        <v>2211</v>
      </c>
      <c r="C21"/>
      <c r="D21" s="1960"/>
    </row>
    <row r="22" spans="1:4" ht="15" x14ac:dyDescent="0.35">
      <c r="A22" s="1962"/>
      <c r="B22" t="s">
        <v>2206</v>
      </c>
      <c r="C22"/>
      <c r="D22" s="1965">
        <v>207</v>
      </c>
    </row>
    <row r="23" spans="1:4" ht="15" x14ac:dyDescent="0.35">
      <c r="A23" s="1962"/>
      <c r="B23"/>
      <c r="C23" t="s">
        <v>158</v>
      </c>
      <c r="D23" s="1964">
        <v>207</v>
      </c>
    </row>
    <row r="24" spans="1:4" x14ac:dyDescent="0.2">
      <c r="A24" s="1962"/>
      <c r="B24"/>
      <c r="C24"/>
      <c r="D24" s="1960"/>
    </row>
    <row r="25" spans="1:4" x14ac:dyDescent="0.2">
      <c r="A25" s="1962">
        <v>4</v>
      </c>
      <c r="B25" t="s">
        <v>2207</v>
      </c>
      <c r="C25"/>
      <c r="D25" s="1960"/>
    </row>
    <row r="26" spans="1:4" x14ac:dyDescent="0.2">
      <c r="A26" s="1962"/>
      <c r="B26" t="s">
        <v>2212</v>
      </c>
      <c r="C26"/>
      <c r="D26" s="1961"/>
    </row>
    <row r="27" spans="1:4" ht="15" x14ac:dyDescent="0.35">
      <c r="A27" s="1962"/>
      <c r="B27" t="s">
        <v>2206</v>
      </c>
      <c r="C27"/>
      <c r="D27" s="1965">
        <v>562</v>
      </c>
    </row>
    <row r="28" spans="1:4" ht="15" x14ac:dyDescent="0.35">
      <c r="A28" s="1962"/>
      <c r="B28"/>
      <c r="C28" t="s">
        <v>158</v>
      </c>
      <c r="D28" s="1964">
        <v>562</v>
      </c>
    </row>
    <row r="29" spans="1:4" ht="15" x14ac:dyDescent="0.35">
      <c r="A29" s="1962"/>
      <c r="B29"/>
      <c r="C29"/>
      <c r="D29" s="1964"/>
    </row>
    <row r="30" spans="1:4" ht="15" x14ac:dyDescent="0.35">
      <c r="A30" s="1962">
        <v>5</v>
      </c>
      <c r="B30" s="1" t="s">
        <v>2234</v>
      </c>
      <c r="C30"/>
      <c r="D30" s="1964"/>
    </row>
    <row r="31" spans="1:4" ht="15" x14ac:dyDescent="0.35">
      <c r="A31" s="1962"/>
      <c r="B31" s="1" t="s">
        <v>2235</v>
      </c>
      <c r="C31"/>
      <c r="D31" s="1964"/>
    </row>
    <row r="32" spans="1:4" x14ac:dyDescent="0.2">
      <c r="A32" s="1962"/>
      <c r="B32" s="1" t="s">
        <v>2236</v>
      </c>
      <c r="C32"/>
      <c r="D32" s="1966">
        <v>22540</v>
      </c>
    </row>
    <row r="33" spans="1:4" ht="15" x14ac:dyDescent="0.35">
      <c r="A33" s="1962"/>
      <c r="B33" s="1" t="s">
        <v>2238</v>
      </c>
      <c r="C33"/>
      <c r="D33" s="1963">
        <v>1000</v>
      </c>
    </row>
    <row r="34" spans="1:4" ht="15" x14ac:dyDescent="0.35">
      <c r="A34" s="1962"/>
      <c r="B34" s="1"/>
      <c r="C34" s="1" t="s">
        <v>158</v>
      </c>
      <c r="D34" s="1964">
        <f>D32+D33</f>
        <v>23540</v>
      </c>
    </row>
    <row r="35" spans="1:4" x14ac:dyDescent="0.2">
      <c r="A35" s="1962"/>
      <c r="B35"/>
      <c r="C35"/>
      <c r="D35" s="1960"/>
    </row>
    <row r="36" spans="1:4" x14ac:dyDescent="0.2">
      <c r="A36" s="1962">
        <v>6</v>
      </c>
      <c r="B36" t="s">
        <v>2213</v>
      </c>
      <c r="C36"/>
      <c r="D36" s="1960"/>
    </row>
    <row r="37" spans="1:4" x14ac:dyDescent="0.2">
      <c r="A37" s="1962"/>
      <c r="B37" t="s">
        <v>2214</v>
      </c>
      <c r="C37"/>
      <c r="D37" s="1960"/>
    </row>
    <row r="38" spans="1:4" x14ac:dyDescent="0.2">
      <c r="A38" s="1962"/>
      <c r="B38" t="s">
        <v>2215</v>
      </c>
      <c r="C38"/>
      <c r="D38" s="1961">
        <v>32649</v>
      </c>
    </row>
    <row r="39" spans="1:4" x14ac:dyDescent="0.2">
      <c r="A39" s="1962"/>
      <c r="B39" t="s">
        <v>2216</v>
      </c>
      <c r="C39"/>
      <c r="D39" s="1960">
        <v>11374</v>
      </c>
    </row>
    <row r="40" spans="1:4" x14ac:dyDescent="0.2">
      <c r="A40" s="1962"/>
      <c r="B40" t="s">
        <v>2217</v>
      </c>
      <c r="C40"/>
      <c r="D40" s="1960">
        <v>4429</v>
      </c>
    </row>
    <row r="41" spans="1:4" x14ac:dyDescent="0.2">
      <c r="A41" s="1962"/>
      <c r="B41" t="s">
        <v>2218</v>
      </c>
      <c r="C41"/>
      <c r="D41" s="1960">
        <v>10800</v>
      </c>
    </row>
    <row r="42" spans="1:4" x14ac:dyDescent="0.2">
      <c r="A42" s="1962"/>
      <c r="B42" t="s">
        <v>2219</v>
      </c>
      <c r="C42"/>
      <c r="D42" s="1960">
        <v>3499</v>
      </c>
    </row>
    <row r="43" spans="1:4" x14ac:dyDescent="0.2">
      <c r="A43" s="1962"/>
      <c r="B43" t="s">
        <v>2220</v>
      </c>
      <c r="C43"/>
      <c r="D43" s="1960">
        <v>5889</v>
      </c>
    </row>
    <row r="44" spans="1:4" ht="15" x14ac:dyDescent="0.35">
      <c r="A44" s="1962"/>
      <c r="B44" t="s">
        <v>2221</v>
      </c>
      <c r="C44"/>
      <c r="D44" s="1963">
        <v>1159</v>
      </c>
    </row>
    <row r="45" spans="1:4" ht="15" x14ac:dyDescent="0.35">
      <c r="A45" s="1962"/>
      <c r="B45"/>
      <c r="C45" t="s">
        <v>158</v>
      </c>
      <c r="D45" s="1964">
        <f>SUM(D38:D44)</f>
        <v>69799</v>
      </c>
    </row>
    <row r="46" spans="1:4" x14ac:dyDescent="0.2">
      <c r="A46" s="1962"/>
      <c r="B46"/>
      <c r="C46"/>
      <c r="D46" s="1960"/>
    </row>
    <row r="47" spans="1:4" x14ac:dyDescent="0.2">
      <c r="A47" s="1962">
        <v>7</v>
      </c>
      <c r="B47" t="s">
        <v>2222</v>
      </c>
      <c r="C47"/>
      <c r="D47" s="1960"/>
    </row>
    <row r="48" spans="1:4" x14ac:dyDescent="0.2">
      <c r="A48" s="1962"/>
      <c r="B48" t="s">
        <v>2223</v>
      </c>
      <c r="C48"/>
      <c r="D48" s="1960"/>
    </row>
    <row r="49" spans="1:4" x14ac:dyDescent="0.2">
      <c r="A49" s="1962"/>
      <c r="B49" t="s">
        <v>2224</v>
      </c>
      <c r="C49"/>
      <c r="D49" s="1961">
        <v>603</v>
      </c>
    </row>
    <row r="50" spans="1:4" x14ac:dyDescent="0.2">
      <c r="A50" s="1962"/>
      <c r="B50" s="1" t="s">
        <v>2239</v>
      </c>
      <c r="C50"/>
      <c r="D50" s="1960">
        <v>3015</v>
      </c>
    </row>
    <row r="51" spans="1:4" ht="15" x14ac:dyDescent="0.35">
      <c r="A51" s="1962"/>
      <c r="B51" s="1" t="s">
        <v>2240</v>
      </c>
      <c r="C51"/>
      <c r="D51" s="1963">
        <v>463</v>
      </c>
    </row>
    <row r="52" spans="1:4" ht="15" x14ac:dyDescent="0.35">
      <c r="A52" s="1962"/>
      <c r="B52"/>
      <c r="C52" t="s">
        <v>158</v>
      </c>
      <c r="D52" s="1964">
        <f>D49+D50+D51</f>
        <v>4081</v>
      </c>
    </row>
    <row r="53" spans="1:4" x14ac:dyDescent="0.2">
      <c r="A53" s="1962"/>
      <c r="B53"/>
      <c r="C53"/>
      <c r="D53" s="1960"/>
    </row>
    <row r="54" spans="1:4" x14ac:dyDescent="0.2">
      <c r="A54" s="1962">
        <v>8</v>
      </c>
      <c r="B54" t="s">
        <v>2226</v>
      </c>
      <c r="C54"/>
      <c r="D54" s="1960"/>
    </row>
    <row r="55" spans="1:4" x14ac:dyDescent="0.2">
      <c r="A55" s="1962"/>
      <c r="B55" t="s">
        <v>2227</v>
      </c>
      <c r="C55"/>
      <c r="D55" s="1960"/>
    </row>
    <row r="56" spans="1:4" ht="15" x14ac:dyDescent="0.35">
      <c r="A56" s="1962"/>
      <c r="B56" s="1" t="s">
        <v>2241</v>
      </c>
      <c r="C56"/>
      <c r="D56" s="1965">
        <v>2041</v>
      </c>
    </row>
    <row r="57" spans="1:4" ht="15" x14ac:dyDescent="0.35">
      <c r="A57" s="1962"/>
      <c r="B57"/>
      <c r="C57" t="s">
        <v>158</v>
      </c>
      <c r="D57" s="1964">
        <v>2041</v>
      </c>
    </row>
    <row r="58" spans="1:4" x14ac:dyDescent="0.2">
      <c r="A58" s="1962"/>
      <c r="B58"/>
      <c r="C58"/>
      <c r="D58" s="1960"/>
    </row>
    <row r="59" spans="1:4" x14ac:dyDescent="0.2">
      <c r="A59" s="1962">
        <v>9</v>
      </c>
      <c r="B59" s="1" t="s">
        <v>2232</v>
      </c>
      <c r="C59"/>
      <c r="D59" s="1960"/>
    </row>
    <row r="60" spans="1:4" x14ac:dyDescent="0.2">
      <c r="A60" s="1962"/>
      <c r="B60" s="1" t="s">
        <v>2233</v>
      </c>
      <c r="C60"/>
      <c r="D60" s="1960"/>
    </row>
    <row r="61" spans="1:4" ht="15" x14ac:dyDescent="0.35">
      <c r="A61" s="1962"/>
      <c r="B61" s="1" t="s">
        <v>2242</v>
      </c>
      <c r="C61"/>
      <c r="D61" s="1965">
        <v>9487</v>
      </c>
    </row>
    <row r="62" spans="1:4" ht="15" x14ac:dyDescent="0.35">
      <c r="A62" s="1962"/>
      <c r="B62" s="1"/>
      <c r="C62"/>
      <c r="D62" s="1964">
        <v>9487</v>
      </c>
    </row>
    <row r="63" spans="1:4" x14ac:dyDescent="0.2">
      <c r="A63" s="1962"/>
      <c r="B63" s="1"/>
      <c r="C63"/>
      <c r="D63" s="1960"/>
    </row>
    <row r="64" spans="1:4" x14ac:dyDescent="0.2">
      <c r="A64" s="1962"/>
      <c r="B64"/>
      <c r="C64"/>
      <c r="D64" s="1960"/>
    </row>
    <row r="65" spans="1:4" x14ac:dyDescent="0.2">
      <c r="A65" s="1962">
        <v>10</v>
      </c>
      <c r="B65" t="s">
        <v>2228</v>
      </c>
      <c r="C65"/>
      <c r="D65" s="1960"/>
    </row>
    <row r="66" spans="1:4" x14ac:dyDescent="0.2">
      <c r="A66" s="1962"/>
      <c r="B66" t="s">
        <v>2229</v>
      </c>
      <c r="C66"/>
      <c r="D66" s="1960"/>
    </row>
    <row r="67" spans="1:4" ht="15" x14ac:dyDescent="0.35">
      <c r="A67" s="1962"/>
      <c r="B67" t="s">
        <v>2217</v>
      </c>
      <c r="C67"/>
      <c r="D67" s="1965">
        <v>2078</v>
      </c>
    </row>
    <row r="68" spans="1:4" ht="15" x14ac:dyDescent="0.35">
      <c r="A68" s="1962"/>
      <c r="B68"/>
      <c r="C68" t="s">
        <v>158</v>
      </c>
      <c r="D68" s="1964">
        <v>2078</v>
      </c>
    </row>
    <row r="69" spans="1:4" x14ac:dyDescent="0.2">
      <c r="A69" s="1962"/>
      <c r="B69"/>
      <c r="C69"/>
      <c r="D69" s="1960"/>
    </row>
    <row r="70" spans="1:4" x14ac:dyDescent="0.2">
      <c r="A70" s="1962">
        <v>11</v>
      </c>
      <c r="B70" t="s">
        <v>2230</v>
      </c>
      <c r="C70"/>
      <c r="D70" s="1960"/>
    </row>
    <row r="71" spans="1:4" x14ac:dyDescent="0.2">
      <c r="A71" s="1962"/>
      <c r="B71" t="s">
        <v>2231</v>
      </c>
      <c r="C71"/>
      <c r="D71" s="1960"/>
    </row>
    <row r="72" spans="1:4" ht="15" x14ac:dyDescent="0.35">
      <c r="A72" s="1962"/>
      <c r="B72" t="s">
        <v>2225</v>
      </c>
      <c r="C72"/>
      <c r="D72" s="1965">
        <v>53</v>
      </c>
    </row>
    <row r="73" spans="1:4" ht="15" x14ac:dyDescent="0.35">
      <c r="A73" s="1962"/>
      <c r="B73"/>
      <c r="C73" t="s">
        <v>158</v>
      </c>
      <c r="D73" s="1964">
        <v>53</v>
      </c>
    </row>
    <row r="75" spans="1:4" x14ac:dyDescent="0.2">
      <c r="A75" s="1962">
        <v>12</v>
      </c>
      <c r="B75" s="1" t="s">
        <v>2248</v>
      </c>
      <c r="C75"/>
      <c r="D75" s="1960"/>
    </row>
    <row r="76" spans="1:4" x14ac:dyDescent="0.2">
      <c r="A76" s="1962"/>
      <c r="B76" s="1" t="s">
        <v>2249</v>
      </c>
      <c r="C76"/>
      <c r="D76" s="1960"/>
    </row>
    <row r="77" spans="1:4" ht="15" x14ac:dyDescent="0.35">
      <c r="A77" s="1962"/>
      <c r="B77" s="1" t="s">
        <v>2268</v>
      </c>
      <c r="C77"/>
      <c r="D77" s="1965">
        <v>24218</v>
      </c>
    </row>
    <row r="78" spans="1:4" ht="15" x14ac:dyDescent="0.35">
      <c r="A78" s="1962"/>
      <c r="B78"/>
      <c r="C78" t="s">
        <v>158</v>
      </c>
      <c r="D78" s="1964">
        <v>24218</v>
      </c>
    </row>
  </sheetData>
  <phoneticPr fontId="15" type="noConversion"/>
  <printOptions horizontalCentered="1" verticalCentered="1"/>
  <pageMargins left="1" right="1" top="1" bottom="1" header="0.5" footer="1"/>
  <pageSetup scale="6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5" sqref="A15:F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1707</v>
      </c>
    </row>
    <row r="22" spans="1:5" x14ac:dyDescent="0.2">
      <c r="A22" s="168"/>
      <c r="B22" s="162" t="s">
        <v>1964</v>
      </c>
      <c r="C22" s="162" t="s">
        <v>1231</v>
      </c>
      <c r="D22" s="167" t="s">
        <v>1966</v>
      </c>
      <c r="E22" s="1856" t="s">
        <v>1708</v>
      </c>
    </row>
    <row r="23" spans="1:5" x14ac:dyDescent="0.2">
      <c r="A23" s="168"/>
      <c r="B23" s="162" t="s">
        <v>1965</v>
      </c>
      <c r="D23" s="167" t="s">
        <v>658</v>
      </c>
      <c r="E23" s="1856" t="s">
        <v>1016</v>
      </c>
    </row>
    <row r="24" spans="1:5" x14ac:dyDescent="0.2">
      <c r="A24" s="168" t="s">
        <v>1706</v>
      </c>
      <c r="C24" s="162" t="s">
        <v>1231</v>
      </c>
      <c r="D24" s="167" t="s">
        <v>1459</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1432</v>
      </c>
    </row>
    <row r="29" spans="1:5" x14ac:dyDescent="0.2">
      <c r="A29" s="168" t="s">
        <v>1982</v>
      </c>
      <c r="D29" s="169" t="s">
        <v>1460</v>
      </c>
      <c r="E29" s="170" t="s">
        <v>1441</v>
      </c>
    </row>
    <row r="30" spans="1:5" x14ac:dyDescent="0.2">
      <c r="A30" s="173" t="s">
        <v>1983</v>
      </c>
      <c r="C30" s="162" t="s">
        <v>1231</v>
      </c>
      <c r="D30" s="169" t="s">
        <v>42</v>
      </c>
      <c r="E30" s="170" t="s">
        <v>1039</v>
      </c>
    </row>
    <row r="31" spans="1:5" x14ac:dyDescent="0.2">
      <c r="A31" s="168" t="s">
        <v>1601</v>
      </c>
      <c r="C31" s="162" t="s">
        <v>1231</v>
      </c>
      <c r="D31" s="167"/>
      <c r="E31" s="171"/>
    </row>
    <row r="32" spans="1:5" x14ac:dyDescent="0.2">
      <c r="B32" s="167" t="s">
        <v>1984</v>
      </c>
      <c r="C32" s="162" t="s">
        <v>1231</v>
      </c>
      <c r="D32" s="169" t="s">
        <v>1602</v>
      </c>
      <c r="E32" s="170" t="s">
        <v>1461</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1705</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5" sqref="A15:F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1480</v>
      </c>
      <c r="D6" s="24"/>
    </row>
    <row r="7" spans="1:4" ht="13.5" customHeight="1" x14ac:dyDescent="0.2">
      <c r="A7" s="23"/>
      <c r="B7" s="25"/>
      <c r="C7" s="65" t="s">
        <v>1481</v>
      </c>
      <c r="D7" s="24"/>
    </row>
    <row r="8" spans="1:4" ht="13.5" customHeight="1" x14ac:dyDescent="0.2">
      <c r="A8" s="23"/>
      <c r="B8" s="146" t="s">
        <v>1000</v>
      </c>
      <c r="C8" s="65" t="s">
        <v>1466</v>
      </c>
      <c r="D8" s="24"/>
    </row>
    <row r="9" spans="1:4" ht="13.5" customHeight="1" x14ac:dyDescent="0.2">
      <c r="A9" s="14"/>
      <c r="B9" s="144" t="s">
        <v>1001</v>
      </c>
      <c r="C9" s="142" t="s">
        <v>1385</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1465</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1572</v>
      </c>
    </row>
    <row r="15" spans="1:6" x14ac:dyDescent="0.2">
      <c r="A15" s="389" t="s">
        <v>912</v>
      </c>
    </row>
    <row r="16" spans="1:6" s="1069" customFormat="1" ht="45" customHeight="1" x14ac:dyDescent="0.2">
      <c r="A16" s="1071"/>
      <c r="B16" s="1071" t="s">
        <v>1782</v>
      </c>
    </row>
    <row r="17" spans="1:2" ht="6" customHeight="1" x14ac:dyDescent="0.2"/>
    <row r="18" spans="1:2" ht="24.75" customHeight="1" x14ac:dyDescent="0.2">
      <c r="A18" s="2366" t="s">
        <v>1783</v>
      </c>
      <c r="B18" s="23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7" r:id="rId4">
          <objectPr defaultSize="0" r:id="rId5">
            <anchor moveWithCells="1">
              <from>
                <xdr:col>1</xdr:col>
                <xdr:colOff>581025</xdr:colOff>
                <xdr:row>2</xdr:row>
                <xdr:rowOff>19050</xdr:rowOff>
              </from>
              <to>
                <xdr:col>1</xdr:col>
                <xdr:colOff>1495425</xdr:colOff>
                <xdr:row>6</xdr:row>
                <xdr:rowOff>57150</xdr:rowOff>
              </to>
            </anchor>
          </objectPr>
        </oleObject>
      </mc:Choice>
      <mc:Fallback>
        <oleObject progId="Acrobat Document" dvAspect="DVASPECT_ICON" shapeId="3686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5" sqref="A15: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1789</v>
      </c>
      <c r="B1" s="2368"/>
      <c r="C1" s="2368"/>
      <c r="D1" s="2368"/>
      <c r="E1" s="2368"/>
      <c r="F1" s="2369"/>
    </row>
    <row r="2" spans="1:8" ht="45" customHeight="1" x14ac:dyDescent="0.2">
      <c r="A2" s="2377" t="s">
        <v>1790</v>
      </c>
      <c r="B2" s="2378"/>
      <c r="C2" s="2378"/>
      <c r="D2" s="2378"/>
      <c r="E2" s="2378"/>
      <c r="F2" s="2379"/>
      <c r="G2" s="1072"/>
      <c r="H2" s="1072"/>
    </row>
    <row r="3" spans="1:8" ht="57" customHeight="1" x14ac:dyDescent="0.2">
      <c r="A3" s="2380" t="s">
        <v>1785</v>
      </c>
      <c r="B3" s="2381"/>
      <c r="C3" s="2381"/>
      <c r="D3" s="2381"/>
      <c r="E3" s="2381"/>
      <c r="F3" s="2382"/>
      <c r="G3" s="1072"/>
      <c r="H3" s="1072"/>
    </row>
    <row r="4" spans="1:8" ht="14.25" customHeight="1" x14ac:dyDescent="0.2">
      <c r="A4" s="2386" t="s">
        <v>2052</v>
      </c>
      <c r="B4" s="2387"/>
      <c r="C4" s="2387"/>
      <c r="D4" s="2387"/>
      <c r="E4" s="2387"/>
      <c r="F4" s="2388"/>
      <c r="G4" s="1072"/>
      <c r="H4" s="1072"/>
    </row>
    <row r="5" spans="1:8" ht="14.25" customHeight="1" x14ac:dyDescent="0.2">
      <c r="A5" s="2389" t="s">
        <v>2053</v>
      </c>
      <c r="B5" s="2390"/>
      <c r="C5" s="2390"/>
      <c r="D5" s="2390"/>
      <c r="E5" s="2390"/>
      <c r="F5" s="2391"/>
      <c r="G5" s="1072"/>
      <c r="H5" s="1072"/>
    </row>
    <row r="6" spans="1:8" s="1073" customFormat="1" ht="41.25" customHeight="1" x14ac:dyDescent="0.2">
      <c r="A6" s="2383" t="s">
        <v>1791</v>
      </c>
      <c r="B6" s="2384"/>
      <c r="C6" s="2384"/>
      <c r="D6" s="2384"/>
      <c r="E6" s="2384"/>
      <c r="F6" s="2385"/>
    </row>
    <row r="7" spans="1:8" ht="42" customHeight="1" x14ac:dyDescent="0.2">
      <c r="A7" s="1074" t="s">
        <v>502</v>
      </c>
      <c r="B7" s="1075" t="s">
        <v>1575</v>
      </c>
      <c r="C7" s="1075" t="s">
        <v>1576</v>
      </c>
      <c r="D7" s="1075" t="s">
        <v>1574</v>
      </c>
      <c r="E7" s="1075" t="s">
        <v>1577</v>
      </c>
      <c r="F7" s="1075" t="s">
        <v>1433</v>
      </c>
    </row>
    <row r="8" spans="1:8" s="1077" customFormat="1" ht="14.25" customHeight="1" x14ac:dyDescent="0.2">
      <c r="A8" s="1076" t="s">
        <v>1434</v>
      </c>
      <c r="B8" s="1835">
        <f>'Acct Summary 7-8'!C8</f>
        <v>16383757</v>
      </c>
      <c r="C8" s="1835">
        <f>'Acct Summary 7-8'!D8</f>
        <v>1933107</v>
      </c>
      <c r="D8" s="1835">
        <f>'Acct Summary 7-8'!F8</f>
        <v>1394143</v>
      </c>
      <c r="E8" s="1835">
        <f>'Acct Summary 7-8'!I8</f>
        <v>66436</v>
      </c>
      <c r="F8" s="1835">
        <f>SUM(B8:E8)</f>
        <v>19777443</v>
      </c>
    </row>
    <row r="9" spans="1:8" s="1077" customFormat="1" ht="14.25" customHeight="1" thickBot="1" x14ac:dyDescent="0.25">
      <c r="A9" s="1076" t="s">
        <v>1435</v>
      </c>
      <c r="B9" s="1836">
        <f>'Acct Summary 7-8'!C17</f>
        <v>15071092</v>
      </c>
      <c r="C9" s="1836">
        <f>'Acct Summary 7-8'!D17</f>
        <v>1933107</v>
      </c>
      <c r="D9" s="1836">
        <f>'Acct Summary 7-8'!F17</f>
        <v>1394113</v>
      </c>
      <c r="E9" s="1835"/>
      <c r="F9" s="1835">
        <f>SUM(B9:E9)</f>
        <v>18398312</v>
      </c>
    </row>
    <row r="10" spans="1:8" s="1077" customFormat="1" ht="14.25" thickTop="1" thickBot="1" x14ac:dyDescent="0.25">
      <c r="A10" s="1078" t="s">
        <v>1436</v>
      </c>
      <c r="B10" s="1837">
        <f>(B8-B9)</f>
        <v>1312665</v>
      </c>
      <c r="C10" s="1837">
        <f>(C8-C9)</f>
        <v>0</v>
      </c>
      <c r="D10" s="1837">
        <f>(D8-D9)</f>
        <v>30</v>
      </c>
      <c r="E10" s="1836">
        <f>(E8-E9)</f>
        <v>66436</v>
      </c>
      <c r="F10" s="1838">
        <f>SUM(F8-F9)</f>
        <v>1379131</v>
      </c>
    </row>
    <row r="11" spans="1:8" s="1077" customFormat="1" ht="14.25" thickTop="1" thickBot="1" x14ac:dyDescent="0.25">
      <c r="A11" s="1079" t="s">
        <v>1784</v>
      </c>
      <c r="B11" s="1839">
        <f>'Acct Summary 7-8'!C81</f>
        <v>4783845</v>
      </c>
      <c r="C11" s="1839">
        <f>'Acct Summary 7-8'!D81</f>
        <v>0</v>
      </c>
      <c r="D11" s="1839">
        <f>'Acct Summary 7-8'!F81</f>
        <v>30</v>
      </c>
      <c r="E11" s="1839">
        <f>'Acct Summary 7-8'!I81</f>
        <v>94889</v>
      </c>
      <c r="F11" s="1840">
        <f>SUM(B11:E11)</f>
        <v>4878764</v>
      </c>
    </row>
    <row r="12" spans="1:8" ht="16.5" customHeight="1" thickTop="1" x14ac:dyDescent="0.2">
      <c r="A12" s="1080"/>
      <c r="B12" s="1081"/>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2"/>
      <c r="B13" s="1083"/>
      <c r="C13" s="2371"/>
      <c r="D13" s="2372"/>
      <c r="E13" s="2372"/>
      <c r="F13" s="2373"/>
      <c r="H13" s="1072"/>
    </row>
    <row r="14" spans="1:8" ht="19.5" customHeight="1" x14ac:dyDescent="0.2">
      <c r="A14" s="1082"/>
      <c r="B14" s="1083"/>
      <c r="C14" s="2371"/>
      <c r="D14" s="2372"/>
      <c r="E14" s="2372"/>
      <c r="F14" s="2373"/>
      <c r="H14" s="1072"/>
    </row>
    <row r="15" spans="1:8" ht="17.25" customHeight="1" x14ac:dyDescent="0.2">
      <c r="A15" s="1082"/>
      <c r="B15" s="1083"/>
      <c r="C15" s="2374"/>
      <c r="D15" s="2375"/>
      <c r="E15" s="2375"/>
      <c r="F15" s="2376"/>
      <c r="H15" s="1072"/>
    </row>
    <row r="16" spans="1:8" s="310" customFormat="1" ht="51.75" hidden="1" customHeight="1" x14ac:dyDescent="0.2">
      <c r="A16" s="2370" t="s">
        <v>1786</v>
      </c>
      <c r="B16" s="2370"/>
      <c r="C16" s="2370"/>
      <c r="D16" s="2370"/>
      <c r="E16" s="2370"/>
      <c r="F16" s="310" t="s">
        <v>1437</v>
      </c>
    </row>
    <row r="17" spans="1:6" hidden="1" x14ac:dyDescent="0.2">
      <c r="A17" s="316" t="s">
        <v>1787</v>
      </c>
      <c r="F17" s="108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8"/>
      <c r="B2" s="1919"/>
      <c r="C2" s="1920"/>
      <c r="D2" s="1921"/>
    </row>
    <row r="3" spans="1:4" ht="36" customHeight="1" x14ac:dyDescent="0.2">
      <c r="A3" s="2392" t="s">
        <v>686</v>
      </c>
      <c r="B3" s="2393"/>
      <c r="C3" s="2393"/>
      <c r="D3" s="2394"/>
    </row>
    <row r="4" spans="1:4" x14ac:dyDescent="0.2">
      <c r="A4" s="1150" t="s">
        <v>1792</v>
      </c>
      <c r="B4" s="1151"/>
      <c r="C4" s="1152"/>
      <c r="D4" s="1153"/>
    </row>
    <row r="5" spans="1:4" ht="21" customHeight="1" x14ac:dyDescent="0.2">
      <c r="A5" s="1146"/>
      <c r="B5" s="1147">
        <v>1</v>
      </c>
      <c r="C5" s="1148" t="s">
        <v>1942</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403" t="s">
        <v>1583</v>
      </c>
      <c r="D7" s="2404"/>
    </row>
    <row r="8" spans="1:4" s="669" customFormat="1" ht="12.75" x14ac:dyDescent="0.2">
      <c r="A8" s="1136"/>
      <c r="B8" s="1091"/>
      <c r="C8" s="1094" t="s">
        <v>1582</v>
      </c>
      <c r="D8" s="1095"/>
    </row>
    <row r="9" spans="1:4" s="669" customFormat="1" ht="14.25" customHeight="1" x14ac:dyDescent="0.2">
      <c r="A9" s="1136"/>
      <c r="B9" s="1091">
        <f>B7+1</f>
        <v>4</v>
      </c>
      <c r="C9" s="1092" t="s">
        <v>2045</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1584</v>
      </c>
      <c r="D14" s="1135"/>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4" t="s">
        <v>1793</v>
      </c>
      <c r="B17" s="1155"/>
      <c r="C17" s="1156"/>
      <c r="D17" s="1157"/>
    </row>
    <row r="18" spans="1:10" s="669"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734</v>
      </c>
    </row>
    <row r="21" spans="1:10" x14ac:dyDescent="0.2">
      <c r="A21" s="1096"/>
      <c r="B21" s="1097">
        <v>1</v>
      </c>
      <c r="C21" s="2407" t="s">
        <v>332</v>
      </c>
      <c r="D21" s="2408"/>
    </row>
    <row r="22" spans="1:10" ht="12.75" x14ac:dyDescent="0.2">
      <c r="A22" s="1137"/>
      <c r="B22" s="1138">
        <v>2</v>
      </c>
      <c r="C22" s="2405" t="s">
        <v>1604</v>
      </c>
      <c r="D22" s="2406"/>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1398</v>
      </c>
      <c r="D24" s="1140" t="str">
        <f>IF(COVER!O11="X","OK",IF(AND('Aud Quest 2'!J90=0,'Aud Quest 2'!I77&lt;DATE(2017,12,31)),"ENTER ACCOUNTING INFO",IF(AND('Aud Quest 2'!J90&gt;0,'Aud Quest 2'!I77&lt;DATE(2017,12,31)),"OK")))</f>
        <v>OK</v>
      </c>
    </row>
    <row r="25" spans="1:10" x14ac:dyDescent="0.2">
      <c r="A25" s="1098"/>
      <c r="B25" s="1099"/>
      <c r="C25" s="1100" t="s">
        <v>1606</v>
      </c>
      <c r="D25" s="1101" t="str">
        <f>IF(AND(COVER!J29="X",COVER!J30="X",COVER!L30&lt;&gt;"X"),"OK",IF(AND(COVER!J29="X",COVER!J30&lt;&gt;"X",COVER!L30="X"),"OK",IF(AND(COVER!L29="X",COVER!J30&lt;&gt;"X"),"OK","PLEASE CHECK YES or NO.")))</f>
        <v>OK</v>
      </c>
    </row>
    <row r="26" spans="1:10" x14ac:dyDescent="0.2">
      <c r="A26" s="1098"/>
      <c r="B26" s="1141"/>
      <c r="C26" s="1102" t="s">
        <v>1605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1439</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09" t="s">
        <v>557</v>
      </c>
      <c r="D43" s="2410"/>
    </row>
    <row r="44" spans="1:12" x14ac:dyDescent="0.2">
      <c r="A44" s="1117"/>
      <c r="B44" s="1119"/>
      <c r="C44" s="1120" t="s">
        <v>1401</v>
      </c>
      <c r="D44" s="1121" t="str">
        <f>IF(SUM('Assets-Liab 5-6'!C13)&lt;&gt;SUM('Assets-Liab 5-6'!C41),"ERROR!","OK")</f>
        <v>OK</v>
      </c>
    </row>
    <row r="45" spans="1:12" x14ac:dyDescent="0.2">
      <c r="A45" s="1117"/>
      <c r="B45" s="1119"/>
      <c r="C45" s="1120" t="s">
        <v>1402</v>
      </c>
      <c r="D45" s="1121" t="str">
        <f>IF(SUM('Assets-Liab 5-6'!D13)&lt;&gt;SUM('Assets-Liab 5-6'!D41),"ERROR!","OK")</f>
        <v>OK</v>
      </c>
    </row>
    <row r="46" spans="1:12" x14ac:dyDescent="0.2">
      <c r="A46" s="1117"/>
      <c r="B46" s="1119"/>
      <c r="C46" s="1120" t="s">
        <v>1403</v>
      </c>
      <c r="D46" s="1121" t="str">
        <f>IF(SUM('Assets-Liab 5-6'!E13)&lt;&gt;SUM('Assets-Liab 5-6'!E41),"ERROR!","OK")</f>
        <v>OK</v>
      </c>
    </row>
    <row r="47" spans="1:12" x14ac:dyDescent="0.2">
      <c r="A47" s="1117"/>
      <c r="B47" s="1119"/>
      <c r="C47" s="1120" t="s">
        <v>1404</v>
      </c>
      <c r="D47" s="1121" t="str">
        <f>IF(SUM('Assets-Liab 5-6'!F13)&lt;&gt;SUM('Assets-Liab 5-6'!F41),"ERROR!","OK")</f>
        <v>OK</v>
      </c>
    </row>
    <row r="48" spans="1:12" x14ac:dyDescent="0.2">
      <c r="A48" s="1117"/>
      <c r="B48" s="1119"/>
      <c r="C48" s="1120" t="s">
        <v>1405</v>
      </c>
      <c r="D48" s="1121" t="str">
        <f>IF(SUM('Assets-Liab 5-6'!G13)&lt;&gt;SUM('Assets-Liab 5-6'!G41),"ERROR!","OK")</f>
        <v>OK</v>
      </c>
    </row>
    <row r="49" spans="1:4" x14ac:dyDescent="0.2">
      <c r="A49" s="1117"/>
      <c r="B49" s="1119"/>
      <c r="C49" s="1120" t="s">
        <v>1406</v>
      </c>
      <c r="D49" s="1121" t="str">
        <f>IF(SUM('Assets-Liab 5-6'!H13)&lt;&gt;SUM('Assets-Liab 5-6'!H41),"ERROR!","OK")</f>
        <v>OK</v>
      </c>
    </row>
    <row r="50" spans="1:4" x14ac:dyDescent="0.2">
      <c r="A50" s="1117"/>
      <c r="B50" s="1119"/>
      <c r="C50" s="1120" t="s">
        <v>1407</v>
      </c>
      <c r="D50" s="1121" t="str">
        <f>IF(SUM('Assets-Liab 5-6'!I13)&lt;&gt;SUM('Assets-Liab 5-6'!I41),"ERROR!","OK")</f>
        <v>OK</v>
      </c>
    </row>
    <row r="51" spans="1:4" x14ac:dyDescent="0.2">
      <c r="A51" s="1117"/>
      <c r="B51" s="1119"/>
      <c r="C51" s="1120" t="s">
        <v>1408</v>
      </c>
      <c r="D51" s="1121" t="str">
        <f>IF(SUM('Assets-Liab 5-6'!J13)&lt;&gt;SUM('Assets-Liab 5-6'!J41),"ERROR!","OK")</f>
        <v>OK</v>
      </c>
    </row>
    <row r="52" spans="1:4" x14ac:dyDescent="0.2">
      <c r="A52" s="1117"/>
      <c r="B52" s="1119"/>
      <c r="C52" s="1120" t="s">
        <v>1409</v>
      </c>
      <c r="D52" s="1121" t="str">
        <f>IF(SUM('Assets-Liab 5-6'!K13)&lt;&gt;SUM('Assets-Liab 5-6'!K41),"ERROR!","OK")</f>
        <v>OK</v>
      </c>
    </row>
    <row r="53" spans="1:4" x14ac:dyDescent="0.2">
      <c r="A53" s="1117"/>
      <c r="B53" s="1119"/>
      <c r="C53" s="1120" t="s">
        <v>1410</v>
      </c>
      <c r="D53" s="1121" t="str">
        <f>IF(SUM('Assets-Liab 5-6'!L13)&lt;&gt;('Assets-Liab 5-6'!L41),"ERROR!","OK")</f>
        <v>OK</v>
      </c>
    </row>
    <row r="54" spans="1:4" x14ac:dyDescent="0.2">
      <c r="A54" s="1117"/>
      <c r="B54" s="1119"/>
      <c r="C54" s="1120" t="s">
        <v>1411</v>
      </c>
      <c r="D54" s="1121" t="str">
        <f>IF(SUM('Assets-Liab 5-6'!M23)&lt;&gt;('Assets-Liab 5-6'!M41),"ERROR!","OK")</f>
        <v>OK</v>
      </c>
    </row>
    <row r="55" spans="1:4" x14ac:dyDescent="0.2">
      <c r="A55" s="1117"/>
      <c r="B55" s="1119"/>
      <c r="C55" s="1120" t="s">
        <v>1412</v>
      </c>
      <c r="D55" s="1121" t="str">
        <f>IF(SUM('Assets-Liab 5-6'!N23)&lt;&gt;('Assets-Liab 5-6'!N41),"ERROR!","OK")</f>
        <v>OK</v>
      </c>
    </row>
    <row r="56" spans="1:4" x14ac:dyDescent="0.2">
      <c r="A56" s="1098"/>
      <c r="B56" s="1118">
        <f>B43+1</f>
        <v>6</v>
      </c>
      <c r="C56" s="2401" t="s">
        <v>817</v>
      </c>
      <c r="D56" s="2402"/>
    </row>
    <row r="57" spans="1:4" s="1114" customFormat="1" x14ac:dyDescent="0.2">
      <c r="A57" s="1098"/>
      <c r="B57" s="1108"/>
      <c r="C57" s="1116" t="s">
        <v>1413</v>
      </c>
      <c r="D57" s="1122" t="str">
        <f>IF('Assets-Liab 5-6'!C38+'Assets-Liab 5-6'!C39='Acct Summary 7-8'!C81,"OK","ERROR!")</f>
        <v>OK</v>
      </c>
    </row>
    <row r="58" spans="1:4" x14ac:dyDescent="0.2">
      <c r="A58" s="1098"/>
      <c r="B58" s="1108"/>
      <c r="C58" s="1116" t="s">
        <v>1414</v>
      </c>
      <c r="D58" s="1122" t="str">
        <f>IF((('Assets-Liab 5-6'!D38+'Assets-Liab 5-6'!D39) ='Acct Summary 7-8'!D81), "OK", "ERROR!" )</f>
        <v>OK</v>
      </c>
    </row>
    <row r="59" spans="1:4" s="1114" customFormat="1" x14ac:dyDescent="0.2">
      <c r="A59" s="1098"/>
      <c r="B59" s="1108"/>
      <c r="C59" s="1116" t="s">
        <v>1415</v>
      </c>
      <c r="D59" s="1122" t="str">
        <f>IF((('Assets-Liab 5-6'!E38 + 'Assets-Liab 5-6'!E39) ='Acct Summary 7-8'!E81), "OK", "ERROR!" )</f>
        <v>OK</v>
      </c>
    </row>
    <row r="60" spans="1:4" x14ac:dyDescent="0.2">
      <c r="A60" s="1098"/>
      <c r="B60" s="1108"/>
      <c r="C60" s="1116" t="s">
        <v>1416</v>
      </c>
      <c r="D60" s="1122" t="str">
        <f>IF((('Assets-Liab 5-6'!F38 + 'Assets-Liab 5-6'!F39) ='Acct Summary 7-8'!F81), "OK", "ERROR!" )</f>
        <v>OK</v>
      </c>
    </row>
    <row r="61" spans="1:4" ht="12.75" customHeight="1" x14ac:dyDescent="0.2">
      <c r="A61" s="1098"/>
      <c r="B61" s="1108"/>
      <c r="C61" s="1116" t="s">
        <v>1429</v>
      </c>
      <c r="D61" s="1122" t="str">
        <f>IF((('Assets-Liab 5-6'!G38 + 'Assets-Liab 5-6'!G39) ='Acct Summary 7-8'!G81), "OK", "ERROR!" )</f>
        <v>OK</v>
      </c>
    </row>
    <row r="62" spans="1:4" x14ac:dyDescent="0.2">
      <c r="A62" s="1098"/>
      <c r="B62" s="1108"/>
      <c r="C62" s="1116" t="s">
        <v>1417</v>
      </c>
      <c r="D62" s="1122" t="str">
        <f>IF((('Assets-Liab 5-6'!H38 + 'Assets-Liab 5-6'!H39) ='Acct Summary 7-8'!H81), "OK", "ERROR!" )</f>
        <v>OK</v>
      </c>
    </row>
    <row r="63" spans="1:4" ht="12.75" customHeight="1" x14ac:dyDescent="0.2">
      <c r="A63" s="1098"/>
      <c r="B63" s="1108"/>
      <c r="C63" s="1116" t="s">
        <v>1418</v>
      </c>
      <c r="D63" s="1122" t="str">
        <f>IF((('Assets-Liab 5-6'!I38 + 'Assets-Liab 5-6'!I39) ='Acct Summary 7-8'!I81), "OK", "ERROR!" )</f>
        <v>OK</v>
      </c>
    </row>
    <row r="64" spans="1:4" x14ac:dyDescent="0.2">
      <c r="A64" s="1098"/>
      <c r="B64" s="1108"/>
      <c r="C64" s="1116" t="s">
        <v>1419</v>
      </c>
      <c r="D64" s="1122" t="str">
        <f>IF((('Assets-Liab 5-6'!J38 + 'Assets-Liab 5-6'!J39) ='Acct Summary 7-8'!J81), "OK", "ERROR!" )</f>
        <v>OK</v>
      </c>
    </row>
    <row r="65" spans="1:4" x14ac:dyDescent="0.2">
      <c r="A65" s="1115"/>
      <c r="B65" s="1108"/>
      <c r="C65" s="1116" t="s">
        <v>1430</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1079</v>
      </c>
      <c r="D67" s="1123"/>
    </row>
    <row r="68" spans="1:4" x14ac:dyDescent="0.2">
      <c r="A68" s="1098"/>
      <c r="B68" s="1108"/>
      <c r="C68" s="1100" t="s">
        <v>2047</v>
      </c>
      <c r="D68" s="1122" t="str">
        <f>IF('Short-Term Long-Term Debt 24'!F49=SUM(,'Acct Summary 7-8'!C33:K33),"OK","ERROR!")</f>
        <v>OK</v>
      </c>
    </row>
    <row r="69" spans="1:4" x14ac:dyDescent="0.2">
      <c r="A69" s="1098"/>
      <c r="B69" s="1108"/>
      <c r="C69" s="1100" t="s">
        <v>2048</v>
      </c>
      <c r="D69" s="1122" t="str">
        <f>IF('Expenditures 15-22'!H170&lt;&gt;'Short-Term Long-Term Debt 24'!H49,"ERROR!","OK")</f>
        <v>OK</v>
      </c>
    </row>
    <row r="70" spans="1:4" x14ac:dyDescent="0.2">
      <c r="A70" s="1096"/>
      <c r="B70" s="1118">
        <f>B66+1</f>
        <v>9</v>
      </c>
      <c r="C70" s="2401" t="s">
        <v>1796</v>
      </c>
      <c r="D70" s="2402"/>
    </row>
    <row r="71" spans="1:4" x14ac:dyDescent="0.2">
      <c r="A71" s="1096"/>
      <c r="B71" s="1118"/>
      <c r="C71" s="1100" t="s">
        <v>1420</v>
      </c>
      <c r="D71" s="1124" t="str">
        <f>IF(SUM('Acct Summary 7-8'!C27:K27) =SUM( 'Acct Summary 7-8'!C49:K49),"OK", "ERROR")</f>
        <v>OK</v>
      </c>
    </row>
    <row r="72" spans="1:4" x14ac:dyDescent="0.2">
      <c r="A72" s="1098"/>
      <c r="B72" s="1108"/>
      <c r="C72" s="1116" t="s">
        <v>1421</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1443</v>
      </c>
      <c r="D75" s="1122" t="str">
        <f>IF(SUM('Assets-Liab 5-6'!C38:H38)&gt;=SUM('Rest Tax Levies-Tort Im 25'!G25:K25),"OK","ERROR")</f>
        <v>OK</v>
      </c>
    </row>
    <row r="76" spans="1:4" x14ac:dyDescent="0.2">
      <c r="A76" s="1098"/>
      <c r="B76" s="1108"/>
      <c r="C76" s="1116" t="s">
        <v>1489</v>
      </c>
      <c r="D76" s="1122" t="str">
        <f>IF(SUM('Assets-Liab 5-6'!C39:K39)&gt;0,"OK","ENTRY IS REQUIRED!")</f>
        <v>OK</v>
      </c>
    </row>
    <row r="77" spans="1:4" x14ac:dyDescent="0.2">
      <c r="A77" s="1098"/>
      <c r="B77" s="1127">
        <f>B74+1</f>
        <v>11</v>
      </c>
      <c r="C77" s="1172" t="s">
        <v>1444</v>
      </c>
      <c r="D77" s="1122"/>
    </row>
    <row r="78" spans="1:4" x14ac:dyDescent="0.2">
      <c r="A78" s="1098"/>
      <c r="B78" s="1108"/>
      <c r="C78" s="1116" t="s">
        <v>2050</v>
      </c>
      <c r="D78" s="1122" t="str">
        <f>IF(ISNUMBER('Acct Summary 7-8'!C9),"OK","ENTRY IS REQUIRED!")</f>
        <v>OK</v>
      </c>
    </row>
    <row r="79" spans="1:4" x14ac:dyDescent="0.2">
      <c r="A79" s="1117"/>
      <c r="B79" s="1118">
        <f>B74+1+1</f>
        <v>12</v>
      </c>
      <c r="C79" s="1128" t="s">
        <v>2015</v>
      </c>
      <c r="D79" s="1129" t="str">
        <f>IF(OR(COVER!$B$6="X",'PCTC-OEPP 27-28'!F78&gt;0),"OK","PLEASE ENTER 9 MO ADA.")</f>
        <v>OK</v>
      </c>
    </row>
    <row r="80" spans="1:4" x14ac:dyDescent="0.2">
      <c r="A80" s="1096"/>
      <c r="B80" s="1118">
        <v>13</v>
      </c>
      <c r="C80" s="1128" t="s">
        <v>2051</v>
      </c>
      <c r="D80" s="1129" t="str">
        <f>IF('Contracts Paid in CY 29'!D141&gt;0,"OK","PLEASE ENTER CONTRACTS PAID IN CURRENT YEAR.")</f>
        <v>OK</v>
      </c>
    </row>
    <row r="81" spans="1:4" x14ac:dyDescent="0.2">
      <c r="A81" s="1096"/>
      <c r="B81" s="1118">
        <v>14</v>
      </c>
      <c r="C81" s="1128" t="s">
        <v>1495</v>
      </c>
      <c r="D81" s="1121" t="str">
        <f>IF('Shared Outsourced Services 31'!B8="X","OK",IF('Shared Outsourced Services 31'!K34&gt;0,"OK","ENTRY REQUIRED!"))</f>
        <v>OK</v>
      </c>
    </row>
    <row r="82" spans="1:4" x14ac:dyDescent="0.2">
      <c r="A82" s="1117"/>
      <c r="B82" s="1118">
        <v>15</v>
      </c>
      <c r="C82" s="1128" t="s">
        <v>1494</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21061001026</v>
      </c>
    </row>
    <row r="3" spans="1:2" x14ac:dyDescent="0.2">
      <c r="A3" t="s">
        <v>1013</v>
      </c>
      <c r="B3" s="138" t="str">
        <f>COVER!A15</f>
        <v>Massac</v>
      </c>
    </row>
    <row r="4" spans="1:2" x14ac:dyDescent="0.2">
      <c r="A4" t="s">
        <v>1064</v>
      </c>
      <c r="B4" s="138" t="str">
        <f>COVER!A17</f>
        <v>Massac County CUSD 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South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36847</v>
      </c>
    </row>
    <row r="51" spans="1:4" x14ac:dyDescent="0.2">
      <c r="A51" s="1" t="s">
        <v>1560</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2110508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4935886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152041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152041</v>
      </c>
      <c r="C91" s="2" t="s">
        <v>594</v>
      </c>
      <c r="D91" s="2" t="str">
        <f t="shared" si="0"/>
        <v>Error?</v>
      </c>
    </row>
    <row r="92" spans="1:4" x14ac:dyDescent="0.2">
      <c r="A92" s="5">
        <v>31</v>
      </c>
      <c r="B92" s="138">
        <f>'Assets-Liab 5-6'!C39</f>
        <v>4783845</v>
      </c>
      <c r="D92" s="2" t="str">
        <f t="shared" si="0"/>
        <v>Error?</v>
      </c>
    </row>
    <row r="93" spans="1:4" x14ac:dyDescent="0.2">
      <c r="A93" s="5">
        <v>32</v>
      </c>
      <c r="B93" s="138">
        <f>'Assets-Liab 5-6'!C41</f>
        <v>4935886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116260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116260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116260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116260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115000</v>
      </c>
      <c r="D129" s="2" t="str">
        <f t="shared" si="1"/>
        <v>Error?</v>
      </c>
    </row>
    <row r="130" spans="1:4" x14ac:dyDescent="0.2">
      <c r="A130" s="5">
        <v>69</v>
      </c>
      <c r="B130" s="138">
        <f>'Assets-Liab 5-6'!E12</f>
        <v>0</v>
      </c>
      <c r="D130" s="2" t="str">
        <f t="shared" si="1"/>
        <v>Error?</v>
      </c>
    </row>
    <row r="131" spans="1:4" x14ac:dyDescent="0.2">
      <c r="A131" s="5">
        <v>70</v>
      </c>
      <c r="B131" s="138">
        <f>'Assets-Liab 5-6'!E13</f>
        <v>491290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491290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6687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6657</v>
      </c>
      <c r="C169" s="2" t="s">
        <v>594</v>
      </c>
      <c r="D169" s="2" t="str">
        <f t="shared" si="1"/>
        <v>Error?</v>
      </c>
    </row>
    <row r="170" spans="1:4" x14ac:dyDescent="0.2">
      <c r="A170" s="5">
        <v>109</v>
      </c>
      <c r="B170" s="138">
        <f>'Assets-Liab 5-6'!F39</f>
        <v>30</v>
      </c>
      <c r="D170" s="2" t="str">
        <f t="shared" si="1"/>
        <v>Error?</v>
      </c>
    </row>
    <row r="171" spans="1:4" x14ac:dyDescent="0.2">
      <c r="A171" s="5">
        <v>110</v>
      </c>
      <c r="B171" s="138">
        <f>'Assets-Liab 5-6'!F41</f>
        <v>6687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53323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623003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623003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7628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7628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7580</v>
      </c>
      <c r="C211" s="2" t="s">
        <v>594</v>
      </c>
      <c r="D211" s="2" t="str">
        <f t="shared" si="2"/>
        <v>Error?</v>
      </c>
    </row>
    <row r="212" spans="1:4" x14ac:dyDescent="0.2">
      <c r="A212" s="5">
        <v>151</v>
      </c>
      <c r="B212" s="138">
        <f>'Assets-Liab 5-6'!H39</f>
        <v>48</v>
      </c>
      <c r="D212" s="2" t="str">
        <f t="shared" si="2"/>
        <v>Error?</v>
      </c>
    </row>
    <row r="213" spans="1:4" x14ac:dyDescent="0.2">
      <c r="A213" s="12">
        <v>152</v>
      </c>
      <c r="B213" s="138">
        <f>'Assets-Liab 5-6'!H41</f>
        <v>7628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1227227</v>
      </c>
      <c r="D273" s="2" t="str">
        <f t="shared" si="3"/>
        <v>Error?</v>
      </c>
    </row>
    <row r="274" spans="1:4" x14ac:dyDescent="0.2">
      <c r="A274" s="5">
        <v>213</v>
      </c>
      <c r="B274" s="138">
        <f>'Assets-Liab 5-6'!M17</f>
        <v>24852091</v>
      </c>
      <c r="D274" s="2" t="str">
        <f t="shared" si="3"/>
        <v>Error?</v>
      </c>
    </row>
    <row r="275" spans="1:4" x14ac:dyDescent="0.2">
      <c r="A275" s="5">
        <v>214</v>
      </c>
      <c r="B275" s="138">
        <f>'Assets-Liab 5-6'!M18</f>
        <v>5854881</v>
      </c>
      <c r="D275" s="2" t="str">
        <f t="shared" si="3"/>
        <v>Error?</v>
      </c>
    </row>
    <row r="276" spans="1:4" x14ac:dyDescent="0.2">
      <c r="A276" s="5">
        <v>215</v>
      </c>
      <c r="B276" s="138">
        <f>'Assets-Liab 5-6'!M19</f>
        <v>6255043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38189242</v>
      </c>
      <c r="C279" s="2" t="s">
        <v>594</v>
      </c>
      <c r="D279" s="2" t="str">
        <f t="shared" si="3"/>
        <v>Error?</v>
      </c>
    </row>
    <row r="280" spans="1:4" x14ac:dyDescent="0.2">
      <c r="A280" s="5">
        <v>219</v>
      </c>
      <c r="B280" s="138">
        <f>'Assets-Liab 5-6'!M40</f>
        <v>38189242</v>
      </c>
      <c r="D280" s="2" t="str">
        <f t="shared" si="3"/>
        <v>Error?</v>
      </c>
    </row>
    <row r="281" spans="1:4" x14ac:dyDescent="0.2">
      <c r="A281" s="5">
        <v>220</v>
      </c>
      <c r="B281" s="138">
        <f>'Assets-Liab 5-6'!M41</f>
        <v>38189242</v>
      </c>
      <c r="C281" s="2" t="s">
        <v>594</v>
      </c>
      <c r="D281" s="2" t="str">
        <f t="shared" si="3"/>
        <v>Error?</v>
      </c>
    </row>
    <row r="282" spans="1:4" x14ac:dyDescent="0.2">
      <c r="A282" s="5">
        <v>221</v>
      </c>
      <c r="B282" s="138">
        <f>'Assets-Liab 5-6'!N21</f>
        <v>491290</v>
      </c>
      <c r="D282" s="2" t="str">
        <f t="shared" si="3"/>
        <v>Error?</v>
      </c>
    </row>
    <row r="283" spans="1:4" x14ac:dyDescent="0.2">
      <c r="A283" s="5">
        <v>222</v>
      </c>
      <c r="B283" s="138">
        <f>'Assets-Liab 5-6'!N22</f>
        <v>2916410</v>
      </c>
      <c r="D283" s="2" t="str">
        <f t="shared" si="3"/>
        <v>Error?</v>
      </c>
    </row>
    <row r="284" spans="1:4" x14ac:dyDescent="0.2">
      <c r="A284" s="5">
        <v>223</v>
      </c>
      <c r="B284" s="138">
        <f>'Assets-Liab 5-6'!N23</f>
        <v>3407700</v>
      </c>
      <c r="C284" s="2" t="s">
        <v>594</v>
      </c>
      <c r="D284" s="2" t="str">
        <f t="shared" si="3"/>
        <v>Error?</v>
      </c>
    </row>
    <row r="285" spans="1:4" x14ac:dyDescent="0.2">
      <c r="A285" s="5">
        <v>224</v>
      </c>
      <c r="B285" s="138">
        <f>'Assets-Liab 5-6'!N36</f>
        <v>3407700</v>
      </c>
      <c r="D285" s="2" t="str">
        <f t="shared" si="3"/>
        <v>Error?</v>
      </c>
    </row>
    <row r="286" spans="1:4" x14ac:dyDescent="0.2">
      <c r="A286" s="10">
        <v>225</v>
      </c>
      <c r="D286" s="2" t="str">
        <f t="shared" si="3"/>
        <v>OK</v>
      </c>
    </row>
    <row r="287" spans="1:4" x14ac:dyDescent="0.2">
      <c r="A287" s="5">
        <v>226</v>
      </c>
      <c r="B287" s="138">
        <f>'Assets-Liab 5-6'!N37</f>
        <v>3407700</v>
      </c>
      <c r="C287" s="2" t="s">
        <v>594</v>
      </c>
      <c r="D287" s="2" t="str">
        <f t="shared" si="3"/>
        <v>Error?</v>
      </c>
    </row>
    <row r="288" spans="1:4" x14ac:dyDescent="0.2">
      <c r="A288" s="5">
        <v>227</v>
      </c>
      <c r="B288" s="138">
        <f>'Assets-Liab 5-6'!N41</f>
        <v>3407700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5591092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448555</v>
      </c>
      <c r="D717" s="2" t="str">
        <f t="shared" si="10"/>
        <v>Error?</v>
      </c>
    </row>
    <row r="718" spans="1:4" x14ac:dyDescent="0.2">
      <c r="A718" s="5">
        <v>657</v>
      </c>
      <c r="B718" s="138">
        <f>'Expenditures 15-22'!C14</f>
        <v>163718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8451308</v>
      </c>
      <c r="C720" s="2" t="s">
        <v>594</v>
      </c>
      <c r="D720" s="2" t="str">
        <f t="shared" si="10"/>
        <v>Error?</v>
      </c>
    </row>
    <row r="721" spans="1:4" x14ac:dyDescent="0.2">
      <c r="A721" s="5">
        <v>660</v>
      </c>
      <c r="B721" s="138">
        <f>'Expenditures 15-22'!C36</f>
        <v>121955</v>
      </c>
      <c r="D721" s="2" t="str">
        <f t="shared" si="10"/>
        <v>Error?</v>
      </c>
    </row>
    <row r="722" spans="1:4" x14ac:dyDescent="0.2">
      <c r="A722" s="5">
        <v>661</v>
      </c>
      <c r="B722" s="138">
        <f>'Expenditures 15-22'!C37</f>
        <v>127567</v>
      </c>
      <c r="D722" s="2" t="str">
        <f t="shared" si="10"/>
        <v>Error?</v>
      </c>
    </row>
    <row r="723" spans="1:4" x14ac:dyDescent="0.2">
      <c r="A723" s="5">
        <v>662</v>
      </c>
      <c r="B723" s="138">
        <f>'Expenditures 15-22'!C38</f>
        <v>101913</v>
      </c>
      <c r="D723" s="2" t="str">
        <f t="shared" si="10"/>
        <v>Error?</v>
      </c>
    </row>
    <row r="724" spans="1:4" x14ac:dyDescent="0.2">
      <c r="A724" s="5">
        <v>663</v>
      </c>
      <c r="B724" s="138">
        <f>'Expenditures 15-22'!C39</f>
        <v>112335</v>
      </c>
      <c r="D724" s="2" t="str">
        <f t="shared" si="10"/>
        <v>Error?</v>
      </c>
    </row>
    <row r="725" spans="1:4" x14ac:dyDescent="0.2">
      <c r="A725" s="5">
        <v>664</v>
      </c>
      <c r="B725" s="138">
        <f>'Expenditures 15-22'!C40</f>
        <v>175278</v>
      </c>
      <c r="D725" s="2" t="str">
        <f t="shared" si="10"/>
        <v>Error?</v>
      </c>
    </row>
    <row r="726" spans="1:4" x14ac:dyDescent="0.2">
      <c r="A726" s="5">
        <v>665</v>
      </c>
      <c r="B726" s="138">
        <f>'Expenditures 15-22'!C41</f>
        <v>44023</v>
      </c>
      <c r="D726" s="2" t="str">
        <f t="shared" si="10"/>
        <v>Error?</v>
      </c>
    </row>
    <row r="727" spans="1:4" x14ac:dyDescent="0.2">
      <c r="A727" s="5">
        <v>666</v>
      </c>
      <c r="B727" s="138">
        <f>'Expenditures 15-22'!C42</f>
        <v>683071</v>
      </c>
      <c r="C727" s="2" t="s">
        <v>594</v>
      </c>
      <c r="D727" s="2" t="str">
        <f t="shared" si="10"/>
        <v>Error?</v>
      </c>
    </row>
    <row r="728" spans="1:4" x14ac:dyDescent="0.2">
      <c r="A728" s="5">
        <v>667</v>
      </c>
      <c r="B728" s="138">
        <f>'Expenditures 15-22'!C44</f>
        <v>53599</v>
      </c>
      <c r="D728" s="2" t="str">
        <f t="shared" si="10"/>
        <v>Error?</v>
      </c>
    </row>
    <row r="729" spans="1:4" x14ac:dyDescent="0.2">
      <c r="A729" s="5">
        <v>668</v>
      </c>
      <c r="B729" s="138">
        <f>'Expenditures 15-22'!C45</f>
        <v>133576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187175</v>
      </c>
      <c r="C731" s="2" t="s">
        <v>594</v>
      </c>
      <c r="D731" s="2" t="str">
        <f t="shared" si="10"/>
        <v>Error?</v>
      </c>
    </row>
    <row r="732" spans="1:4" x14ac:dyDescent="0.2">
      <c r="A732" s="5">
        <v>671</v>
      </c>
      <c r="B732" s="138">
        <f>'Expenditures 15-22'!C49</f>
        <v>7995</v>
      </c>
      <c r="D732" s="2" t="str">
        <f t="shared" si="10"/>
        <v>Error?</v>
      </c>
    </row>
    <row r="733" spans="1:4" x14ac:dyDescent="0.2">
      <c r="A733" s="5">
        <v>672</v>
      </c>
      <c r="B733" s="138">
        <f>'Expenditures 15-22'!C50</f>
        <v>105000</v>
      </c>
      <c r="D733" s="2" t="str">
        <f t="shared" si="10"/>
        <v>Error?</v>
      </c>
    </row>
    <row r="734" spans="1:4" x14ac:dyDescent="0.2">
      <c r="A734" s="5">
        <v>673</v>
      </c>
      <c r="B734" s="138">
        <f>'Expenditures 15-22'!C53</f>
        <v>112995</v>
      </c>
      <c r="C734" s="2" t="s">
        <v>594</v>
      </c>
      <c r="D734" s="2" t="str">
        <f t="shared" si="10"/>
        <v>Error?</v>
      </c>
    </row>
    <row r="735" spans="1:4" x14ac:dyDescent="0.2">
      <c r="A735" s="5">
        <v>674</v>
      </c>
      <c r="B735" s="138">
        <f>'Expenditures 15-22'!C55</f>
        <v>778616</v>
      </c>
      <c r="D735" s="2" t="str">
        <f t="shared" si="10"/>
        <v>Error?</v>
      </c>
    </row>
    <row r="736" spans="1:4" x14ac:dyDescent="0.2">
      <c r="A736" s="5">
        <v>675</v>
      </c>
      <c r="B736" s="138">
        <f>'Expenditures 15-22'!C56</f>
        <v>3618</v>
      </c>
      <c r="D736" s="2" t="str">
        <f t="shared" si="10"/>
        <v>Error?</v>
      </c>
    </row>
    <row r="737" spans="1:4" x14ac:dyDescent="0.2">
      <c r="A737" s="5">
        <v>676</v>
      </c>
      <c r="B737" s="138">
        <f>'Expenditures 15-22'!C57</f>
        <v>782234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222647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376756</v>
      </c>
      <c r="D742" s="2" t="str">
        <f t="shared" si="10"/>
        <v>Error?</v>
      </c>
    </row>
    <row r="743" spans="1:4" x14ac:dyDescent="0.2">
      <c r="A743" s="5">
        <v>682</v>
      </c>
      <c r="B743" s="138">
        <f>'Expenditures 15-22'!C64</f>
        <v>5000</v>
      </c>
      <c r="D743" s="2" t="str">
        <f t="shared" si="10"/>
        <v>Error?</v>
      </c>
    </row>
    <row r="744" spans="1:4" x14ac:dyDescent="0.2">
      <c r="A744" s="10">
        <v>683</v>
      </c>
      <c r="D744" s="2" t="str">
        <f t="shared" si="10"/>
        <v>OK</v>
      </c>
    </row>
    <row r="745" spans="1:4" x14ac:dyDescent="0.2">
      <c r="A745" s="5">
        <v>684</v>
      </c>
      <c r="B745" s="138">
        <f>'Expenditures 15-22'!C65</f>
        <v>604403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2369878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10821186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1332750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76046</v>
      </c>
      <c r="D775" s="2" t="str">
        <f t="shared" si="11"/>
        <v>Error?</v>
      </c>
    </row>
    <row r="776" spans="1:4" x14ac:dyDescent="0.2">
      <c r="A776" s="5">
        <v>715</v>
      </c>
      <c r="B776" s="138">
        <f>'Expenditures 15-22'!D14</f>
        <v>12332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1905769</v>
      </c>
      <c r="C778" s="2" t="s">
        <v>594</v>
      </c>
      <c r="D778" s="2" t="str">
        <f t="shared" si="11"/>
        <v>Error?</v>
      </c>
    </row>
    <row r="779" spans="1:4" x14ac:dyDescent="0.2">
      <c r="A779" s="5">
        <v>718</v>
      </c>
      <c r="B779" s="138">
        <f>'Expenditures 15-22'!D36</f>
        <v>29143</v>
      </c>
      <c r="D779" s="2" t="str">
        <f t="shared" si="11"/>
        <v>Error?</v>
      </c>
    </row>
    <row r="780" spans="1:4" x14ac:dyDescent="0.2">
      <c r="A780" s="5">
        <v>719</v>
      </c>
      <c r="B780" s="138">
        <f>'Expenditures 15-22'!D37</f>
        <v>27603</v>
      </c>
      <c r="D780" s="2" t="str">
        <f t="shared" si="11"/>
        <v>Error?</v>
      </c>
    </row>
    <row r="781" spans="1:4" x14ac:dyDescent="0.2">
      <c r="A781" s="5">
        <v>720</v>
      </c>
      <c r="B781" s="138">
        <f>'Expenditures 15-22'!D38</f>
        <v>11174</v>
      </c>
      <c r="D781" s="2" t="str">
        <f t="shared" si="11"/>
        <v>Error?</v>
      </c>
    </row>
    <row r="782" spans="1:4" x14ac:dyDescent="0.2">
      <c r="A782" s="5">
        <v>721</v>
      </c>
      <c r="B782" s="138">
        <f>'Expenditures 15-22'!D39</f>
        <v>19957</v>
      </c>
      <c r="D782" s="2" t="str">
        <f t="shared" si="11"/>
        <v>Error?</v>
      </c>
    </row>
    <row r="783" spans="1:4" x14ac:dyDescent="0.2">
      <c r="A783" s="5">
        <v>722</v>
      </c>
      <c r="B783" s="138">
        <f>'Expenditures 15-22'!D40</f>
        <v>33896</v>
      </c>
      <c r="D783" s="2" t="str">
        <f t="shared" si="11"/>
        <v>Error?</v>
      </c>
    </row>
    <row r="784" spans="1:4" x14ac:dyDescent="0.2">
      <c r="A784" s="5">
        <v>723</v>
      </c>
      <c r="B784" s="138">
        <f>'Expenditures 15-22'!D41</f>
        <v>4429</v>
      </c>
      <c r="D784" s="2" t="str">
        <f t="shared" si="11"/>
        <v>Error?</v>
      </c>
    </row>
    <row r="785" spans="1:4" x14ac:dyDescent="0.2">
      <c r="A785" s="5">
        <v>724</v>
      </c>
      <c r="B785" s="138">
        <f>'Expenditures 15-22'!D42</f>
        <v>126202</v>
      </c>
      <c r="C785" s="2" t="s">
        <v>594</v>
      </c>
      <c r="D785" s="2" t="str">
        <f t="shared" si="11"/>
        <v>Error?</v>
      </c>
    </row>
    <row r="786" spans="1:4" x14ac:dyDescent="0.2">
      <c r="A786" s="5">
        <v>725</v>
      </c>
      <c r="B786" s="138">
        <f>'Expenditures 15-22'!D44</f>
        <v>15689</v>
      </c>
      <c r="D786" s="2" t="str">
        <f t="shared" si="11"/>
        <v>Error?</v>
      </c>
    </row>
    <row r="787" spans="1:4" x14ac:dyDescent="0.2">
      <c r="A787" s="5">
        <v>726</v>
      </c>
      <c r="B787" s="138">
        <f>'Expenditures 15-22'!D45</f>
        <v>38270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53959</v>
      </c>
      <c r="C789" s="2" t="s">
        <v>594</v>
      </c>
      <c r="D789" s="2" t="str">
        <f t="shared" si="11"/>
        <v>Error?</v>
      </c>
    </row>
    <row r="790" spans="1:4" x14ac:dyDescent="0.2">
      <c r="A790" s="5">
        <v>729</v>
      </c>
      <c r="B790" s="138">
        <f>'Expenditures 15-22'!D49</f>
        <v>1537</v>
      </c>
      <c r="D790" s="2" t="str">
        <f t="shared" si="11"/>
        <v>Error?</v>
      </c>
    </row>
    <row r="791" spans="1:4" x14ac:dyDescent="0.2">
      <c r="A791" s="5">
        <v>730</v>
      </c>
      <c r="B791" s="138">
        <f>'Expenditures 15-22'!D50</f>
        <v>19099</v>
      </c>
      <c r="D791" s="2" t="str">
        <f t="shared" si="11"/>
        <v>Error?</v>
      </c>
    </row>
    <row r="792" spans="1:4" x14ac:dyDescent="0.2">
      <c r="A792" s="5">
        <v>731</v>
      </c>
      <c r="B792" s="138">
        <f>'Expenditures 15-22'!D53</f>
        <v>20636</v>
      </c>
      <c r="C792" s="2" t="s">
        <v>594</v>
      </c>
      <c r="D792" s="2" t="str">
        <f t="shared" si="11"/>
        <v>Error?</v>
      </c>
    </row>
    <row r="793" spans="1:4" x14ac:dyDescent="0.2">
      <c r="A793" s="5">
        <v>732</v>
      </c>
      <c r="B793" s="138">
        <f>'Expenditures 15-22'!D55</f>
        <v>123059</v>
      </c>
      <c r="D793" s="2" t="str">
        <f t="shared" si="11"/>
        <v>Error?</v>
      </c>
    </row>
    <row r="794" spans="1:4" x14ac:dyDescent="0.2">
      <c r="A794" s="5">
        <v>733</v>
      </c>
      <c r="B794" s="138">
        <f>'Expenditures 15-22'!D56</f>
        <v>463</v>
      </c>
      <c r="D794" s="2" t="str">
        <f t="shared" si="11"/>
        <v>Error?</v>
      </c>
    </row>
    <row r="795" spans="1:4" x14ac:dyDescent="0.2">
      <c r="A795" s="5">
        <v>734</v>
      </c>
      <c r="B795" s="138">
        <f>'Expenditures 15-22'!D57</f>
        <v>123522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302673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79335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382008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706327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2612096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8885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3397</v>
      </c>
      <c r="D833" s="2" t="str">
        <f t="shared" si="12"/>
        <v>Error?</v>
      </c>
    </row>
    <row r="834" spans="1:4" x14ac:dyDescent="0.2">
      <c r="A834" s="5">
        <v>773</v>
      </c>
      <c r="B834" s="138">
        <f>'Expenditures 15-22'!E14</f>
        <v>53885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85800</v>
      </c>
      <c r="C836" s="2" t="s">
        <v>594</v>
      </c>
      <c r="D836" s="2" t="str">
        <f t="shared" si="12"/>
        <v>Error?</v>
      </c>
    </row>
    <row r="837" spans="1:4" x14ac:dyDescent="0.2">
      <c r="A837" s="5">
        <v>776</v>
      </c>
      <c r="B837" s="138">
        <f>'Expenditures 15-22'!E36</f>
        <v>199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40103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713</v>
      </c>
      <c r="D841" s="2" t="str">
        <f t="shared" si="12"/>
        <v>Error?</v>
      </c>
    </row>
    <row r="842" spans="1:4" x14ac:dyDescent="0.2">
      <c r="A842" s="5">
        <v>781</v>
      </c>
      <c r="B842" s="138">
        <f>'Expenditures 15-22'!E41</f>
        <v>14299</v>
      </c>
      <c r="D842" s="2" t="str">
        <f t="shared" si="12"/>
        <v>Error?</v>
      </c>
    </row>
    <row r="843" spans="1:4" x14ac:dyDescent="0.2">
      <c r="A843" s="5">
        <v>782</v>
      </c>
      <c r="B843" s="138">
        <f>'Expenditures 15-22'!E42</f>
        <v>55314</v>
      </c>
      <c r="C843" s="2" t="s">
        <v>594</v>
      </c>
      <c r="D843" s="2" t="str">
        <f t="shared" si="12"/>
        <v>Error?</v>
      </c>
    </row>
    <row r="844" spans="1:4" x14ac:dyDescent="0.2">
      <c r="A844" s="5">
        <v>783</v>
      </c>
      <c r="B844" s="138">
        <f>'Expenditures 15-22'!E44</f>
        <v>17211</v>
      </c>
      <c r="D844" s="2" t="str">
        <f t="shared" si="12"/>
        <v>Error?</v>
      </c>
    </row>
    <row r="845" spans="1:4" x14ac:dyDescent="0.2">
      <c r="A845" s="5">
        <v>784</v>
      </c>
      <c r="B845" s="138">
        <f>'Expenditures 15-22'!E45</f>
        <v>17661</v>
      </c>
      <c r="D845" s="2" t="str">
        <f t="shared" si="12"/>
        <v>Error?</v>
      </c>
    </row>
    <row r="846" spans="1:4" x14ac:dyDescent="0.2">
      <c r="A846" s="5">
        <v>785</v>
      </c>
      <c r="B846" s="138">
        <f>'Expenditures 15-22'!E46</f>
        <v>50732</v>
      </c>
      <c r="D846" s="2" t="str">
        <f t="shared" si="12"/>
        <v>Error?</v>
      </c>
    </row>
    <row r="847" spans="1:4" x14ac:dyDescent="0.2">
      <c r="A847" s="5">
        <v>786</v>
      </c>
      <c r="B847" s="138">
        <f>'Expenditures 15-22'!E47</f>
        <v>85604</v>
      </c>
      <c r="C847" s="2" t="s">
        <v>594</v>
      </c>
      <c r="D847" s="2" t="str">
        <f t="shared" si="12"/>
        <v>Error?</v>
      </c>
    </row>
    <row r="848" spans="1:4" x14ac:dyDescent="0.2">
      <c r="A848" s="5">
        <v>787</v>
      </c>
      <c r="B848" s="138">
        <f>'Expenditures 15-22'!E49</f>
        <v>24626</v>
      </c>
      <c r="D848" s="2" t="str">
        <f t="shared" si="12"/>
        <v>Error?</v>
      </c>
    </row>
    <row r="849" spans="1:4" x14ac:dyDescent="0.2">
      <c r="A849" s="5">
        <v>788</v>
      </c>
      <c r="B849" s="138">
        <f>'Expenditures 15-22'!E50</f>
        <v>3250</v>
      </c>
      <c r="D849" s="2" t="str">
        <f t="shared" si="12"/>
        <v>Error?</v>
      </c>
    </row>
    <row r="850" spans="1:4" x14ac:dyDescent="0.2">
      <c r="A850" s="5">
        <v>789</v>
      </c>
      <c r="B850" s="138">
        <f>'Expenditures 15-22'!E53</f>
        <v>43984</v>
      </c>
      <c r="C850" s="2" t="s">
        <v>594</v>
      </c>
      <c r="D850" s="2" t="str">
        <f t="shared" si="12"/>
        <v>Error?</v>
      </c>
    </row>
    <row r="851" spans="1:4" x14ac:dyDescent="0.2">
      <c r="A851" s="5">
        <v>790</v>
      </c>
      <c r="B851" s="138">
        <f>'Expenditures 15-22'!E55</f>
        <v>46826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46826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16249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800</v>
      </c>
      <c r="D857" s="2" t="str">
        <f t="shared" si="12"/>
        <v>Error?</v>
      </c>
    </row>
    <row r="858" spans="1:4" x14ac:dyDescent="0.2">
      <c r="A858" s="5">
        <v>797</v>
      </c>
      <c r="B858" s="138">
        <f>'Expenditures 15-22'!E63</f>
        <v>43802</v>
      </c>
      <c r="D858" s="2" t="str">
        <f t="shared" si="12"/>
        <v>Error?</v>
      </c>
    </row>
    <row r="859" spans="1:4" x14ac:dyDescent="0.2">
      <c r="A859" s="5">
        <v>798</v>
      </c>
      <c r="B859" s="138">
        <f>'Expenditures 15-22'!E64</f>
        <v>14000</v>
      </c>
      <c r="D859" s="2" t="str">
        <f t="shared" si="12"/>
        <v>Error?</v>
      </c>
    </row>
    <row r="860" spans="1:4" x14ac:dyDescent="0.2">
      <c r="A860" s="10">
        <v>799</v>
      </c>
      <c r="D860" s="2" t="str">
        <f t="shared" si="12"/>
        <v>OK</v>
      </c>
    </row>
    <row r="861" spans="1:4" x14ac:dyDescent="0.2">
      <c r="A861" s="5">
        <v>800</v>
      </c>
      <c r="B861" s="138">
        <f>'Expenditures 15-22'!E65</f>
        <v>74851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24218</v>
      </c>
      <c r="D870" s="2" t="str">
        <f t="shared" si="12"/>
        <v>Error?</v>
      </c>
    </row>
    <row r="871" spans="1:4" x14ac:dyDescent="0.2">
      <c r="A871" s="5">
        <v>810</v>
      </c>
      <c r="B871" s="138">
        <f>'Expenditures 15-22'!E74</f>
        <v>330797</v>
      </c>
      <c r="C871" s="2" t="s">
        <v>594</v>
      </c>
      <c r="D871" s="2" t="str">
        <f t="shared" si="12"/>
        <v>Error?</v>
      </c>
    </row>
    <row r="872" spans="1:4" x14ac:dyDescent="0.2">
      <c r="A872" s="5">
        <v>811</v>
      </c>
      <c r="B872" s="138">
        <f>'Expenditures 15-22'!E75</f>
        <v>9794</v>
      </c>
      <c r="D872" s="2" t="str">
        <f t="shared" si="12"/>
        <v>Error?</v>
      </c>
    </row>
    <row r="873" spans="1:4" x14ac:dyDescent="0.2">
      <c r="A873" s="5">
        <v>812</v>
      </c>
      <c r="B873" s="138">
        <f>'Expenditures 15-22'!E114</f>
        <v>426391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41293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5231</v>
      </c>
      <c r="D891" s="2" t="str">
        <f t="shared" si="12"/>
        <v>Error?</v>
      </c>
    </row>
    <row r="892" spans="1:4" x14ac:dyDescent="0.2">
      <c r="A892" s="5">
        <v>831</v>
      </c>
      <c r="B892" s="138">
        <f>'Expenditures 15-22'!F14</f>
        <v>21740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219191</v>
      </c>
      <c r="C894" s="2" t="s">
        <v>594</v>
      </c>
      <c r="D894" s="2" t="str">
        <f t="shared" si="12"/>
        <v>Error?</v>
      </c>
    </row>
    <row r="895" spans="1:4" x14ac:dyDescent="0.2">
      <c r="A895" s="5">
        <v>834</v>
      </c>
      <c r="B895" s="138">
        <f>'Expenditures 15-22'!F36</f>
        <v>170</v>
      </c>
      <c r="D895" s="2" t="str">
        <f t="shared" ref="D895:D958" si="13">IF(ISBLANK(B895),"OK",IF(A895-B895=0,"OK","Error?"))</f>
        <v>Error?</v>
      </c>
    </row>
    <row r="896" spans="1:4" x14ac:dyDescent="0.2">
      <c r="A896" s="5">
        <v>835</v>
      </c>
      <c r="B896" s="138">
        <f>'Expenditures 15-22'!F37</f>
        <v>6143</v>
      </c>
      <c r="D896" s="2" t="str">
        <f t="shared" si="13"/>
        <v>Error?</v>
      </c>
    </row>
    <row r="897" spans="1:4" x14ac:dyDescent="0.2">
      <c r="A897" s="5">
        <v>836</v>
      </c>
      <c r="B897" s="138">
        <f>'Expenditures 15-22'!F38</f>
        <v>2251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5889</v>
      </c>
      <c r="D900" s="2" t="str">
        <f t="shared" si="13"/>
        <v>Error?</v>
      </c>
    </row>
    <row r="901" spans="1:4" x14ac:dyDescent="0.2">
      <c r="A901" s="5">
        <v>840</v>
      </c>
      <c r="B901" s="138">
        <f>'Expenditures 15-22'!F42</f>
        <v>14453</v>
      </c>
      <c r="C901" s="2" t="s">
        <v>594</v>
      </c>
      <c r="D901" s="2" t="str">
        <f t="shared" si="13"/>
        <v>Error?</v>
      </c>
    </row>
    <row r="902" spans="1:4" x14ac:dyDescent="0.2">
      <c r="A902" s="5">
        <v>841</v>
      </c>
      <c r="B902" s="138">
        <f>'Expenditures 15-22'!F44</f>
        <v>6078</v>
      </c>
      <c r="D902" s="2" t="str">
        <f t="shared" si="13"/>
        <v>Error?</v>
      </c>
    </row>
    <row r="903" spans="1:4" x14ac:dyDescent="0.2">
      <c r="A903" s="5">
        <v>842</v>
      </c>
      <c r="B903" s="138">
        <f>'Expenditures 15-22'!F45</f>
        <v>4289</v>
      </c>
      <c r="D903" s="2" t="str">
        <f t="shared" si="13"/>
        <v>Error?</v>
      </c>
    </row>
    <row r="904" spans="1:4" x14ac:dyDescent="0.2">
      <c r="A904" s="5">
        <v>843</v>
      </c>
      <c r="B904" s="138">
        <f>'Expenditures 15-22'!F46</f>
        <v>3135</v>
      </c>
      <c r="D904" s="2" t="str">
        <f t="shared" si="13"/>
        <v>Error?</v>
      </c>
    </row>
    <row r="905" spans="1:4" x14ac:dyDescent="0.2">
      <c r="A905" s="5">
        <v>844</v>
      </c>
      <c r="B905" s="138">
        <f>'Expenditures 15-22'!F47</f>
        <v>13502</v>
      </c>
      <c r="C905" s="2" t="s">
        <v>594</v>
      </c>
      <c r="D905" s="2" t="str">
        <f t="shared" si="13"/>
        <v>Error?</v>
      </c>
    </row>
    <row r="906" spans="1:4" x14ac:dyDescent="0.2">
      <c r="A906" s="5">
        <v>845</v>
      </c>
      <c r="B906" s="138">
        <f>'Expenditures 15-22'!F49</f>
        <v>6815</v>
      </c>
      <c r="D906" s="2" t="str">
        <f t="shared" si="13"/>
        <v>Error?</v>
      </c>
    </row>
    <row r="907" spans="1:4" x14ac:dyDescent="0.2">
      <c r="A907" s="5">
        <v>846</v>
      </c>
      <c r="B907" s="138">
        <f>'Expenditures 15-22'!F50</f>
        <v>260</v>
      </c>
      <c r="D907" s="2" t="str">
        <f t="shared" si="13"/>
        <v>Error?</v>
      </c>
    </row>
    <row r="908" spans="1:4" x14ac:dyDescent="0.2">
      <c r="A908" s="5">
        <v>847</v>
      </c>
      <c r="B908" s="138">
        <f>'Expenditures 15-22'!F53</f>
        <v>7075</v>
      </c>
      <c r="C908" s="2" t="s">
        <v>594</v>
      </c>
      <c r="D908" s="2" t="str">
        <f t="shared" si="13"/>
        <v>Error?</v>
      </c>
    </row>
    <row r="909" spans="1:4" x14ac:dyDescent="0.2">
      <c r="A909" s="5">
        <v>848</v>
      </c>
      <c r="B909" s="138">
        <f>'Expenditures 15-22'!F55</f>
        <v>56926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56926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547154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549114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641070</v>
      </c>
      <c r="C929" s="2" t="s">
        <v>594</v>
      </c>
      <c r="D929" s="2" t="str">
        <f t="shared" si="13"/>
        <v>Error?</v>
      </c>
    </row>
    <row r="930" spans="1:4" x14ac:dyDescent="0.2">
      <c r="A930" s="5">
        <v>869</v>
      </c>
      <c r="B930" s="138">
        <f>'Expenditures 15-22'!F75</f>
        <v>6870</v>
      </c>
      <c r="D930" s="2" t="str">
        <f t="shared" si="13"/>
        <v>Error?</v>
      </c>
    </row>
    <row r="931" spans="1:4" x14ac:dyDescent="0.2">
      <c r="A931" s="5">
        <v>870</v>
      </c>
      <c r="B931" s="138">
        <f>'Expenditures 15-22'!F114</f>
        <v>867131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17610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44689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8628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1649</v>
      </c>
      <c r="D962" s="2" t="str">
        <f t="shared" si="14"/>
        <v>Error?</v>
      </c>
    </row>
    <row r="963" spans="1:4" x14ac:dyDescent="0.2">
      <c r="A963" s="5">
        <v>902</v>
      </c>
      <c r="B963" s="138">
        <f>'Expenditures 15-22'!G47</f>
        <v>10277</v>
      </c>
      <c r="C963" s="2" t="s">
        <v>594</v>
      </c>
      <c r="D963" s="2" t="str">
        <f t="shared" si="14"/>
        <v>Error?</v>
      </c>
    </row>
    <row r="964" spans="1:4" x14ac:dyDescent="0.2">
      <c r="A964" s="5">
        <v>903</v>
      </c>
      <c r="B964" s="138">
        <f>'Expenditures 15-22'!G49</f>
        <v>1913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1913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10978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3435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14413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26603</v>
      </c>
      <c r="C987" s="2" t="s">
        <v>594</v>
      </c>
      <c r="D987" s="2" t="str">
        <f t="shared" si="14"/>
        <v>Error?</v>
      </c>
    </row>
    <row r="988" spans="1:4" x14ac:dyDescent="0.2">
      <c r="A988" s="5">
        <v>927</v>
      </c>
      <c r="B988" s="138">
        <f>'Expenditures 15-22'!G75</f>
        <v>4652</v>
      </c>
      <c r="D988" s="2" t="str">
        <f t="shared" si="14"/>
        <v>Error?</v>
      </c>
    </row>
    <row r="989" spans="1:4" x14ac:dyDescent="0.2">
      <c r="A989" s="5">
        <v>928</v>
      </c>
      <c r="B989" s="138">
        <f>'Expenditures 15-22'!G114</f>
        <v>75944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2246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90</v>
      </c>
      <c r="D1007" s="2" t="str">
        <f t="shared" si="14"/>
        <v>Error?</v>
      </c>
    </row>
    <row r="1008" spans="1:4" x14ac:dyDescent="0.2">
      <c r="A1008" s="5">
        <v>947</v>
      </c>
      <c r="B1008" s="138">
        <f>'Expenditures 15-22'!H14</f>
        <v>9066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11402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1159</v>
      </c>
      <c r="D1016" s="2" t="str">
        <f t="shared" si="14"/>
        <v>Error?</v>
      </c>
    </row>
    <row r="1017" spans="1:4" x14ac:dyDescent="0.2">
      <c r="A1017" s="5">
        <v>956</v>
      </c>
      <c r="B1017" s="138">
        <f>'Expenditures 15-22'!H42</f>
        <v>1159</v>
      </c>
      <c r="C1017" s="2" t="s">
        <v>594</v>
      </c>
      <c r="D1017" s="2" t="str">
        <f t="shared" si="14"/>
        <v>Error?</v>
      </c>
    </row>
    <row r="1018" spans="1:4" x14ac:dyDescent="0.2">
      <c r="A1018" s="5">
        <v>957</v>
      </c>
      <c r="B1018" s="138">
        <f>'Expenditures 15-22'!H44</f>
        <v>634</v>
      </c>
      <c r="D1018" s="2" t="str">
        <f t="shared" si="14"/>
        <v>Error?</v>
      </c>
    </row>
    <row r="1019" spans="1:4" x14ac:dyDescent="0.2">
      <c r="A1019" s="5">
        <v>958</v>
      </c>
      <c r="B1019" s="138">
        <f>'Expenditures 15-22'!H45</f>
        <v>330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964</v>
      </c>
      <c r="C1021" s="2" t="s">
        <v>594</v>
      </c>
      <c r="D1021" s="2" t="str">
        <f t="shared" si="14"/>
        <v>Error?</v>
      </c>
    </row>
    <row r="1022" spans="1:4" x14ac:dyDescent="0.2">
      <c r="A1022" s="5">
        <v>961</v>
      </c>
      <c r="B1022" s="138">
        <f>'Expenditures 15-22'!H49</f>
        <v>68562</v>
      </c>
      <c r="D1022" s="2" t="str">
        <f t="shared" si="14"/>
        <v>Error?</v>
      </c>
    </row>
    <row r="1023" spans="1:4" x14ac:dyDescent="0.2">
      <c r="A1023" s="5">
        <v>962</v>
      </c>
      <c r="B1023" s="138">
        <f>'Expenditures 15-22'!H50</f>
        <v>908</v>
      </c>
      <c r="D1023" s="2" t="str">
        <f t="shared" ref="D1023:D1086" si="15">IF(ISBLANK(B1023),"OK",IF(A1023-B1023=0,"OK","Error?"))</f>
        <v>Error?</v>
      </c>
    </row>
    <row r="1024" spans="1:4" x14ac:dyDescent="0.2">
      <c r="A1024" s="5">
        <v>963</v>
      </c>
      <c r="B1024" s="138">
        <f>'Expenditures 15-22'!H53</f>
        <v>69470</v>
      </c>
      <c r="C1024" s="2" t="s">
        <v>594</v>
      </c>
      <c r="D1024" s="2" t="str">
        <f t="shared" si="15"/>
        <v>Error?</v>
      </c>
    </row>
    <row r="1025" spans="1:4" x14ac:dyDescent="0.2">
      <c r="A1025" s="5">
        <v>964</v>
      </c>
      <c r="B1025" s="138">
        <f>'Expenditures 15-22'!H55</f>
        <v>2941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2941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8243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741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8984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83518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173424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268344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6993876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533319</v>
      </c>
      <c r="C1105" s="2" t="s">
        <v>594</v>
      </c>
      <c r="D1105" s="2" t="str">
        <f t="shared" si="16"/>
        <v>Error?</v>
      </c>
    </row>
    <row r="1106" spans="1:4" x14ac:dyDescent="0.2">
      <c r="A1106" s="5">
        <v>1045</v>
      </c>
      <c r="B1106" s="138">
        <f>'Expenditures 15-22'!K14</f>
        <v>260741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10718159</v>
      </c>
      <c r="C1108" s="2" t="s">
        <v>594</v>
      </c>
      <c r="D1108" s="2" t="str">
        <f t="shared" si="16"/>
        <v>Error?</v>
      </c>
    </row>
    <row r="1109" spans="1:4" x14ac:dyDescent="0.2">
      <c r="A1109" s="5">
        <v>1048</v>
      </c>
      <c r="B1109" s="138">
        <f>'Expenditures 15-22'!K36</f>
        <v>151467</v>
      </c>
      <c r="C1109" s="2" t="s">
        <v>594</v>
      </c>
      <c r="D1109" s="2" t="str">
        <f t="shared" si="16"/>
        <v>Error?</v>
      </c>
    </row>
    <row r="1110" spans="1:4" x14ac:dyDescent="0.2">
      <c r="A1110" s="5">
        <v>1049</v>
      </c>
      <c r="B1110" s="138">
        <f>'Expenditures 15-22'!K37</f>
        <v>161313</v>
      </c>
      <c r="C1110" s="2" t="s">
        <v>594</v>
      </c>
      <c r="D1110" s="2" t="str">
        <f t="shared" si="16"/>
        <v>Error?</v>
      </c>
    </row>
    <row r="1111" spans="1:4" x14ac:dyDescent="0.2">
      <c r="A1111" s="5">
        <v>1050</v>
      </c>
      <c r="B1111" s="138">
        <f>'Expenditures 15-22'!K38</f>
        <v>155441</v>
      </c>
      <c r="C1111" s="2" t="s">
        <v>594</v>
      </c>
      <c r="D1111" s="2" t="str">
        <f t="shared" si="16"/>
        <v>Error?</v>
      </c>
    </row>
    <row r="1112" spans="1:4" x14ac:dyDescent="0.2">
      <c r="A1112" s="5">
        <v>1051</v>
      </c>
      <c r="B1112" s="138">
        <f>'Expenditures 15-22'!K39</f>
        <v>132292</v>
      </c>
      <c r="C1112" s="2" t="s">
        <v>594</v>
      </c>
      <c r="D1112" s="2" t="str">
        <f t="shared" si="16"/>
        <v>Error?</v>
      </c>
    </row>
    <row r="1113" spans="1:4" x14ac:dyDescent="0.2">
      <c r="A1113" s="5">
        <v>1052</v>
      </c>
      <c r="B1113" s="138">
        <f>'Expenditures 15-22'!K40</f>
        <v>209887</v>
      </c>
      <c r="C1113" s="2" t="s">
        <v>594</v>
      </c>
      <c r="D1113" s="2" t="str">
        <f t="shared" si="16"/>
        <v>Error?</v>
      </c>
    </row>
    <row r="1114" spans="1:4" x14ac:dyDescent="0.2">
      <c r="A1114" s="5">
        <v>1053</v>
      </c>
      <c r="B1114" s="138">
        <f>'Expenditures 15-22'!K41</f>
        <v>69799</v>
      </c>
      <c r="C1114" s="2" t="s">
        <v>594</v>
      </c>
      <c r="D1114" s="2" t="str">
        <f t="shared" si="16"/>
        <v>Error?</v>
      </c>
    </row>
    <row r="1115" spans="1:4" x14ac:dyDescent="0.2">
      <c r="A1115" s="5">
        <v>1054</v>
      </c>
      <c r="B1115" s="138">
        <f>'Expenditures 15-22'!K42</f>
        <v>880199</v>
      </c>
      <c r="C1115" s="2" t="s">
        <v>594</v>
      </c>
      <c r="D1115" s="2" t="str">
        <f t="shared" si="16"/>
        <v>Error?</v>
      </c>
    </row>
    <row r="1116" spans="1:4" x14ac:dyDescent="0.2">
      <c r="A1116" s="5">
        <v>1055</v>
      </c>
      <c r="B1116" s="138">
        <f>'Expenditures 15-22'!K44</f>
        <v>101839</v>
      </c>
      <c r="C1116" s="2" t="s">
        <v>594</v>
      </c>
      <c r="D1116" s="2" t="str">
        <f t="shared" si="16"/>
        <v>Error?</v>
      </c>
    </row>
    <row r="1117" spans="1:4" x14ac:dyDescent="0.2">
      <c r="A1117" s="5">
        <v>1056</v>
      </c>
      <c r="B1117" s="138">
        <f>'Expenditures 15-22'!K45</f>
        <v>194126</v>
      </c>
      <c r="C1117" s="2" t="s">
        <v>594</v>
      </c>
      <c r="D1117" s="2" t="str">
        <f t="shared" si="16"/>
        <v>Error?</v>
      </c>
    </row>
    <row r="1118" spans="1:4" x14ac:dyDescent="0.2">
      <c r="A1118" s="5">
        <v>1057</v>
      </c>
      <c r="B1118" s="138">
        <f>'Expenditures 15-22'!K46</f>
        <v>55516</v>
      </c>
      <c r="C1118" s="2" t="s">
        <v>594</v>
      </c>
      <c r="D1118" s="2" t="str">
        <f t="shared" si="16"/>
        <v>Error?</v>
      </c>
    </row>
    <row r="1119" spans="1:4" x14ac:dyDescent="0.2">
      <c r="A1119" s="5">
        <v>1058</v>
      </c>
      <c r="B1119" s="138">
        <f>'Expenditures 15-22'!K47</f>
        <v>351481</v>
      </c>
      <c r="C1119" s="2" t="s">
        <v>594</v>
      </c>
      <c r="D1119" s="2" t="str">
        <f t="shared" si="16"/>
        <v>Error?</v>
      </c>
    </row>
    <row r="1120" spans="1:4" x14ac:dyDescent="0.2">
      <c r="A1120" s="5">
        <v>1059</v>
      </c>
      <c r="B1120" s="138">
        <f>'Expenditures 15-22'!K49</f>
        <v>111448</v>
      </c>
      <c r="C1120" s="2" t="s">
        <v>594</v>
      </c>
      <c r="D1120" s="2" t="str">
        <f t="shared" si="16"/>
        <v>Error?</v>
      </c>
    </row>
    <row r="1121" spans="1:4" x14ac:dyDescent="0.2">
      <c r="A1121" s="5">
        <v>1060</v>
      </c>
      <c r="B1121" s="138">
        <f>'Expenditures 15-22'!K50</f>
        <v>128517</v>
      </c>
      <c r="C1121" s="2" t="s">
        <v>594</v>
      </c>
      <c r="D1121" s="2" t="str">
        <f t="shared" si="16"/>
        <v>Error?</v>
      </c>
    </row>
    <row r="1122" spans="1:4" x14ac:dyDescent="0.2">
      <c r="A1122" s="5">
        <v>1061</v>
      </c>
      <c r="B1122" s="138">
        <f>'Expenditures 15-22'!K53</f>
        <v>256073</v>
      </c>
      <c r="C1122" s="2" t="s">
        <v>594</v>
      </c>
      <c r="D1122" s="2" t="str">
        <f t="shared" si="16"/>
        <v>Error?</v>
      </c>
    </row>
    <row r="1123" spans="1:4" x14ac:dyDescent="0.2">
      <c r="A1123" s="5">
        <v>1062</v>
      </c>
      <c r="B1123" s="138">
        <f>'Expenditures 15-22'!K55</f>
        <v>1008368</v>
      </c>
      <c r="C1123" s="2" t="s">
        <v>594</v>
      </c>
      <c r="D1123" s="2" t="str">
        <f t="shared" si="16"/>
        <v>Error?</v>
      </c>
    </row>
    <row r="1124" spans="1:4" x14ac:dyDescent="0.2">
      <c r="A1124" s="5">
        <v>1063</v>
      </c>
      <c r="B1124" s="138">
        <f>'Expenditures 15-22'!K56</f>
        <v>4081</v>
      </c>
      <c r="C1124" s="2" t="s">
        <v>594</v>
      </c>
      <c r="D1124" s="2" t="str">
        <f t="shared" si="16"/>
        <v>Error?</v>
      </c>
    </row>
    <row r="1125" spans="1:4" x14ac:dyDescent="0.2">
      <c r="A1125" s="5">
        <v>1064</v>
      </c>
      <c r="B1125" s="138">
        <f>'Expenditures 15-22'!K57</f>
        <v>1012449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551772</v>
      </c>
      <c r="C1127" s="2" t="s">
        <v>594</v>
      </c>
      <c r="D1127" s="2" t="str">
        <f t="shared" si="16"/>
        <v>Error?</v>
      </c>
    </row>
    <row r="1128" spans="1:4" x14ac:dyDescent="0.2">
      <c r="A1128" s="5">
        <v>1067</v>
      </c>
      <c r="B1128" s="138">
        <f>'Expenditures 15-22'!K61</f>
        <v>10978</v>
      </c>
      <c r="C1128" s="2" t="s">
        <v>594</v>
      </c>
      <c r="D1128" s="2" t="str">
        <f t="shared" si="16"/>
        <v>Error?</v>
      </c>
    </row>
    <row r="1129" spans="1:4" x14ac:dyDescent="0.2">
      <c r="A1129" s="5">
        <v>1068</v>
      </c>
      <c r="B1129" s="138">
        <f>'Expenditures 15-22'!K62</f>
        <v>800</v>
      </c>
      <c r="C1129" s="2" t="s">
        <v>594</v>
      </c>
      <c r="D1129" s="2" t="str">
        <f t="shared" si="16"/>
        <v>Error?</v>
      </c>
    </row>
    <row r="1130" spans="1:4" x14ac:dyDescent="0.2">
      <c r="A1130" s="5">
        <v>1069</v>
      </c>
      <c r="B1130" s="138">
        <f>'Expenditures 15-22'!K63</f>
        <v>1051223</v>
      </c>
      <c r="C1130" s="2" t="s">
        <v>594</v>
      </c>
      <c r="D1130" s="2" t="str">
        <f t="shared" si="16"/>
        <v>Error?</v>
      </c>
    </row>
    <row r="1131" spans="1:4" x14ac:dyDescent="0.2">
      <c r="A1131" s="5">
        <v>1070</v>
      </c>
      <c r="B1131" s="138">
        <f>'Expenditures 15-22'!K64</f>
        <v>19000</v>
      </c>
      <c r="C1131" s="2" t="s">
        <v>594</v>
      </c>
      <c r="D1131" s="2" t="str">
        <f t="shared" si="16"/>
        <v>Error?</v>
      </c>
    </row>
    <row r="1132" spans="1:4" x14ac:dyDescent="0.2">
      <c r="A1132" s="10">
        <v>1071</v>
      </c>
      <c r="D1132" s="2" t="str">
        <f t="shared" si="16"/>
        <v>OK</v>
      </c>
    </row>
    <row r="1133" spans="1:4" x14ac:dyDescent="0.2">
      <c r="A1133" s="5">
        <v>1072</v>
      </c>
      <c r="B1133" s="138">
        <f>'Expenditures 15-22'!K65</f>
        <v>1633773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24218</v>
      </c>
      <c r="C1142" s="2" t="s">
        <v>594</v>
      </c>
      <c r="D1142" s="2" t="str">
        <f t="shared" si="16"/>
        <v>Error?</v>
      </c>
    </row>
    <row r="1143" spans="1:4" x14ac:dyDescent="0.2">
      <c r="A1143" s="5">
        <v>1082</v>
      </c>
      <c r="B1143" s="138">
        <f>'Expenditures 15-22'!K74</f>
        <v>4158193</v>
      </c>
      <c r="C1143" s="2" t="s">
        <v>594</v>
      </c>
      <c r="D1143" s="2" t="str">
        <f t="shared" si="16"/>
        <v>Error?</v>
      </c>
    </row>
    <row r="1144" spans="1:4" x14ac:dyDescent="0.2">
      <c r="A1144" s="5">
        <v>1083</v>
      </c>
      <c r="B1144" s="138">
        <f>'Expenditures 15-22'!K75</f>
        <v>21316</v>
      </c>
      <c r="C1144" s="2" t="s">
        <v>594</v>
      </c>
      <c r="D1144" s="2" t="str">
        <f t="shared" si="16"/>
        <v>Error?</v>
      </c>
    </row>
    <row r="1145" spans="1:4" x14ac:dyDescent="0.2">
      <c r="A1145" s="5">
        <v>1084</v>
      </c>
      <c r="B1145" s="138">
        <f>'Expenditures 15-22'!K102</f>
        <v>173424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15071092</v>
      </c>
      <c r="C1152" s="2" t="s">
        <v>594</v>
      </c>
      <c r="D1152" s="2" t="str">
        <f t="shared" si="17"/>
        <v>Error?</v>
      </c>
    </row>
    <row r="1153" spans="1:4" x14ac:dyDescent="0.2">
      <c r="A1153" s="5">
        <v>1092</v>
      </c>
      <c r="B1153" s="138">
        <f>'Expenditures 15-22'!K115</f>
        <v>1312665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759759</v>
      </c>
      <c r="D1221" s="2" t="str">
        <f t="shared" si="18"/>
        <v>Error?</v>
      </c>
    </row>
    <row r="1222" spans="1:4" x14ac:dyDescent="0.2">
      <c r="A1222" s="10">
        <v>1161</v>
      </c>
      <c r="D1222" s="2" t="str">
        <f t="shared" si="18"/>
        <v>OK</v>
      </c>
    </row>
    <row r="1223" spans="1:4" x14ac:dyDescent="0.2">
      <c r="A1223" s="5">
        <v>1162</v>
      </c>
      <c r="B1223" s="138">
        <f>'Expenditures 15-22'!C127</f>
        <v>759759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759759</v>
      </c>
      <c r="C1225" s="2" t="s">
        <v>594</v>
      </c>
      <c r="D1225" s="2" t="str">
        <f t="shared" si="18"/>
        <v>Error?</v>
      </c>
    </row>
    <row r="1226" spans="1:4" x14ac:dyDescent="0.2">
      <c r="A1226" s="5">
        <v>1165</v>
      </c>
      <c r="B1226" s="138">
        <f>'Expenditures 15-22'!C151</f>
        <v>759759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88028</v>
      </c>
      <c r="D1229" s="2" t="str">
        <f t="shared" si="18"/>
        <v>Error?</v>
      </c>
    </row>
    <row r="1230" spans="1:4" x14ac:dyDescent="0.2">
      <c r="A1230" s="10">
        <v>1169</v>
      </c>
      <c r="D1230" s="2" t="str">
        <f t="shared" si="18"/>
        <v>OK</v>
      </c>
    </row>
    <row r="1231" spans="1:4" x14ac:dyDescent="0.2">
      <c r="A1231" s="5">
        <v>1170</v>
      </c>
      <c r="B1231" s="138">
        <f>'Expenditures 15-22'!D127</f>
        <v>88028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88028</v>
      </c>
      <c r="C1233" s="2" t="s">
        <v>594</v>
      </c>
      <c r="D1233" s="2" t="str">
        <f t="shared" si="18"/>
        <v>Error?</v>
      </c>
    </row>
    <row r="1234" spans="1:4" x14ac:dyDescent="0.2">
      <c r="A1234" s="5">
        <v>1173</v>
      </c>
      <c r="B1234" s="138">
        <f>'Expenditures 15-22'!D151</f>
        <v>88028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728</v>
      </c>
      <c r="D1236" s="2" t="str">
        <f t="shared" si="18"/>
        <v>Error?</v>
      </c>
    </row>
    <row r="1237" spans="1:4" x14ac:dyDescent="0.2">
      <c r="A1237" s="5">
        <v>1176</v>
      </c>
      <c r="B1237" s="138">
        <f>'Expenditures 15-22'!E124</f>
        <v>390777</v>
      </c>
      <c r="D1237" s="2" t="str">
        <f t="shared" si="18"/>
        <v>Error?</v>
      </c>
    </row>
    <row r="1238" spans="1:4" x14ac:dyDescent="0.2">
      <c r="A1238" s="10">
        <v>1177</v>
      </c>
      <c r="D1238" s="2" t="str">
        <f t="shared" si="18"/>
        <v>OK</v>
      </c>
    </row>
    <row r="1239" spans="1:4" x14ac:dyDescent="0.2">
      <c r="A1239" s="5">
        <v>1178</v>
      </c>
      <c r="B1239" s="138">
        <f>'Expenditures 15-22'!E127</f>
        <v>391505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391505</v>
      </c>
      <c r="C1241" s="2" t="s">
        <v>594</v>
      </c>
      <c r="D1241" s="2" t="str">
        <f t="shared" si="18"/>
        <v>Error?</v>
      </c>
    </row>
    <row r="1242" spans="1:4" x14ac:dyDescent="0.2">
      <c r="A1242" s="5">
        <v>1181</v>
      </c>
      <c r="B1242" s="138">
        <f>'Expenditures 15-22'!E151</f>
        <v>391505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659361</v>
      </c>
      <c r="D1245" s="2" t="str">
        <f t="shared" si="18"/>
        <v>Error?</v>
      </c>
    </row>
    <row r="1246" spans="1:4" x14ac:dyDescent="0.2">
      <c r="A1246" s="10">
        <v>1185</v>
      </c>
      <c r="D1246" s="2" t="str">
        <f t="shared" si="18"/>
        <v>OK</v>
      </c>
    </row>
    <row r="1247" spans="1:4" x14ac:dyDescent="0.2">
      <c r="A1247" s="5">
        <v>1186</v>
      </c>
      <c r="B1247" s="138">
        <f>'Expenditures 15-22'!F127</f>
        <v>659361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659361</v>
      </c>
      <c r="C1249" s="2" t="s">
        <v>594</v>
      </c>
      <c r="D1249" s="2" t="str">
        <f t="shared" si="18"/>
        <v>Error?</v>
      </c>
    </row>
    <row r="1250" spans="1:4" x14ac:dyDescent="0.2">
      <c r="A1250" s="5">
        <v>1189</v>
      </c>
      <c r="B1250" s="138">
        <f>'Expenditures 15-22'!F151</f>
        <v>659361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34454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34454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34454</v>
      </c>
      <c r="C1258" s="2" t="s">
        <v>594</v>
      </c>
      <c r="D1258" s="2" t="str">
        <f t="shared" si="18"/>
        <v>Error?</v>
      </c>
    </row>
    <row r="1259" spans="1:4" x14ac:dyDescent="0.2">
      <c r="A1259" s="5">
        <v>1198</v>
      </c>
      <c r="B1259" s="138">
        <f>'Expenditures 15-22'!G151</f>
        <v>34454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728</v>
      </c>
      <c r="C1275" s="2" t="s">
        <v>594</v>
      </c>
      <c r="D1275" s="2" t="str">
        <f t="shared" si="18"/>
        <v>Error?</v>
      </c>
    </row>
    <row r="1276" spans="1:4" x14ac:dyDescent="0.2">
      <c r="A1276" s="5">
        <v>1215</v>
      </c>
      <c r="B1276" s="138">
        <f>'Expenditures 15-22'!K124</f>
        <v>1932379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1933107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1933107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1933107</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81590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890116</v>
      </c>
      <c r="D1315" s="2" t="str">
        <f t="shared" si="19"/>
        <v>Error?</v>
      </c>
    </row>
    <row r="1316" spans="1:4" x14ac:dyDescent="0.2">
      <c r="A1316" s="5">
        <v>1255</v>
      </c>
      <c r="B1316" s="138">
        <f>'Expenditures 15-22'!H171</f>
        <v>9487</v>
      </c>
      <c r="D1316" s="2" t="str">
        <f t="shared" si="19"/>
        <v>Error?</v>
      </c>
    </row>
    <row r="1317" spans="1:4" x14ac:dyDescent="0.2">
      <c r="A1317" s="5">
        <v>1256</v>
      </c>
      <c r="B1317" s="138">
        <f>'Expenditures 15-22'!H172</f>
        <v>981193</v>
      </c>
      <c r="C1317" s="2" t="s">
        <v>594</v>
      </c>
      <c r="D1317" s="2" t="str">
        <f t="shared" si="19"/>
        <v>Error?</v>
      </c>
    </row>
    <row r="1318" spans="1:4" x14ac:dyDescent="0.2">
      <c r="A1318" s="5">
        <v>1257</v>
      </c>
      <c r="B1318" s="138">
        <f>'Expenditures 15-22'!H174</f>
        <v>981193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81590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890116</v>
      </c>
      <c r="C1329" s="2" t="s">
        <v>594</v>
      </c>
      <c r="D1329" s="2" t="str">
        <f t="shared" si="19"/>
        <v>Error?</v>
      </c>
    </row>
    <row r="1330" spans="1:4" x14ac:dyDescent="0.2">
      <c r="A1330" s="5">
        <v>1269</v>
      </c>
      <c r="B1330" s="138">
        <f>'Expenditures 15-22'!K171</f>
        <v>9487</v>
      </c>
      <c r="C1330" s="2" t="s">
        <v>594</v>
      </c>
      <c r="D1330" s="2" t="str">
        <f t="shared" si="19"/>
        <v>Error?</v>
      </c>
    </row>
    <row r="1331" spans="1:4" x14ac:dyDescent="0.2">
      <c r="A1331" s="5">
        <v>1270</v>
      </c>
      <c r="B1331" s="138">
        <f>'Expenditures 15-22'!K172</f>
        <v>981193</v>
      </c>
      <c r="C1331" s="2" t="s">
        <v>594</v>
      </c>
      <c r="D1331" s="2" t="str">
        <f t="shared" si="19"/>
        <v>Error?</v>
      </c>
    </row>
    <row r="1332" spans="1:4" x14ac:dyDescent="0.2">
      <c r="A1332" s="5">
        <v>1271</v>
      </c>
      <c r="B1332" s="138">
        <f>'Expenditures 15-22'!K174</f>
        <v>981193</v>
      </c>
      <c r="C1332" s="2" t="s">
        <v>594</v>
      </c>
      <c r="D1332" s="2" t="str">
        <f t="shared" si="19"/>
        <v>Error?</v>
      </c>
    </row>
    <row r="1333" spans="1:4" x14ac:dyDescent="0.2">
      <c r="A1333" s="5">
        <v>1272</v>
      </c>
      <c r="B1333" s="138">
        <f>'Expenditures 15-22'!K175</f>
        <v>-271602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1394113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1394113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1394113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1394113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1394113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1394113</v>
      </c>
      <c r="C1388" s="2" t="s">
        <v>594</v>
      </c>
      <c r="D1388" s="2" t="str">
        <f t="shared" si="20"/>
        <v>Error?</v>
      </c>
    </row>
    <row r="1389" spans="1:4" x14ac:dyDescent="0.2">
      <c r="A1389" s="5">
        <v>1328</v>
      </c>
      <c r="B1389" s="138">
        <f>'Expenditures 15-22'!K211</f>
        <v>30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6340</v>
      </c>
      <c r="D1407" s="2" t="str">
        <f t="shared" ref="D1407:D1470" si="21">IF(ISBLANK(B1407),"OK",IF(A1407-B1407=0,"OK","Error?"))</f>
        <v>Error?</v>
      </c>
    </row>
    <row r="1408" spans="1:4" x14ac:dyDescent="0.2">
      <c r="A1408" s="5">
        <v>1347</v>
      </c>
      <c r="B1408" s="138">
        <f>'Expenditures 15-22'!D223</f>
        <v>8793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289174</v>
      </c>
      <c r="C1410" s="2" t="s">
        <v>594</v>
      </c>
      <c r="D1410" s="2" t="str">
        <f t="shared" si="21"/>
        <v>Error?</v>
      </c>
    </row>
    <row r="1411" spans="1:4" x14ac:dyDescent="0.2">
      <c r="A1411" s="5">
        <v>1350</v>
      </c>
      <c r="B1411" s="138">
        <f>'Expenditures 15-22'!D232</f>
        <v>1679</v>
      </c>
      <c r="D1411" s="2" t="str">
        <f t="shared" si="21"/>
        <v>Error?</v>
      </c>
    </row>
    <row r="1412" spans="1:4" x14ac:dyDescent="0.2">
      <c r="A1412" s="5">
        <v>1351</v>
      </c>
      <c r="B1412" s="138">
        <f>'Expenditures 15-22'!D233</f>
        <v>1755</v>
      </c>
      <c r="D1412" s="2" t="str">
        <f t="shared" si="21"/>
        <v>Error?</v>
      </c>
    </row>
    <row r="1413" spans="1:4" x14ac:dyDescent="0.2">
      <c r="A1413" s="5">
        <v>1352</v>
      </c>
      <c r="B1413" s="138">
        <f>'Expenditures 15-22'!D234</f>
        <v>16372</v>
      </c>
      <c r="D1413" s="2" t="str">
        <f t="shared" si="21"/>
        <v>Error?</v>
      </c>
    </row>
    <row r="1414" spans="1:4" x14ac:dyDescent="0.2">
      <c r="A1414" s="5">
        <v>1353</v>
      </c>
      <c r="B1414" s="138">
        <f>'Expenditures 15-22'!D235</f>
        <v>1608</v>
      </c>
      <c r="D1414" s="2" t="str">
        <f t="shared" si="21"/>
        <v>Error?</v>
      </c>
    </row>
    <row r="1415" spans="1:4" x14ac:dyDescent="0.2">
      <c r="A1415" s="5">
        <v>1354</v>
      </c>
      <c r="B1415" s="138">
        <f>'Expenditures 15-22'!D236</f>
        <v>2455</v>
      </c>
      <c r="D1415" s="2" t="str">
        <f t="shared" si="21"/>
        <v>Error?</v>
      </c>
    </row>
    <row r="1416" spans="1:4" x14ac:dyDescent="0.2">
      <c r="A1416" s="5">
        <v>1355</v>
      </c>
      <c r="B1416" s="138">
        <f>'Expenditures 15-22'!D237</f>
        <v>2078</v>
      </c>
      <c r="D1416" s="2" t="str">
        <f t="shared" si="21"/>
        <v>Error?</v>
      </c>
    </row>
    <row r="1417" spans="1:4" x14ac:dyDescent="0.2">
      <c r="A1417" s="5">
        <v>1356</v>
      </c>
      <c r="B1417" s="138">
        <f>'Expenditures 15-22'!D238</f>
        <v>25947</v>
      </c>
      <c r="C1417" s="2" t="s">
        <v>594</v>
      </c>
      <c r="D1417" s="2" t="str">
        <f t="shared" si="21"/>
        <v>Error?</v>
      </c>
    </row>
    <row r="1418" spans="1:4" x14ac:dyDescent="0.2">
      <c r="A1418" s="5">
        <v>1357</v>
      </c>
      <c r="B1418" s="138">
        <f>'Expenditures 15-22'!D240</f>
        <v>766</v>
      </c>
      <c r="D1418" s="2" t="str">
        <f t="shared" si="21"/>
        <v>Error?</v>
      </c>
    </row>
    <row r="1419" spans="1:4" x14ac:dyDescent="0.2">
      <c r="A1419" s="5">
        <v>1358</v>
      </c>
      <c r="B1419" s="138">
        <f>'Expenditures 15-22'!D241</f>
        <v>1746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2512</v>
      </c>
      <c r="C1421" s="2" t="s">
        <v>594</v>
      </c>
      <c r="D1421" s="2" t="str">
        <f t="shared" si="21"/>
        <v>Error?</v>
      </c>
    </row>
    <row r="1422" spans="1:4" x14ac:dyDescent="0.2">
      <c r="A1422" s="5">
        <v>1361</v>
      </c>
      <c r="B1422" s="138">
        <f>'Expenditures 15-22'!D245</f>
        <v>1349</v>
      </c>
      <c r="D1422" s="2" t="str">
        <f t="shared" si="21"/>
        <v>Error?</v>
      </c>
    </row>
    <row r="1423" spans="1:4" x14ac:dyDescent="0.2">
      <c r="A1423" s="5">
        <v>1362</v>
      </c>
      <c r="B1423" s="138">
        <f>'Expenditures 15-22'!D246</f>
        <v>1453</v>
      </c>
      <c r="D1423" s="2" t="str">
        <f t="shared" si="21"/>
        <v>Error?</v>
      </c>
    </row>
    <row r="1424" spans="1:4" x14ac:dyDescent="0.2">
      <c r="A1424" s="5">
        <v>1363</v>
      </c>
      <c r="B1424" s="138">
        <f>'Expenditures 15-22'!D257</f>
        <v>2802</v>
      </c>
      <c r="C1424" s="2" t="s">
        <v>594</v>
      </c>
      <c r="D1424" s="2" t="str">
        <f t="shared" si="21"/>
        <v>Error?</v>
      </c>
    </row>
    <row r="1425" spans="1:4" x14ac:dyDescent="0.2">
      <c r="A1425" s="5">
        <v>1364</v>
      </c>
      <c r="B1425" s="138">
        <f>'Expenditures 15-22'!D259</f>
        <v>58522</v>
      </c>
      <c r="D1425" s="2" t="str">
        <f t="shared" si="21"/>
        <v>Error?</v>
      </c>
    </row>
    <row r="1426" spans="1:4" x14ac:dyDescent="0.2">
      <c r="A1426" s="5">
        <v>1365</v>
      </c>
      <c r="B1426" s="138">
        <f>'Expenditures 15-22'!D260</f>
        <v>53</v>
      </c>
      <c r="D1426" s="2" t="str">
        <f t="shared" si="21"/>
        <v>Error?</v>
      </c>
    </row>
    <row r="1427" spans="1:4" x14ac:dyDescent="0.2">
      <c r="A1427" s="5">
        <v>1366</v>
      </c>
      <c r="B1427" s="138">
        <f>'Expenditures 15-22'!D261</f>
        <v>58575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37696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127056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62409</v>
      </c>
      <c r="D1433" s="2" t="str">
        <f t="shared" si="21"/>
        <v>Error?</v>
      </c>
    </row>
    <row r="1434" spans="1:4" x14ac:dyDescent="0.2">
      <c r="A1434" s="5">
        <v>1373</v>
      </c>
      <c r="B1434" s="138">
        <f>'Expenditures 15-22'!D269</f>
        <v>868</v>
      </c>
      <c r="D1434" s="2" t="str">
        <f t="shared" si="21"/>
        <v>Error?</v>
      </c>
    </row>
    <row r="1435" spans="1:4" x14ac:dyDescent="0.2">
      <c r="A1435" s="10">
        <v>1374</v>
      </c>
      <c r="D1435" s="2" t="str">
        <f t="shared" si="21"/>
        <v>OK</v>
      </c>
    </row>
    <row r="1436" spans="1:4" x14ac:dyDescent="0.2">
      <c r="A1436" s="5">
        <v>1375</v>
      </c>
      <c r="B1436" s="138">
        <f>'Expenditures 15-22'!D270</f>
        <v>228029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317865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607039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6340</v>
      </c>
      <c r="C1471" s="2" t="s">
        <v>594</v>
      </c>
      <c r="D1471" s="2" t="str">
        <f t="shared" ref="D1471:D1534" si="22">IF(ISBLANK(B1471),"OK",IF(A1471-B1471=0,"OK","Error?"))</f>
        <v>Error?</v>
      </c>
    </row>
    <row r="1472" spans="1:4" x14ac:dyDescent="0.2">
      <c r="A1472" s="5">
        <v>1411</v>
      </c>
      <c r="B1472" s="138">
        <f>'Expenditures 15-22'!K223</f>
        <v>8793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289174</v>
      </c>
      <c r="C1474" s="2" t="s">
        <v>594</v>
      </c>
      <c r="D1474" s="2" t="str">
        <f t="shared" si="22"/>
        <v>Error?</v>
      </c>
    </row>
    <row r="1475" spans="1:4" x14ac:dyDescent="0.2">
      <c r="A1475" s="5">
        <v>1414</v>
      </c>
      <c r="B1475" s="138">
        <f>'Expenditures 15-22'!K232</f>
        <v>1679</v>
      </c>
      <c r="C1475" s="2" t="s">
        <v>594</v>
      </c>
      <c r="D1475" s="2" t="str">
        <f t="shared" si="22"/>
        <v>Error?</v>
      </c>
    </row>
    <row r="1476" spans="1:4" x14ac:dyDescent="0.2">
      <c r="A1476" s="5">
        <v>1415</v>
      </c>
      <c r="B1476" s="138">
        <f>'Expenditures 15-22'!K233</f>
        <v>1755</v>
      </c>
      <c r="C1476" s="2" t="s">
        <v>594</v>
      </c>
      <c r="D1476" s="2" t="str">
        <f t="shared" si="22"/>
        <v>Error?</v>
      </c>
    </row>
    <row r="1477" spans="1:4" x14ac:dyDescent="0.2">
      <c r="A1477" s="5">
        <v>1416</v>
      </c>
      <c r="B1477" s="138">
        <f>'Expenditures 15-22'!K234</f>
        <v>16372</v>
      </c>
      <c r="C1477" s="2" t="s">
        <v>594</v>
      </c>
      <c r="D1477" s="2" t="str">
        <f t="shared" si="22"/>
        <v>Error?</v>
      </c>
    </row>
    <row r="1478" spans="1:4" x14ac:dyDescent="0.2">
      <c r="A1478" s="5">
        <v>1417</v>
      </c>
      <c r="B1478" s="138">
        <f>'Expenditures 15-22'!K235</f>
        <v>1608</v>
      </c>
      <c r="C1478" s="2" t="s">
        <v>594</v>
      </c>
      <c r="D1478" s="2" t="str">
        <f t="shared" si="22"/>
        <v>Error?</v>
      </c>
    </row>
    <row r="1479" spans="1:4" x14ac:dyDescent="0.2">
      <c r="A1479" s="5">
        <v>1418</v>
      </c>
      <c r="B1479" s="138">
        <f>'Expenditures 15-22'!K236</f>
        <v>2455</v>
      </c>
      <c r="C1479" s="2" t="s">
        <v>594</v>
      </c>
      <c r="D1479" s="2" t="str">
        <f t="shared" si="22"/>
        <v>Error?</v>
      </c>
    </row>
    <row r="1480" spans="1:4" x14ac:dyDescent="0.2">
      <c r="A1480" s="5">
        <v>1419</v>
      </c>
      <c r="B1480" s="138">
        <f>'Expenditures 15-22'!K237</f>
        <v>2078</v>
      </c>
      <c r="C1480" s="2" t="s">
        <v>594</v>
      </c>
      <c r="D1480" s="2" t="str">
        <f t="shared" si="22"/>
        <v>Error?</v>
      </c>
    </row>
    <row r="1481" spans="1:4" x14ac:dyDescent="0.2">
      <c r="A1481" s="5">
        <v>1420</v>
      </c>
      <c r="B1481" s="138">
        <f>'Expenditures 15-22'!K238</f>
        <v>25947</v>
      </c>
      <c r="C1481" s="2" t="s">
        <v>594</v>
      </c>
      <c r="D1481" s="2" t="str">
        <f t="shared" si="22"/>
        <v>Error?</v>
      </c>
    </row>
    <row r="1482" spans="1:4" x14ac:dyDescent="0.2">
      <c r="A1482" s="5">
        <v>1421</v>
      </c>
      <c r="B1482" s="138">
        <f>'Expenditures 15-22'!K240</f>
        <v>766</v>
      </c>
      <c r="C1482" s="2" t="s">
        <v>594</v>
      </c>
      <c r="D1482" s="2" t="str">
        <f t="shared" si="22"/>
        <v>Error?</v>
      </c>
    </row>
    <row r="1483" spans="1:4" x14ac:dyDescent="0.2">
      <c r="A1483" s="5">
        <v>1422</v>
      </c>
      <c r="B1483" s="138">
        <f>'Expenditures 15-22'!K241</f>
        <v>1746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2512</v>
      </c>
      <c r="C1485" s="2" t="s">
        <v>594</v>
      </c>
      <c r="D1485" s="2" t="str">
        <f t="shared" si="22"/>
        <v>Error?</v>
      </c>
    </row>
    <row r="1486" spans="1:4" x14ac:dyDescent="0.2">
      <c r="A1486" s="5">
        <v>1425</v>
      </c>
      <c r="B1486" s="138">
        <f>'Expenditures 15-22'!K245</f>
        <v>1349</v>
      </c>
      <c r="C1486" s="2" t="s">
        <v>594</v>
      </c>
      <c r="D1486" s="2" t="str">
        <f t="shared" si="22"/>
        <v>Error?</v>
      </c>
    </row>
    <row r="1487" spans="1:4" x14ac:dyDescent="0.2">
      <c r="A1487" s="5">
        <v>1426</v>
      </c>
      <c r="B1487" s="138">
        <f>'Expenditures 15-22'!K246</f>
        <v>1453</v>
      </c>
      <c r="C1487" s="2" t="s">
        <v>594</v>
      </c>
      <c r="D1487" s="2" t="str">
        <f t="shared" si="22"/>
        <v>Error?</v>
      </c>
    </row>
    <row r="1488" spans="1:4" x14ac:dyDescent="0.2">
      <c r="A1488" s="5">
        <v>1427</v>
      </c>
      <c r="B1488" s="138">
        <f>'Expenditures 15-22'!K257</f>
        <v>2802</v>
      </c>
      <c r="C1488" s="2" t="s">
        <v>594</v>
      </c>
      <c r="D1488" s="2" t="str">
        <f t="shared" si="22"/>
        <v>Error?</v>
      </c>
    </row>
    <row r="1489" spans="1:4" x14ac:dyDescent="0.2">
      <c r="A1489" s="5">
        <v>1428</v>
      </c>
      <c r="B1489" s="138">
        <f>'Expenditures 15-22'!K259</f>
        <v>58522</v>
      </c>
      <c r="C1489" s="2" t="s">
        <v>594</v>
      </c>
      <c r="D1489" s="2" t="str">
        <f t="shared" si="22"/>
        <v>Error?</v>
      </c>
    </row>
    <row r="1490" spans="1:4" x14ac:dyDescent="0.2">
      <c r="A1490" s="5">
        <v>1429</v>
      </c>
      <c r="B1490" s="138">
        <f>'Expenditures 15-22'!K260</f>
        <v>53</v>
      </c>
      <c r="C1490" s="2" t="s">
        <v>594</v>
      </c>
      <c r="D1490" s="2" t="str">
        <f t="shared" si="22"/>
        <v>Error?</v>
      </c>
    </row>
    <row r="1491" spans="1:4" x14ac:dyDescent="0.2">
      <c r="A1491" s="5">
        <v>1430</v>
      </c>
      <c r="B1491" s="138">
        <f>'Expenditures 15-22'!K261</f>
        <v>58575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37696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127056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62409</v>
      </c>
      <c r="C1497" s="2" t="s">
        <v>594</v>
      </c>
      <c r="D1497" s="2" t="str">
        <f t="shared" si="22"/>
        <v>Error?</v>
      </c>
    </row>
    <row r="1498" spans="1:4" x14ac:dyDescent="0.2">
      <c r="A1498" s="5">
        <v>1437</v>
      </c>
      <c r="B1498" s="138">
        <f>'Expenditures 15-22'!K269</f>
        <v>868</v>
      </c>
      <c r="C1498" s="2" t="s">
        <v>594</v>
      </c>
      <c r="D1498" s="2" t="str">
        <f t="shared" si="22"/>
        <v>Error?</v>
      </c>
    </row>
    <row r="1499" spans="1:4" x14ac:dyDescent="0.2">
      <c r="A1499" s="10">
        <v>1438</v>
      </c>
      <c r="D1499" s="2" t="str">
        <f t="shared" si="22"/>
        <v>OK</v>
      </c>
    </row>
    <row r="1500" spans="1:4" x14ac:dyDescent="0.2">
      <c r="A1500" s="5">
        <v>1439</v>
      </c>
      <c r="B1500" s="138">
        <f>'Expenditures 15-22'!K270</f>
        <v>228029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317865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607039</v>
      </c>
      <c r="C1517" s="2" t="s">
        <v>594</v>
      </c>
      <c r="D1517" s="2" t="str">
        <f t="shared" si="22"/>
        <v>Error?</v>
      </c>
    </row>
    <row r="1518" spans="1:4" x14ac:dyDescent="0.2">
      <c r="A1518" s="5">
        <v>1457</v>
      </c>
      <c r="B1518" s="138">
        <f>'Expenditures 15-22'!K296</f>
        <v>-55798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542710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542710</v>
      </c>
      <c r="C1547" s="2" t="s">
        <v>594</v>
      </c>
      <c r="D1547" s="2" t="str">
        <f t="shared" si="23"/>
        <v>Error?</v>
      </c>
    </row>
    <row r="1548" spans="1:4" x14ac:dyDescent="0.2">
      <c r="A1548" s="5">
        <v>1487</v>
      </c>
      <c r="B1548" s="138">
        <f>'Expenditures 15-22'!G312</f>
        <v>542710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542710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542710</v>
      </c>
      <c r="C1559" s="2" t="s">
        <v>594</v>
      </c>
      <c r="D1559" s="2" t="str">
        <f t="shared" si="23"/>
        <v>Error?</v>
      </c>
    </row>
    <row r="1560" spans="1:4" x14ac:dyDescent="0.2">
      <c r="A1560" s="5">
        <v>1499</v>
      </c>
      <c r="B1560" s="138">
        <f>'Expenditures 15-22'!K312</f>
        <v>542710</v>
      </c>
      <c r="C1560" s="2" t="s">
        <v>594</v>
      </c>
      <c r="D1560" s="2" t="str">
        <f t="shared" si="23"/>
        <v>Error?</v>
      </c>
    </row>
    <row r="1561" spans="1:4" x14ac:dyDescent="0.2">
      <c r="A1561" s="5">
        <v>1500</v>
      </c>
      <c r="B1561" s="138">
        <f>'Expenditures 15-22'!K313</f>
        <v>48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3737296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4783845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496776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491290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v>
      </c>
      <c r="C1672" s="2" t="s">
        <v>594</v>
      </c>
      <c r="D1672" s="2" t="str">
        <f t="shared" si="25"/>
        <v>Error?</v>
      </c>
    </row>
    <row r="1673" spans="1:4" x14ac:dyDescent="0.2">
      <c r="A1673" s="5">
        <v>1612</v>
      </c>
      <c r="B1673" s="138">
        <f>'Acct Summary 7-8'!G79</f>
        <v>678801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623003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3756658</v>
      </c>
      <c r="C1744" s="2" t="s">
        <v>594</v>
      </c>
      <c r="D1744" s="2" t="str">
        <f t="shared" si="26"/>
        <v>Error?</v>
      </c>
    </row>
    <row r="1745" spans="1:5" x14ac:dyDescent="0.2">
      <c r="A1745" s="5">
        <v>1684</v>
      </c>
      <c r="B1745" s="138">
        <f>'Tax Sched 23'!B5</f>
        <v>680764</v>
      </c>
      <c r="C1745" s="2" t="s">
        <v>594</v>
      </c>
      <c r="D1745" s="2" t="str">
        <f t="shared" si="26"/>
        <v>Error?</v>
      </c>
    </row>
    <row r="1746" spans="1:5" x14ac:dyDescent="0.2">
      <c r="A1746" s="5">
        <v>1685</v>
      </c>
      <c r="B1746" s="138">
        <f>'Tax Sched 23'!B6</f>
        <v>705783</v>
      </c>
      <c r="C1746" s="2" t="s">
        <v>594</v>
      </c>
      <c r="D1746" s="2" t="str">
        <f t="shared" si="26"/>
        <v>Error?</v>
      </c>
    </row>
    <row r="1747" spans="1:5" x14ac:dyDescent="0.2">
      <c r="A1747" s="5">
        <v>1686</v>
      </c>
      <c r="B1747" s="138">
        <f>'Tax Sched 23'!B7</f>
        <v>272306</v>
      </c>
      <c r="C1747" s="2" t="s">
        <v>594</v>
      </c>
      <c r="D1747" s="2" t="str">
        <f t="shared" si="26"/>
        <v>Error?</v>
      </c>
    </row>
    <row r="1748" spans="1:5" x14ac:dyDescent="0.2">
      <c r="A1748" s="5">
        <v>1687</v>
      </c>
      <c r="B1748" s="138">
        <f>'Tax Sched 23'!B8</f>
        <v>223363</v>
      </c>
      <c r="C1748" s="2" t="s">
        <v>594</v>
      </c>
      <c r="D1748" s="2" t="str">
        <f t="shared" si="26"/>
        <v>Error?</v>
      </c>
    </row>
    <row r="1749" spans="1:5" x14ac:dyDescent="0.2">
      <c r="A1749" s="5">
        <v>1688</v>
      </c>
      <c r="B1749" s="138">
        <f>'Tax Sched 23'!B10</f>
        <v>66283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467228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6463838</v>
      </c>
      <c r="C1759" s="2" t="s">
        <v>594</v>
      </c>
      <c r="D1759" s="2" t="str">
        <f t="shared" si="26"/>
        <v>Error?</v>
      </c>
    </row>
    <row r="1760" spans="1:5" x14ac:dyDescent="0.2">
      <c r="A1760" s="5">
        <v>1699</v>
      </c>
      <c r="B1760" s="138">
        <f>'Tax Sched 23'!D4</f>
        <v>3756658</v>
      </c>
      <c r="C1760" s="2" t="s">
        <v>594</v>
      </c>
      <c r="D1760" s="2" t="str">
        <f t="shared" si="26"/>
        <v>Error?</v>
      </c>
    </row>
    <row r="1761" spans="1:5" x14ac:dyDescent="0.2">
      <c r="A1761" s="5">
        <v>1700</v>
      </c>
      <c r="B1761" s="138">
        <f>'Tax Sched 23'!D5</f>
        <v>680764</v>
      </c>
      <c r="C1761" s="2" t="s">
        <v>594</v>
      </c>
      <c r="D1761" s="2" t="str">
        <f t="shared" si="26"/>
        <v>Error?</v>
      </c>
    </row>
    <row r="1762" spans="1:5" s="8" customFormat="1" x14ac:dyDescent="0.2">
      <c r="A1762" s="5">
        <v>1701</v>
      </c>
      <c r="B1762" s="138">
        <f>'Tax Sched 23'!D6</f>
        <v>705783</v>
      </c>
      <c r="C1762" s="2" t="s">
        <v>594</v>
      </c>
      <c r="D1762" s="2" t="str">
        <f t="shared" si="26"/>
        <v>Error?</v>
      </c>
      <c r="E1762" s="9"/>
    </row>
    <row r="1763" spans="1:5" x14ac:dyDescent="0.2">
      <c r="A1763" s="5">
        <v>1702</v>
      </c>
      <c r="B1763" s="138">
        <f>'Tax Sched 23'!D7</f>
        <v>272306</v>
      </c>
      <c r="C1763" s="2" t="s">
        <v>594</v>
      </c>
      <c r="D1763" s="2" t="str">
        <f t="shared" si="26"/>
        <v>Error?</v>
      </c>
    </row>
    <row r="1764" spans="1:5" x14ac:dyDescent="0.2">
      <c r="A1764" s="5">
        <v>1703</v>
      </c>
      <c r="B1764" s="138">
        <f>'Tax Sched 23'!D8</f>
        <v>223363</v>
      </c>
      <c r="C1764" s="2" t="s">
        <v>594</v>
      </c>
      <c r="D1764" s="2" t="str">
        <f t="shared" si="26"/>
        <v>Error?</v>
      </c>
    </row>
    <row r="1765" spans="1:5" x14ac:dyDescent="0.2">
      <c r="A1765" s="5">
        <v>1704</v>
      </c>
      <c r="B1765" s="138">
        <f>'Tax Sched 23'!D10</f>
        <v>66283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467228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6463838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3824734</v>
      </c>
      <c r="C1792" s="2" t="s">
        <v>594</v>
      </c>
      <c r="D1792" s="2" t="str">
        <f t="shared" si="27"/>
        <v>Error?</v>
      </c>
    </row>
    <row r="1793" spans="1:4" x14ac:dyDescent="0.2">
      <c r="A1793" s="5">
        <v>1732</v>
      </c>
      <c r="B1793" s="138">
        <f>'Tax Sched 23'!F5</f>
        <v>727752</v>
      </c>
      <c r="C1793" s="2" t="s">
        <v>594</v>
      </c>
      <c r="D1793" s="2" t="str">
        <f t="shared" si="27"/>
        <v>Error?</v>
      </c>
    </row>
    <row r="1794" spans="1:4" x14ac:dyDescent="0.2">
      <c r="A1794" s="5">
        <v>1733</v>
      </c>
      <c r="B1794" s="138">
        <f>'Tax Sched 23'!F6</f>
        <v>708033</v>
      </c>
      <c r="C1794" s="2" t="s">
        <v>594</v>
      </c>
      <c r="D1794" s="2" t="str">
        <f t="shared" si="27"/>
        <v>Error?</v>
      </c>
    </row>
    <row r="1795" spans="1:4" x14ac:dyDescent="0.2">
      <c r="A1795" s="5">
        <v>1734</v>
      </c>
      <c r="B1795" s="138">
        <f>'Tax Sched 23'!F7</f>
        <v>276673</v>
      </c>
      <c r="C1795" s="2" t="s">
        <v>594</v>
      </c>
      <c r="D1795" s="2" t="str">
        <f t="shared" si="27"/>
        <v>Error?</v>
      </c>
    </row>
    <row r="1796" spans="1:4" x14ac:dyDescent="0.2">
      <c r="A1796" s="5">
        <v>1735</v>
      </c>
      <c r="B1796" s="138">
        <f>'Tax Sched 23'!F8</f>
        <v>227412</v>
      </c>
      <c r="C1796" s="2" t="s">
        <v>594</v>
      </c>
      <c r="D1796" s="2" t="str">
        <f t="shared" si="27"/>
        <v>Error?</v>
      </c>
    </row>
    <row r="1797" spans="1:4" x14ac:dyDescent="0.2">
      <c r="A1797" s="5">
        <v>1736</v>
      </c>
      <c r="B1797" s="138">
        <f>'Tax Sched 23'!F10</f>
        <v>67498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475702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6569901</v>
      </c>
      <c r="C1807" s="2" t="s">
        <v>594</v>
      </c>
      <c r="D1807" s="2" t="str">
        <f t="shared" si="27"/>
        <v>Error?</v>
      </c>
    </row>
    <row r="1808" spans="1:4" x14ac:dyDescent="0.2">
      <c r="A1808" s="5">
        <v>1747</v>
      </c>
      <c r="B1808" s="138">
        <f>'Tax Sched 23'!E4</f>
        <v>3824734</v>
      </c>
      <c r="D1808" s="2" t="str">
        <f t="shared" si="27"/>
        <v>Error?</v>
      </c>
    </row>
    <row r="1809" spans="1:4" x14ac:dyDescent="0.2">
      <c r="A1809" s="5">
        <v>1748</v>
      </c>
      <c r="B1809" s="138">
        <f>'Tax Sched 23'!E5</f>
        <v>727752</v>
      </c>
      <c r="D1809" s="2" t="str">
        <f t="shared" si="27"/>
        <v>Error?</v>
      </c>
    </row>
    <row r="1810" spans="1:4" x14ac:dyDescent="0.2">
      <c r="A1810" s="5">
        <v>1749</v>
      </c>
      <c r="B1810" s="138">
        <f>'Tax Sched 23'!E6</f>
        <v>708033</v>
      </c>
      <c r="D1810" s="2" t="str">
        <f t="shared" si="27"/>
        <v>Error?</v>
      </c>
    </row>
    <row r="1811" spans="1:4" x14ac:dyDescent="0.2">
      <c r="A1811" s="5">
        <v>1750</v>
      </c>
      <c r="B1811" s="138">
        <f>'Tax Sched 23'!E7</f>
        <v>276673</v>
      </c>
      <c r="D1811" s="2" t="str">
        <f t="shared" si="27"/>
        <v>Error?</v>
      </c>
    </row>
    <row r="1812" spans="1:4" x14ac:dyDescent="0.2">
      <c r="A1812" s="5">
        <v>1751</v>
      </c>
      <c r="B1812" s="138">
        <f>'Tax Sched 23'!E8</f>
        <v>227412</v>
      </c>
      <c r="D1812" s="2" t="str">
        <f t="shared" si="27"/>
        <v>Error?</v>
      </c>
    </row>
    <row r="1813" spans="1:4" x14ac:dyDescent="0.2">
      <c r="A1813" s="5">
        <v>1752</v>
      </c>
      <c r="B1813" s="138">
        <f>'Tax Sched 23'!E10</f>
        <v>67498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475702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6569901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4297816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1227227</v>
      </c>
      <c r="D2008" s="2" t="str">
        <f t="shared" si="30"/>
        <v>Error?</v>
      </c>
    </row>
    <row r="2009" spans="1:4" x14ac:dyDescent="0.2">
      <c r="A2009" s="5">
        <v>1948</v>
      </c>
      <c r="B2009" s="138">
        <f>'Cap Outlay Deprec 26'!C8</f>
        <v>25924702</v>
      </c>
      <c r="D2009" s="2" t="str">
        <f t="shared" si="30"/>
        <v>Error?</v>
      </c>
    </row>
    <row r="2010" spans="1:4" x14ac:dyDescent="0.2">
      <c r="A2010" s="5">
        <v>1949</v>
      </c>
      <c r="B2010" s="138">
        <f>'Cap Outlay Deprec 26'!C10</f>
        <v>5839251</v>
      </c>
      <c r="D2010" s="2" t="str">
        <f t="shared" si="30"/>
        <v>Error?</v>
      </c>
    </row>
    <row r="2011" spans="1:4" x14ac:dyDescent="0.2">
      <c r="A2011" s="5">
        <v>1950</v>
      </c>
      <c r="B2011" s="138">
        <f>'Cap Outlay Deprec 26'!C12</f>
        <v>5683575</v>
      </c>
      <c r="D2011" s="2" t="str">
        <f t="shared" si="30"/>
        <v>Error?</v>
      </c>
    </row>
    <row r="2012" spans="1:4" x14ac:dyDescent="0.2">
      <c r="A2012" s="5">
        <v>1951</v>
      </c>
      <c r="B2012" s="138">
        <f>'Cap Outlay Deprec 26'!C13</f>
        <v>421353</v>
      </c>
      <c r="D2012" s="2" t="str">
        <f t="shared" si="30"/>
        <v>Error?</v>
      </c>
    </row>
    <row r="2013" spans="1:4" x14ac:dyDescent="0.2">
      <c r="A2013" s="5">
        <v>1952</v>
      </c>
      <c r="B2013" s="138">
        <f>'Cap Outlay Deprec 26'!C16</f>
        <v>39153031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15630</v>
      </c>
      <c r="D2016" s="2" t="str">
        <f t="shared" si="30"/>
        <v>Error?</v>
      </c>
    </row>
    <row r="2017" spans="1:4" x14ac:dyDescent="0.2">
      <c r="A2017" s="5">
        <v>1956</v>
      </c>
      <c r="B2017" s="138">
        <f>'Cap Outlay Deprec 26'!D12</f>
        <v>94767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110397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1072611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1575</v>
      </c>
      <c r="D2024" s="2" t="str">
        <f t="shared" si="30"/>
        <v>Error?</v>
      </c>
    </row>
    <row r="2025" spans="1:4" x14ac:dyDescent="0.2">
      <c r="A2025" s="5">
        <v>1964</v>
      </c>
      <c r="B2025" s="138">
        <f>'Cap Outlay Deprec 26'!E16</f>
        <v>1074186</v>
      </c>
      <c r="C2025" s="2" t="s">
        <v>594</v>
      </c>
      <c r="D2025" s="2" t="str">
        <f t="shared" si="30"/>
        <v>Error?</v>
      </c>
    </row>
    <row r="2026" spans="1:4" x14ac:dyDescent="0.2">
      <c r="A2026" s="5">
        <v>1965</v>
      </c>
      <c r="B2026" s="138">
        <f>'Cap Outlay Deprec 26'!F5</f>
        <v>1227227</v>
      </c>
      <c r="C2026" s="2" t="s">
        <v>594</v>
      </c>
      <c r="D2026" s="2" t="str">
        <f t="shared" si="30"/>
        <v>Error?</v>
      </c>
    </row>
    <row r="2027" spans="1:4" x14ac:dyDescent="0.2">
      <c r="A2027" s="5">
        <v>1966</v>
      </c>
      <c r="B2027" s="138">
        <f>'Cap Outlay Deprec 26'!F8</f>
        <v>24852091</v>
      </c>
      <c r="C2027" s="2" t="s">
        <v>594</v>
      </c>
      <c r="D2027" s="2" t="str">
        <f t="shared" si="30"/>
        <v>Error?</v>
      </c>
    </row>
    <row r="2028" spans="1:4" x14ac:dyDescent="0.2">
      <c r="A2028" s="5">
        <v>1967</v>
      </c>
      <c r="B2028" s="138">
        <f>'Cap Outlay Deprec 26'!F10</f>
        <v>5854881</v>
      </c>
      <c r="C2028" s="2" t="s">
        <v>594</v>
      </c>
      <c r="D2028" s="2" t="str">
        <f t="shared" si="30"/>
        <v>Error?</v>
      </c>
    </row>
    <row r="2029" spans="1:4" x14ac:dyDescent="0.2">
      <c r="A2029" s="5">
        <v>1968</v>
      </c>
      <c r="B2029" s="138">
        <f>'Cap Outlay Deprec 26'!F12</f>
        <v>5778342</v>
      </c>
      <c r="C2029" s="2" t="s">
        <v>594</v>
      </c>
      <c r="D2029" s="2" t="str">
        <f t="shared" si="30"/>
        <v>Error?</v>
      </c>
    </row>
    <row r="2030" spans="1:4" x14ac:dyDescent="0.2">
      <c r="A2030" s="5">
        <v>1969</v>
      </c>
      <c r="B2030" s="138">
        <f>'Cap Outlay Deprec 26'!F13</f>
        <v>419778</v>
      </c>
      <c r="C2030" s="2" t="s">
        <v>594</v>
      </c>
      <c r="D2030" s="2" t="str">
        <f t="shared" si="30"/>
        <v>Error?</v>
      </c>
    </row>
    <row r="2031" spans="1:4" x14ac:dyDescent="0.2">
      <c r="A2031" s="5">
        <v>1970</v>
      </c>
      <c r="B2031" s="138">
        <f>'Cap Outlay Deprec 26'!F16</f>
        <v>38189242</v>
      </c>
      <c r="C2031" s="2" t="s">
        <v>594</v>
      </c>
      <c r="D2031" s="2" t="str">
        <f t="shared" si="30"/>
        <v>Error?</v>
      </c>
    </row>
    <row r="2032" spans="1:4" x14ac:dyDescent="0.2">
      <c r="A2032" s="10">
        <v>1971</v>
      </c>
      <c r="D2032" s="2" t="str">
        <f t="shared" si="30"/>
        <v>OK</v>
      </c>
    </row>
    <row r="2033" spans="1:4" x14ac:dyDescent="0.2">
      <c r="A2033" s="5">
        <v>1972</v>
      </c>
      <c r="B2033" s="138">
        <f>'Cap Outlay Deprec 26'!H8</f>
        <v>8686456</v>
      </c>
      <c r="D2033" s="2" t="str">
        <f t="shared" si="30"/>
        <v>Error?</v>
      </c>
    </row>
    <row r="2034" spans="1:4" x14ac:dyDescent="0.2">
      <c r="A2034" s="5">
        <v>1973</v>
      </c>
      <c r="B2034" s="138">
        <f>'Cap Outlay Deprec 26'!H10</f>
        <v>2824524</v>
      </c>
      <c r="D2034" s="2" t="str">
        <f t="shared" si="30"/>
        <v>Error?</v>
      </c>
    </row>
    <row r="2035" spans="1:4" x14ac:dyDescent="0.2">
      <c r="A2035" s="5">
        <v>1974</v>
      </c>
      <c r="B2035" s="138">
        <f>'Cap Outlay Deprec 26'!H12</f>
        <v>5006533</v>
      </c>
      <c r="D2035" s="2" t="str">
        <f t="shared" si="30"/>
        <v>Error?</v>
      </c>
    </row>
    <row r="2036" spans="1:4" x14ac:dyDescent="0.2">
      <c r="A2036" s="5">
        <v>1975</v>
      </c>
      <c r="B2036" s="138">
        <f>'Cap Outlay Deprec 26'!H13</f>
        <v>415885</v>
      </c>
      <c r="D2036" s="2" t="str">
        <f t="shared" si="30"/>
        <v>Error?</v>
      </c>
    </row>
    <row r="2037" spans="1:4" x14ac:dyDescent="0.2">
      <c r="A2037" s="5">
        <v>1976</v>
      </c>
      <c r="B2037" s="138">
        <f>'Cap Outlay Deprec 26'!H16</f>
        <v>16990321</v>
      </c>
      <c r="C2037" s="2" t="s">
        <v>594</v>
      </c>
      <c r="D2037" s="2" t="str">
        <f t="shared" si="30"/>
        <v>Error?</v>
      </c>
    </row>
    <row r="2038" spans="1:4" x14ac:dyDescent="0.2">
      <c r="A2038" s="10">
        <v>1977</v>
      </c>
      <c r="D2038" s="2" t="str">
        <f t="shared" si="30"/>
        <v>OK</v>
      </c>
    </row>
    <row r="2039" spans="1:4" x14ac:dyDescent="0.2">
      <c r="A2039" s="5">
        <v>1978</v>
      </c>
      <c r="B2039" s="138">
        <f>'Cap Outlay Deprec 26'!I8</f>
        <v>507767</v>
      </c>
      <c r="D2039" s="2" t="str">
        <f t="shared" si="30"/>
        <v>Error?</v>
      </c>
    </row>
    <row r="2040" spans="1:4" x14ac:dyDescent="0.2">
      <c r="A2040" s="5">
        <v>1979</v>
      </c>
      <c r="B2040" s="138">
        <f>'Cap Outlay Deprec 26'!I10</f>
        <v>278915</v>
      </c>
      <c r="D2040" s="2" t="str">
        <f t="shared" si="30"/>
        <v>Error?</v>
      </c>
    </row>
    <row r="2041" spans="1:4" x14ac:dyDescent="0.2">
      <c r="A2041" s="5">
        <v>1980</v>
      </c>
      <c r="B2041" s="138">
        <f>'Cap Outlay Deprec 26'!I12</f>
        <v>137440</v>
      </c>
      <c r="D2041" s="2" t="str">
        <f t="shared" si="30"/>
        <v>Error?</v>
      </c>
    </row>
    <row r="2042" spans="1:4" x14ac:dyDescent="0.2">
      <c r="A2042" s="5">
        <v>1981</v>
      </c>
      <c r="B2042" s="138">
        <f>'Cap Outlay Deprec 26'!I13</f>
        <v>1734</v>
      </c>
      <c r="D2042" s="2" t="str">
        <f t="shared" si="30"/>
        <v>Error?</v>
      </c>
    </row>
    <row r="2043" spans="1:4" x14ac:dyDescent="0.2">
      <c r="A2043" s="5">
        <v>1982</v>
      </c>
      <c r="B2043" s="138">
        <f>'Cap Outlay Deprec 26'!I16</f>
        <v>925856</v>
      </c>
      <c r="C2043" s="2" t="s">
        <v>594</v>
      </c>
      <c r="D2043" s="2" t="str">
        <f t="shared" si="30"/>
        <v>Error?</v>
      </c>
    </row>
    <row r="2044" spans="1:4" x14ac:dyDescent="0.2">
      <c r="A2044" s="10">
        <v>1983</v>
      </c>
      <c r="D2044" s="2" t="str">
        <f t="shared" si="30"/>
        <v>OK</v>
      </c>
    </row>
    <row r="2045" spans="1:4" x14ac:dyDescent="0.2">
      <c r="A2045" s="5">
        <v>1984</v>
      </c>
      <c r="B2045" s="138">
        <f>'Cap Outlay Deprec 26'!J8</f>
        <v>935261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1575</v>
      </c>
      <c r="D2048" s="2" t="str">
        <f t="shared" si="31"/>
        <v>Error?</v>
      </c>
    </row>
    <row r="2049" spans="1:4" x14ac:dyDescent="0.2">
      <c r="A2049" s="5">
        <v>1988</v>
      </c>
      <c r="B2049" s="138">
        <f>'Cap Outlay Deprec 26'!J16</f>
        <v>936836</v>
      </c>
      <c r="C2049" s="2" t="s">
        <v>594</v>
      </c>
      <c r="D2049" s="2" t="str">
        <f t="shared" si="31"/>
        <v>Error?</v>
      </c>
    </row>
    <row r="2050" spans="1:4" x14ac:dyDescent="0.2">
      <c r="A2050" s="10">
        <v>1989</v>
      </c>
      <c r="D2050" s="2" t="str">
        <f t="shared" si="31"/>
        <v>OK</v>
      </c>
    </row>
    <row r="2051" spans="1:4" x14ac:dyDescent="0.2">
      <c r="A2051" s="5">
        <v>1990</v>
      </c>
      <c r="B2051" s="138">
        <f>'Cap Outlay Deprec 26'!K8</f>
        <v>8258962</v>
      </c>
      <c r="C2051" s="2" t="s">
        <v>594</v>
      </c>
      <c r="D2051" s="2" t="str">
        <f t="shared" si="31"/>
        <v>Error?</v>
      </c>
    </row>
    <row r="2052" spans="1:4" x14ac:dyDescent="0.2">
      <c r="A2052" s="5">
        <v>1991</v>
      </c>
      <c r="B2052" s="138">
        <f>'Cap Outlay Deprec 26'!K10</f>
        <v>3103439</v>
      </c>
      <c r="C2052" s="2" t="s">
        <v>594</v>
      </c>
      <c r="D2052" s="2" t="str">
        <f t="shared" si="31"/>
        <v>Error?</v>
      </c>
    </row>
    <row r="2053" spans="1:4" x14ac:dyDescent="0.2">
      <c r="A2053" s="5">
        <v>1992</v>
      </c>
      <c r="B2053" s="138">
        <f>'Cap Outlay Deprec 26'!K12</f>
        <v>5143973</v>
      </c>
      <c r="C2053" s="2" t="s">
        <v>594</v>
      </c>
      <c r="D2053" s="2" t="str">
        <f t="shared" si="31"/>
        <v>Error?</v>
      </c>
    </row>
    <row r="2054" spans="1:4" x14ac:dyDescent="0.2">
      <c r="A2054" s="5">
        <v>1993</v>
      </c>
      <c r="B2054" s="138">
        <f>'Cap Outlay Deprec 26'!K13</f>
        <v>416044</v>
      </c>
      <c r="C2054" s="2" t="s">
        <v>594</v>
      </c>
      <c r="D2054" s="2" t="str">
        <f t="shared" si="31"/>
        <v>Error?</v>
      </c>
    </row>
    <row r="2055" spans="1:4" x14ac:dyDescent="0.2">
      <c r="A2055" s="5">
        <v>1994</v>
      </c>
      <c r="B2055" s="138">
        <f>'Cap Outlay Deprec 26'!K16</f>
        <v>16979341</v>
      </c>
      <c r="C2055" s="2" t="s">
        <v>594</v>
      </c>
      <c r="D2055" s="2" t="str">
        <f t="shared" si="31"/>
        <v>Error?</v>
      </c>
    </row>
    <row r="2056" spans="1:4" x14ac:dyDescent="0.2">
      <c r="A2056" s="5">
        <v>1995</v>
      </c>
      <c r="B2056" s="138">
        <f>'Cap Outlay Deprec 26'!L5</f>
        <v>1227227</v>
      </c>
      <c r="C2056" s="2" t="s">
        <v>594</v>
      </c>
      <c r="D2056" s="2" t="str">
        <f t="shared" si="31"/>
        <v>Error?</v>
      </c>
    </row>
    <row r="2057" spans="1:4" x14ac:dyDescent="0.2">
      <c r="A2057" s="5">
        <v>1996</v>
      </c>
      <c r="B2057" s="138">
        <f>'Cap Outlay Deprec 26'!L8</f>
        <v>16593129</v>
      </c>
      <c r="C2057" s="2" t="s">
        <v>594</v>
      </c>
      <c r="D2057" s="2" t="str">
        <f t="shared" si="31"/>
        <v>Error?</v>
      </c>
    </row>
    <row r="2058" spans="1:4" x14ac:dyDescent="0.2">
      <c r="A2058" s="5">
        <v>1997</v>
      </c>
      <c r="B2058" s="138">
        <f>'Cap Outlay Deprec 26'!L10</f>
        <v>2751442</v>
      </c>
      <c r="C2058" s="2" t="s">
        <v>594</v>
      </c>
      <c r="D2058" s="2" t="str">
        <f t="shared" si="31"/>
        <v>Error?</v>
      </c>
    </row>
    <row r="2059" spans="1:4" x14ac:dyDescent="0.2">
      <c r="A2059" s="5">
        <v>1998</v>
      </c>
      <c r="B2059" s="138">
        <f>'Cap Outlay Deprec 26'!L12</f>
        <v>634369</v>
      </c>
      <c r="C2059" s="2" t="s">
        <v>594</v>
      </c>
      <c r="D2059" s="2" t="str">
        <f t="shared" si="31"/>
        <v>Error?</v>
      </c>
    </row>
    <row r="2060" spans="1:4" x14ac:dyDescent="0.2">
      <c r="A2060" s="5">
        <v>1999</v>
      </c>
      <c r="B2060" s="138">
        <f>'Cap Outlay Deprec 26'!L13</f>
        <v>3734</v>
      </c>
      <c r="C2060" s="2" t="s">
        <v>594</v>
      </c>
      <c r="D2060" s="2" t="str">
        <f t="shared" si="31"/>
        <v>Error?</v>
      </c>
    </row>
    <row r="2061" spans="1:4" x14ac:dyDescent="0.2">
      <c r="A2061" s="5">
        <v>2000</v>
      </c>
      <c r="B2061" s="138">
        <f>'Cap Outlay Deprec 26'!L16</f>
        <v>21209901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104261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104261</v>
      </c>
      <c r="C2088" s="2" t="s">
        <v>594</v>
      </c>
      <c r="D2088" s="2" t="str">
        <f t="shared" si="31"/>
        <v>Error?</v>
      </c>
    </row>
    <row r="2089" spans="1:4" x14ac:dyDescent="0.2">
      <c r="A2089" s="5">
        <v>2028</v>
      </c>
      <c r="B2089" s="138">
        <f>'Expenditures 15-22'!K92</f>
        <v>69163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623003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491290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5018370</v>
      </c>
      <c r="C2551" s="2" t="s">
        <v>594</v>
      </c>
      <c r="D2551" s="2" t="str">
        <f t="shared" si="38"/>
        <v>Error?</v>
      </c>
    </row>
    <row r="2552" spans="1:4" x14ac:dyDescent="0.2">
      <c r="A2552" s="10">
        <v>2491</v>
      </c>
      <c r="D2552" s="2" t="str">
        <f t="shared" si="38"/>
        <v>OK</v>
      </c>
    </row>
    <row r="2553" spans="1:4" x14ac:dyDescent="0.2">
      <c r="A2553" s="5">
        <v>2492</v>
      </c>
      <c r="B2553" s="138">
        <f>'Acct Summary 7-8'!C6</f>
        <v>9329793</v>
      </c>
      <c r="C2553" s="2" t="s">
        <v>594</v>
      </c>
      <c r="D2553" s="2" t="str">
        <f t="shared" si="38"/>
        <v>Error?</v>
      </c>
    </row>
    <row r="2554" spans="1:4" x14ac:dyDescent="0.2">
      <c r="A2554" s="5">
        <v>2493</v>
      </c>
      <c r="B2554" s="138">
        <f>'Acct Summary 7-8'!C7</f>
        <v>2032381</v>
      </c>
      <c r="C2554" s="2" t="s">
        <v>594</v>
      </c>
      <c r="D2554" s="2" t="str">
        <f t="shared" si="38"/>
        <v>Error?</v>
      </c>
    </row>
    <row r="2555" spans="1:4" x14ac:dyDescent="0.2">
      <c r="A2555" s="5">
        <v>2494</v>
      </c>
      <c r="B2555" s="138">
        <f>'Acct Summary 7-8'!C8</f>
        <v>16383757</v>
      </c>
      <c r="C2555" s="2" t="s">
        <v>594</v>
      </c>
      <c r="D2555" s="2" t="str">
        <f t="shared" si="38"/>
        <v>Error?</v>
      </c>
    </row>
    <row r="2556" spans="1:4" x14ac:dyDescent="0.2">
      <c r="A2556" s="5">
        <v>2495</v>
      </c>
      <c r="B2556" s="138">
        <f>'Acct Summary 7-8'!C12</f>
        <v>10718159</v>
      </c>
      <c r="C2556" s="2" t="s">
        <v>594</v>
      </c>
      <c r="D2556" s="2" t="str">
        <f t="shared" si="38"/>
        <v>Error?</v>
      </c>
    </row>
    <row r="2557" spans="1:4" x14ac:dyDescent="0.2">
      <c r="A2557" s="5">
        <v>2496</v>
      </c>
      <c r="B2557" s="138">
        <f>'Acct Summary 7-8'!C13</f>
        <v>4158193</v>
      </c>
      <c r="C2557" s="2" t="s">
        <v>594</v>
      </c>
      <c r="D2557" s="2" t="str">
        <f t="shared" si="38"/>
        <v>Error?</v>
      </c>
    </row>
    <row r="2558" spans="1:4" x14ac:dyDescent="0.2">
      <c r="A2558" s="5">
        <v>2497</v>
      </c>
      <c r="B2558" s="138">
        <f>'Acct Summary 7-8'!C14</f>
        <v>21316</v>
      </c>
      <c r="C2558" s="2" t="s">
        <v>594</v>
      </c>
      <c r="D2558" s="2" t="str">
        <f t="shared" si="38"/>
        <v>Error?</v>
      </c>
    </row>
    <row r="2559" spans="1:4" x14ac:dyDescent="0.2">
      <c r="A2559" s="5">
        <v>2498</v>
      </c>
      <c r="B2559" s="138">
        <f>'Acct Summary 7-8'!C15</f>
        <v>173424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15071092</v>
      </c>
      <c r="C2561" s="2" t="s">
        <v>594</v>
      </c>
      <c r="D2561" s="2" t="str">
        <f t="shared" si="39"/>
        <v>Error?</v>
      </c>
    </row>
    <row r="2562" spans="1:4" x14ac:dyDescent="0.2">
      <c r="A2562" s="5">
        <v>2501</v>
      </c>
      <c r="B2562" s="138">
        <f>'Acct Summary 7-8'!C20</f>
        <v>1312665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934327</v>
      </c>
      <c r="C2564" s="2" t="s">
        <v>594</v>
      </c>
      <c r="D2564" s="2" t="str">
        <f t="shared" si="39"/>
        <v>Error?</v>
      </c>
    </row>
    <row r="2565" spans="1:4" x14ac:dyDescent="0.2">
      <c r="A2565" s="10">
        <v>2504</v>
      </c>
      <c r="D2565" s="2" t="str">
        <f t="shared" si="39"/>
        <v>OK</v>
      </c>
    </row>
    <row r="2566" spans="1:4" x14ac:dyDescent="0.2">
      <c r="A2566" s="5">
        <v>2505</v>
      </c>
      <c r="B2566" s="138">
        <f>'Acct Summary 7-8'!D6</f>
        <v>998780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1933107</v>
      </c>
      <c r="C2568" s="2" t="s">
        <v>594</v>
      </c>
      <c r="D2568" s="2" t="str">
        <f t="shared" si="39"/>
        <v>Error?</v>
      </c>
    </row>
    <row r="2569" spans="1:4" x14ac:dyDescent="0.2">
      <c r="A2569" s="5">
        <v>2508</v>
      </c>
      <c r="B2569" s="138">
        <f>'Acct Summary 7-8'!D13</f>
        <v>1933107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1933107</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273228</v>
      </c>
      <c r="C2591" s="2" t="s">
        <v>594</v>
      </c>
      <c r="D2591" s="2" t="str">
        <f t="shared" si="39"/>
        <v>Error?</v>
      </c>
    </row>
    <row r="2592" spans="1:4" x14ac:dyDescent="0.2">
      <c r="A2592" s="10">
        <v>2531</v>
      </c>
      <c r="D2592" s="2" t="str">
        <f t="shared" si="39"/>
        <v>OK</v>
      </c>
    </row>
    <row r="2593" spans="1:4" x14ac:dyDescent="0.2">
      <c r="A2593" s="5">
        <v>2532</v>
      </c>
      <c r="B2593" s="138">
        <f>'Acct Summary 7-8'!F6</f>
        <v>1120915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1394143</v>
      </c>
      <c r="C2595" s="2" t="s">
        <v>594</v>
      </c>
      <c r="D2595" s="2" t="str">
        <f t="shared" si="39"/>
        <v>Error?</v>
      </c>
    </row>
    <row r="2596" spans="1:4" x14ac:dyDescent="0.2">
      <c r="A2596" s="5">
        <v>2535</v>
      </c>
      <c r="B2596" s="138">
        <f>'Acct Summary 7-8'!F13</f>
        <v>1394113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1394113</v>
      </c>
      <c r="C2600" s="2" t="s">
        <v>594</v>
      </c>
      <c r="D2600" s="2" t="str">
        <f t="shared" si="39"/>
        <v>Error?</v>
      </c>
    </row>
    <row r="2601" spans="1:4" x14ac:dyDescent="0.2">
      <c r="A2601" s="5">
        <v>2540</v>
      </c>
      <c r="B2601" s="138">
        <f>'Acct Summary 7-8'!F20</f>
        <v>30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551241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551241</v>
      </c>
      <c r="C2606" s="2" t="s">
        <v>594</v>
      </c>
      <c r="D2606" s="2" t="str">
        <f t="shared" si="39"/>
        <v>Error?</v>
      </c>
    </row>
    <row r="2607" spans="1:4" x14ac:dyDescent="0.2">
      <c r="A2607" s="5">
        <v>2546</v>
      </c>
      <c r="B2607" s="138">
        <f>'Acct Summary 7-8'!G12</f>
        <v>289174</v>
      </c>
      <c r="C2607" s="2" t="s">
        <v>594</v>
      </c>
      <c r="D2607" s="2" t="str">
        <f t="shared" si="39"/>
        <v>Error?</v>
      </c>
    </row>
    <row r="2608" spans="1:4" x14ac:dyDescent="0.2">
      <c r="A2608" s="5">
        <v>2547</v>
      </c>
      <c r="B2608" s="138">
        <f>'Acct Summary 7-8'!G13</f>
        <v>317865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607039</v>
      </c>
      <c r="C2612" s="2" t="s">
        <v>594</v>
      </c>
      <c r="D2612" s="2" t="str">
        <f t="shared" si="39"/>
        <v>Error?</v>
      </c>
    </row>
    <row r="2613" spans="1:4" x14ac:dyDescent="0.2">
      <c r="A2613" s="5">
        <v>2552</v>
      </c>
      <c r="B2613" s="138">
        <f>'Acct Summary 7-8'!G20</f>
        <v>-55798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708537</v>
      </c>
      <c r="C2630" s="2" t="s">
        <v>594</v>
      </c>
      <c r="D2630" s="2" t="str">
        <f t="shared" si="40"/>
        <v>Error?</v>
      </c>
    </row>
    <row r="2631" spans="1:4" x14ac:dyDescent="0.2">
      <c r="A2631" s="5">
        <v>2570</v>
      </c>
      <c r="B2631" s="138">
        <f>'Acct Summary 7-8'!E6</f>
        <v>1054</v>
      </c>
      <c r="C2631" s="2" t="s">
        <v>594</v>
      </c>
      <c r="D2631" s="2" t="str">
        <f t="shared" si="40"/>
        <v>Error?</v>
      </c>
    </row>
    <row r="2632" spans="1:4" x14ac:dyDescent="0.2">
      <c r="A2632" s="5">
        <v>2571</v>
      </c>
      <c r="B2632" s="138">
        <f>'Acct Summary 7-8'!E8</f>
        <v>709591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981193</v>
      </c>
      <c r="C2634" s="2" t="s">
        <v>594</v>
      </c>
      <c r="D2634" s="2" t="str">
        <f t="shared" si="40"/>
        <v>Error?</v>
      </c>
    </row>
    <row r="2635" spans="1:4" x14ac:dyDescent="0.2">
      <c r="A2635" s="5">
        <v>2574</v>
      </c>
      <c r="B2635" s="138">
        <f>'Acct Summary 7-8'!E17</f>
        <v>981193</v>
      </c>
      <c r="C2635" s="2" t="s">
        <v>594</v>
      </c>
      <c r="D2635" s="2" t="str">
        <f t="shared" si="40"/>
        <v>Error?</v>
      </c>
    </row>
    <row r="2636" spans="1:4" x14ac:dyDescent="0.2">
      <c r="A2636" s="5">
        <v>2575</v>
      </c>
      <c r="B2636" s="138">
        <f>'Acct Summary 7-8'!E20</f>
        <v>-271602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596</v>
      </c>
      <c r="C2655" s="2" t="s">
        <v>594</v>
      </c>
      <c r="D2655" s="2" t="str">
        <f t="shared" si="40"/>
        <v>Error?</v>
      </c>
    </row>
    <row r="2656" spans="1:4" x14ac:dyDescent="0.2">
      <c r="A2656" s="5">
        <v>2595</v>
      </c>
      <c r="B2656" s="138">
        <f>'Acct Summary 7-8'!H6</f>
        <v>542162</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542758</v>
      </c>
      <c r="C2658" s="2" t="s">
        <v>594</v>
      </c>
      <c r="D2658" s="2" t="str">
        <f t="shared" si="40"/>
        <v>Error?</v>
      </c>
    </row>
    <row r="2659" spans="1:4" x14ac:dyDescent="0.2">
      <c r="A2659" s="5">
        <v>2598</v>
      </c>
      <c r="B2659" s="138">
        <f>'Acct Summary 7-8'!H13</f>
        <v>542710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542710</v>
      </c>
      <c r="C2661" s="2" t="s">
        <v>594</v>
      </c>
      <c r="D2661" s="2" t="str">
        <f t="shared" si="40"/>
        <v>Error?</v>
      </c>
    </row>
    <row r="2662" spans="1:4" x14ac:dyDescent="0.2">
      <c r="A2662" s="5">
        <v>2601</v>
      </c>
      <c r="B2662" s="138">
        <f>'Acct Summary 7-8'!H20</f>
        <v>48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14046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14046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800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94889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264212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94889</v>
      </c>
      <c r="D2912" s="2" t="str">
        <f t="shared" si="44"/>
        <v>Error?</v>
      </c>
    </row>
    <row r="2913" spans="1:4" x14ac:dyDescent="0.2">
      <c r="A2913" s="5">
        <v>2852</v>
      </c>
      <c r="B2913" s="138">
        <f>'Assets-Liab 5-6'!I41</f>
        <v>94889</v>
      </c>
      <c r="C2913" s="2" t="s">
        <v>594</v>
      </c>
      <c r="D2913" s="2" t="str">
        <f t="shared" si="44"/>
        <v>Error?</v>
      </c>
    </row>
    <row r="2914" spans="1:4" x14ac:dyDescent="0.2">
      <c r="A2914" s="5">
        <v>2853</v>
      </c>
      <c r="B2914" s="138">
        <f>'Assets-Liab 5-6'!L33</f>
        <v>264212</v>
      </c>
      <c r="D2914" s="2" t="str">
        <f t="shared" si="44"/>
        <v>Error?</v>
      </c>
    </row>
    <row r="2915" spans="1:4" x14ac:dyDescent="0.2">
      <c r="A2915" s="10">
        <v>2854</v>
      </c>
      <c r="D2915" s="2" t="str">
        <f t="shared" si="44"/>
        <v>OK</v>
      </c>
    </row>
    <row r="2916" spans="1:4" x14ac:dyDescent="0.2">
      <c r="A2916" s="5">
        <v>2855</v>
      </c>
      <c r="B2916" s="138">
        <f>'Assets-Liab 5-6'!L34</f>
        <v>264212</v>
      </c>
      <c r="C2916" s="2" t="s">
        <v>594</v>
      </c>
      <c r="D2916" s="2" t="str">
        <f t="shared" si="44"/>
        <v>Error?</v>
      </c>
    </row>
    <row r="2917" spans="1:4" x14ac:dyDescent="0.2">
      <c r="A2917" s="5">
        <v>2856</v>
      </c>
      <c r="B2917" s="138">
        <f>'Assets-Liab 5-6'!L41</f>
        <v>264212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2966</v>
      </c>
      <c r="D2955" s="2" t="str">
        <f t="shared" si="45"/>
        <v>Error?</v>
      </c>
    </row>
    <row r="2956" spans="1:4" x14ac:dyDescent="0.2">
      <c r="A2956" s="5">
        <v>2895</v>
      </c>
      <c r="B2956" s="138">
        <f>'Expenditures 15-22'!H79</f>
        <v>3572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95682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2041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2966</v>
      </c>
      <c r="C2973" s="2" t="s">
        <v>594</v>
      </c>
      <c r="D2973" s="2" t="str">
        <f t="shared" si="45"/>
        <v>Error?</v>
      </c>
    </row>
    <row r="2974" spans="1:4" x14ac:dyDescent="0.2">
      <c r="A2974" s="5">
        <v>2913</v>
      </c>
      <c r="B2974" s="138">
        <f>'Expenditures 15-22'!K79</f>
        <v>3572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95682</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2041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276167</v>
      </c>
      <c r="D3055" s="2" t="str">
        <f t="shared" si="46"/>
        <v>Error?</v>
      </c>
    </row>
    <row r="3056" spans="1:4" x14ac:dyDescent="0.2">
      <c r="A3056" s="5">
        <v>2995</v>
      </c>
      <c r="B3056" s="138">
        <f>'Expenditures 15-22'!D10</f>
        <v>66516</v>
      </c>
      <c r="D3056" s="2" t="str">
        <f t="shared" si="46"/>
        <v>Error?</v>
      </c>
    </row>
    <row r="3057" spans="1:4" x14ac:dyDescent="0.2">
      <c r="A3057" s="5">
        <v>2996</v>
      </c>
      <c r="B3057" s="138">
        <f>'Expenditures 15-22'!E10</f>
        <v>5125</v>
      </c>
      <c r="D3057" s="2" t="str">
        <f t="shared" si="46"/>
        <v>Error?</v>
      </c>
    </row>
    <row r="3058" spans="1:4" x14ac:dyDescent="0.2">
      <c r="A3058" s="5">
        <v>2997</v>
      </c>
      <c r="B3058" s="138">
        <f>'Expenditures 15-22'!F10</f>
        <v>121549</v>
      </c>
      <c r="D3058" s="2" t="str">
        <f t="shared" si="46"/>
        <v>Error?</v>
      </c>
    </row>
    <row r="3059" spans="1:4" x14ac:dyDescent="0.2">
      <c r="A3059" s="5">
        <v>2998</v>
      </c>
      <c r="B3059" s="138">
        <f>'Expenditures 15-22'!G10</f>
        <v>13861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483218</v>
      </c>
      <c r="C3062" s="2" t="s">
        <v>594</v>
      </c>
      <c r="D3062" s="2" t="str">
        <f t="shared" si="46"/>
        <v>Error?</v>
      </c>
    </row>
    <row r="3063" spans="1:4" x14ac:dyDescent="0.2">
      <c r="A3063" s="10">
        <v>3002</v>
      </c>
      <c r="D3063" s="2" t="str">
        <f t="shared" si="46"/>
        <v>OK</v>
      </c>
    </row>
    <row r="3064" spans="1:4" x14ac:dyDescent="0.2">
      <c r="A3064" s="5">
        <v>3003</v>
      </c>
      <c r="B3064" s="138">
        <f>'Expenditures 15-22'!D219</f>
        <v>45641</v>
      </c>
      <c r="D3064" s="2" t="str">
        <f t="shared" si="46"/>
        <v>Error?</v>
      </c>
    </row>
    <row r="3065" spans="1:4" x14ac:dyDescent="0.2">
      <c r="A3065" s="5">
        <v>3004</v>
      </c>
      <c r="B3065" s="138">
        <f>'Expenditures 15-22'!K219</f>
        <v>45641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66436</v>
      </c>
      <c r="C3225" s="2" t="s">
        <v>594</v>
      </c>
      <c r="D3225" s="2" t="str">
        <f t="shared" si="49"/>
        <v>Error?</v>
      </c>
    </row>
    <row r="3226" spans="1:4" x14ac:dyDescent="0.2">
      <c r="A3226" s="5">
        <v>3165</v>
      </c>
      <c r="B3226" s="138">
        <f>'Acct Summary 7-8'!I8</f>
        <v>66436</v>
      </c>
      <c r="C3226" s="2" t="s">
        <v>594</v>
      </c>
      <c r="D3226" s="2" t="str">
        <f t="shared" si="49"/>
        <v>Error?</v>
      </c>
    </row>
    <row r="3227" spans="1:4" x14ac:dyDescent="0.2">
      <c r="A3227" s="5">
        <v>3166</v>
      </c>
      <c r="B3227" s="138">
        <f>'Acct Summary 7-8'!I20</f>
        <v>66436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266116</v>
      </c>
      <c r="C3231" s="2" t="s">
        <v>594</v>
      </c>
      <c r="D3231" s="2" t="str">
        <f t="shared" si="49"/>
        <v>Error?</v>
      </c>
    </row>
    <row r="3232" spans="1:4" x14ac:dyDescent="0.2">
      <c r="A3232" s="5">
        <v>3171</v>
      </c>
      <c r="B3232" s="138">
        <f>'Acct Summary 7-8'!C77</f>
        <v>-266116</v>
      </c>
      <c r="C3232" s="2" t="s">
        <v>594</v>
      </c>
      <c r="D3232" s="2" t="str">
        <f t="shared" si="49"/>
        <v>Error?</v>
      </c>
    </row>
    <row r="3233" spans="1:4" x14ac:dyDescent="0.2">
      <c r="A3233" s="5">
        <v>3172</v>
      </c>
      <c r="B3233" s="138">
        <f>'Acct Summary 7-8'!C78</f>
        <v>1046549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-55798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266116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266116</v>
      </c>
      <c r="C3277" s="2" t="s">
        <v>594</v>
      </c>
      <c r="D3277" s="2" t="str">
        <f t="shared" si="50"/>
        <v>Error?</v>
      </c>
    </row>
    <row r="3278" spans="1:4" x14ac:dyDescent="0.2">
      <c r="A3278" s="5">
        <v>3217</v>
      </c>
      <c r="B3278" s="138">
        <f>'Acct Summary 7-8'!E78</f>
        <v>-5486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66436</v>
      </c>
      <c r="C3320" s="2" t="s">
        <v>594</v>
      </c>
      <c r="D3320" s="2" t="str">
        <f t="shared" si="50"/>
        <v>Error?</v>
      </c>
    </row>
    <row r="3321" spans="1:4" x14ac:dyDescent="0.2">
      <c r="A3321" s="5">
        <v>3260</v>
      </c>
      <c r="B3321" s="138">
        <f>'Acct Summary 7-8'!I79</f>
        <v>28453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94889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1916622</v>
      </c>
      <c r="D3366" s="2" t="str">
        <f t="shared" si="51"/>
        <v>Error?</v>
      </c>
    </row>
    <row r="3367" spans="1:4" x14ac:dyDescent="0.2">
      <c r="A3367" s="5">
        <v>3306</v>
      </c>
      <c r="B3367" s="138">
        <f>'Expenditures 15-22'!C19</f>
        <v>43</v>
      </c>
      <c r="D3367" s="2" t="str">
        <f t="shared" si="51"/>
        <v>Error?</v>
      </c>
    </row>
    <row r="3368" spans="1:4" x14ac:dyDescent="0.2">
      <c r="A3368" s="5">
        <v>3307</v>
      </c>
      <c r="B3368" s="138">
        <f>'Expenditures 15-22'!D8</f>
        <v>411245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14508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2347839</v>
      </c>
      <c r="C3380" s="2" t="s">
        <v>594</v>
      </c>
      <c r="D3380" s="2" t="str">
        <f t="shared" si="51"/>
        <v>Error?</v>
      </c>
    </row>
    <row r="3381" spans="1:4" x14ac:dyDescent="0.2">
      <c r="A3381" s="5">
        <v>3320</v>
      </c>
      <c r="B3381" s="138">
        <f>'Expenditures 15-22'!K19</f>
        <v>43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108215</v>
      </c>
      <c r="D3387" s="2" t="str">
        <f t="shared" si="51"/>
        <v>Error?</v>
      </c>
    </row>
    <row r="3388" spans="1:4" x14ac:dyDescent="0.2">
      <c r="A3388" s="5">
        <v>3327</v>
      </c>
      <c r="B3388" s="138">
        <f>'Expenditures 15-22'!D217</f>
        <v>117173</v>
      </c>
      <c r="D3388" s="2" t="str">
        <f t="shared" si="51"/>
        <v>Error?</v>
      </c>
    </row>
    <row r="3389" spans="1:4" x14ac:dyDescent="0.2">
      <c r="A3389" s="5">
        <v>3328</v>
      </c>
      <c r="B3389" s="138">
        <f>'Expenditures 15-22'!D228</f>
        <v>1</v>
      </c>
      <c r="D3389" s="2" t="str">
        <f t="shared" si="51"/>
        <v>Error?</v>
      </c>
    </row>
    <row r="3390" spans="1:4" x14ac:dyDescent="0.2">
      <c r="A3390" s="5">
        <v>3329</v>
      </c>
      <c r="B3390" s="138">
        <f>'Expenditures 15-22'!K215</f>
        <v>108215</v>
      </c>
      <c r="C3390" s="2" t="s">
        <v>594</v>
      </c>
      <c r="D3390" s="2" t="str">
        <f t="shared" si="51"/>
        <v>Error?</v>
      </c>
    </row>
    <row r="3391" spans="1:4" x14ac:dyDescent="0.2">
      <c r="A3391" s="5">
        <v>3330</v>
      </c>
      <c r="B3391" s="138">
        <f>'Expenditures 15-22'!K217</f>
        <v>117173</v>
      </c>
      <c r="C3391" s="2" t="s">
        <v>594</v>
      </c>
      <c r="D3391" s="2" t="str">
        <f t="shared" ref="D3391:D3454" si="52">IF(ISBLANK(B3391),"OK",IF(A3391-B3391=0,"OK","Error?"))</f>
        <v>Error?</v>
      </c>
    </row>
    <row r="3392" spans="1:4" x14ac:dyDescent="0.2">
      <c r="A3392" s="5">
        <v>3331</v>
      </c>
      <c r="B3392" s="138">
        <f>'Expenditures 15-22'!K228</f>
        <v>1</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3213</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2694881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376290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569680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94504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264212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223363</v>
      </c>
      <c r="C3446" s="2" t="s">
        <v>594</v>
      </c>
      <c r="D3446" s="2" t="str">
        <f t="shared" si="52"/>
        <v>Error?</v>
      </c>
    </row>
    <row r="3447" spans="1:4" x14ac:dyDescent="0.2">
      <c r="A3447" s="5">
        <v>3386</v>
      </c>
      <c r="B3447" s="138">
        <f>'Tax Sched 23'!D16</f>
        <v>223363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227412</v>
      </c>
      <c r="C3449" s="2" t="s">
        <v>594</v>
      </c>
      <c r="D3449" s="2" t="str">
        <f t="shared" si="52"/>
        <v>Error?</v>
      </c>
    </row>
    <row r="3450" spans="1:4" x14ac:dyDescent="0.2">
      <c r="A3450" s="5">
        <v>3389</v>
      </c>
      <c r="B3450" s="138">
        <f>'Tax Sched 23'!E16</f>
        <v>227412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68090</v>
      </c>
      <c r="C3725" s="2" t="s">
        <v>594</v>
      </c>
      <c r="D3725" s="2" t="str">
        <f t="shared" si="57"/>
        <v>Error?</v>
      </c>
    </row>
    <row r="3726" spans="1:4" x14ac:dyDescent="0.2">
      <c r="A3726" s="5">
        <v>3665</v>
      </c>
      <c r="B3726" s="138">
        <f>'Tax Sched 23'!D13</f>
        <v>68090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34685</v>
      </c>
      <c r="C3728" s="2" t="s">
        <v>594</v>
      </c>
      <c r="D3728" s="2" t="str">
        <f t="shared" si="57"/>
        <v>Error?</v>
      </c>
    </row>
    <row r="3729" spans="1:4" x14ac:dyDescent="0.2">
      <c r="A3729" s="5">
        <v>3668</v>
      </c>
      <c r="B3729" s="138">
        <f>'Tax Sched 23'!E13</f>
        <v>34685</v>
      </c>
      <c r="D3729" s="2" t="str">
        <f t="shared" si="57"/>
        <v>Error?</v>
      </c>
    </row>
    <row r="3730" spans="1:4" x14ac:dyDescent="0.2">
      <c r="A3730" s="5">
        <v>3669</v>
      </c>
      <c r="B3730" s="138">
        <f>'ICR Computation 30'!E10</f>
        <v>590956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7479915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23863672</v>
      </c>
      <c r="C4122" s="2" t="s">
        <v>594</v>
      </c>
      <c r="D4122" s="2" t="str">
        <f t="shared" si="63"/>
        <v>Error?</v>
      </c>
    </row>
    <row r="4123" spans="1:4" x14ac:dyDescent="0.2">
      <c r="A4123" s="5">
        <v>4062</v>
      </c>
      <c r="B4123" s="138">
        <f>'Acct Summary 7-8'!D10</f>
        <v>1933107</v>
      </c>
      <c r="C4123" s="2" t="s">
        <v>594</v>
      </c>
      <c r="D4123" s="2" t="str">
        <f t="shared" si="63"/>
        <v>Error?</v>
      </c>
    </row>
    <row r="4124" spans="1:4" x14ac:dyDescent="0.2">
      <c r="A4124" s="5">
        <v>4063</v>
      </c>
      <c r="B4124" s="138">
        <f>'Acct Summary 7-8'!E10</f>
        <v>709591</v>
      </c>
      <c r="C4124" s="2" t="s">
        <v>594</v>
      </c>
      <c r="D4124" s="2" t="str">
        <f t="shared" si="63"/>
        <v>Error?</v>
      </c>
    </row>
    <row r="4125" spans="1:4" x14ac:dyDescent="0.2">
      <c r="A4125" s="5">
        <v>4064</v>
      </c>
      <c r="B4125" s="138">
        <f>'Acct Summary 7-8'!F10</f>
        <v>1394143</v>
      </c>
      <c r="C4125" s="2" t="s">
        <v>594</v>
      </c>
      <c r="D4125" s="2" t="str">
        <f t="shared" si="63"/>
        <v>Error?</v>
      </c>
    </row>
    <row r="4126" spans="1:4" x14ac:dyDescent="0.2">
      <c r="A4126" s="5">
        <v>4065</v>
      </c>
      <c r="B4126" s="138">
        <f>'Acct Summary 7-8'!G10</f>
        <v>551241</v>
      </c>
      <c r="C4126" s="2" t="s">
        <v>594</v>
      </c>
      <c r="D4126" s="2" t="str">
        <f t="shared" si="63"/>
        <v>Error?</v>
      </c>
    </row>
    <row r="4127" spans="1:4" x14ac:dyDescent="0.2">
      <c r="A4127" s="5">
        <v>4066</v>
      </c>
      <c r="B4127" s="138">
        <f>'Acct Summary 7-8'!H10</f>
        <v>542758</v>
      </c>
      <c r="C4127" s="2" t="s">
        <v>594</v>
      </c>
      <c r="D4127" s="2" t="str">
        <f t="shared" si="63"/>
        <v>Error?</v>
      </c>
    </row>
    <row r="4128" spans="1:4" x14ac:dyDescent="0.2">
      <c r="A4128" s="5">
        <v>4067</v>
      </c>
      <c r="B4128" s="138">
        <f>'Acct Summary 7-8'!I10</f>
        <v>66436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7479915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22551007</v>
      </c>
      <c r="C4136" s="2" t="s">
        <v>594</v>
      </c>
      <c r="D4136" s="2" t="str">
        <f t="shared" si="63"/>
        <v>Error?</v>
      </c>
    </row>
    <row r="4137" spans="1:4" x14ac:dyDescent="0.2">
      <c r="A4137" s="5">
        <v>4076</v>
      </c>
      <c r="B4137" s="138">
        <f>'Acct Summary 7-8'!D19</f>
        <v>1933107</v>
      </c>
      <c r="C4137" s="2" t="s">
        <v>594</v>
      </c>
      <c r="D4137" s="2" t="str">
        <f t="shared" si="63"/>
        <v>Error?</v>
      </c>
    </row>
    <row r="4138" spans="1:4" x14ac:dyDescent="0.2">
      <c r="A4138" s="5">
        <v>4077</v>
      </c>
      <c r="B4138" s="138">
        <f>'Acct Summary 7-8'!E19</f>
        <v>981193</v>
      </c>
      <c r="C4138" s="2" t="s">
        <v>594</v>
      </c>
      <c r="D4138" s="2" t="str">
        <f t="shared" si="63"/>
        <v>Error?</v>
      </c>
    </row>
    <row r="4139" spans="1:4" x14ac:dyDescent="0.2">
      <c r="A4139" s="5">
        <v>4078</v>
      </c>
      <c r="B4139" s="138">
        <f>'Acct Summary 7-8'!F19</f>
        <v>1394113</v>
      </c>
      <c r="C4139" s="2" t="s">
        <v>594</v>
      </c>
      <c r="D4139" s="2" t="str">
        <f t="shared" si="63"/>
        <v>Error?</v>
      </c>
    </row>
    <row r="4140" spans="1:4" x14ac:dyDescent="0.2">
      <c r="A4140" s="5">
        <v>4079</v>
      </c>
      <c r="B4140" s="138">
        <f>'Acct Summary 7-8'!G19</f>
        <v>607039</v>
      </c>
      <c r="C4140" s="2" t="s">
        <v>594</v>
      </c>
      <c r="D4140" s="2" t="str">
        <f t="shared" si="63"/>
        <v>Error?</v>
      </c>
    </row>
    <row r="4141" spans="1:4" x14ac:dyDescent="0.2">
      <c r="A4141" s="5">
        <v>4080</v>
      </c>
      <c r="B4141" s="138">
        <f>'Acct Summary 7-8'!H19</f>
        <v>542710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3407700</v>
      </c>
      <c r="C4171" s="2" t="s">
        <v>594</v>
      </c>
      <c r="D4171" s="2" t="str">
        <f t="shared" si="64"/>
        <v>Error?</v>
      </c>
    </row>
    <row r="4172" spans="1:4" x14ac:dyDescent="0.2">
      <c r="A4172" s="5">
        <v>4111</v>
      </c>
      <c r="B4172" s="138">
        <f>'Short-Term Long-Term Debt 24'!J49</f>
        <v>2916410</v>
      </c>
      <c r="C4172" s="2" t="s">
        <v>594</v>
      </c>
      <c r="D4172" s="2" t="str">
        <f t="shared" si="64"/>
        <v>Error?</v>
      </c>
    </row>
    <row r="4173" spans="1:4" x14ac:dyDescent="0.2">
      <c r="A4173" s="5">
        <v>4112</v>
      </c>
      <c r="B4173" s="138">
        <f>'Short-Term Long-Term Debt 24'!H49</f>
        <v>890116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2736.8799999999997</v>
      </c>
      <c r="C4265" s="2" t="s">
        <v>594</v>
      </c>
      <c r="D4265" s="2" t="str">
        <f t="shared" si="65"/>
        <v>Error?</v>
      </c>
      <c r="E4265" s="128"/>
    </row>
    <row r="4266" spans="1:5" x14ac:dyDescent="0.2">
      <c r="A4266" s="12">
        <v>4205</v>
      </c>
      <c r="B4266" s="138">
        <f>('FP Info 3'!F10)*100000</f>
        <v>520.76</v>
      </c>
      <c r="C4266" s="2" t="s">
        <v>594</v>
      </c>
      <c r="D4266" s="2" t="str">
        <f t="shared" si="65"/>
        <v>Error?</v>
      </c>
      <c r="E4266" s="128"/>
    </row>
    <row r="4267" spans="1:5" x14ac:dyDescent="0.2">
      <c r="A4267" s="12">
        <v>4206</v>
      </c>
      <c r="B4267" s="138">
        <f>('FP Info 3'!H10)*100000</f>
        <v>197.98</v>
      </c>
      <c r="C4267" s="2" t="s">
        <v>594</v>
      </c>
      <c r="D4267" s="2" t="str">
        <f t="shared" si="65"/>
        <v>Error?</v>
      </c>
      <c r="E4267" s="128"/>
    </row>
    <row r="4268" spans="1:5" x14ac:dyDescent="0.2">
      <c r="A4268" s="12">
        <v>4207</v>
      </c>
      <c r="B4268" s="138">
        <f>('FP Info 3'!J10)*100000</f>
        <v>3456</v>
      </c>
      <c r="C4268" s="2" t="s">
        <v>594</v>
      </c>
      <c r="D4268" s="2" t="str">
        <f t="shared" si="65"/>
        <v>Error?</v>
      </c>
    </row>
    <row r="4269" spans="1:5" x14ac:dyDescent="0.2">
      <c r="A4269" s="12">
        <v>4208</v>
      </c>
      <c r="B4269" s="138">
        <f>'FP Info 3'!J16</f>
        <v>4878764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33261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111981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37915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37915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86862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23540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139747954</v>
      </c>
      <c r="D4995" s="2" t="str">
        <f t="shared" si="77"/>
        <v>Error?</v>
      </c>
    </row>
    <row r="4996" spans="1:4" x14ac:dyDescent="0.2">
      <c r="A4996" s="12">
        <v>4935</v>
      </c>
      <c r="B4996" s="138">
        <f>'FP Info 3'!H31</f>
        <v>19285217.652000003</v>
      </c>
      <c r="D4996" s="2" t="str">
        <f t="shared" si="77"/>
        <v>Error?</v>
      </c>
    </row>
    <row r="4997" spans="1:4" x14ac:dyDescent="0.2">
      <c r="A4997" s="12">
        <v>4936</v>
      </c>
      <c r="B4997" s="138">
        <f>'FP Info 3'!H37</f>
        <v>3407700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3756658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3756658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516522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516522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177498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177498</v>
      </c>
      <c r="C5090" s="2" t="s">
        <v>594</v>
      </c>
      <c r="D5090" s="2" t="str">
        <f t="shared" si="78"/>
        <v>Error?</v>
      </c>
    </row>
    <row r="5091" spans="1:4" x14ac:dyDescent="0.2">
      <c r="A5091" s="5">
        <v>5030</v>
      </c>
      <c r="B5091" s="138">
        <f>'Revenues 9-14'!C70</f>
        <v>128</v>
      </c>
      <c r="D5091" s="2" t="str">
        <f t="shared" si="78"/>
        <v>Error?</v>
      </c>
    </row>
    <row r="5092" spans="1:4" x14ac:dyDescent="0.2">
      <c r="A5092" s="5">
        <v>5031</v>
      </c>
      <c r="B5092" s="138">
        <f>'Revenues 9-14'!C71</f>
        <v>221083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15008</v>
      </c>
      <c r="D5094" s="2" t="str">
        <f t="shared" si="78"/>
        <v>Error?</v>
      </c>
    </row>
    <row r="5095" spans="1:4" x14ac:dyDescent="0.2">
      <c r="A5095" s="5">
        <v>5034</v>
      </c>
      <c r="B5095" s="138">
        <f>'Revenues 9-14'!C74</f>
        <v>16942</v>
      </c>
      <c r="D5095" s="2" t="str">
        <f t="shared" si="78"/>
        <v>Error?</v>
      </c>
    </row>
    <row r="5096" spans="1:4" x14ac:dyDescent="0.2">
      <c r="A5096" s="5">
        <v>5035</v>
      </c>
      <c r="B5096" s="138">
        <f>'Revenues 9-14'!C75</f>
        <v>276288</v>
      </c>
      <c r="C5096" s="2" t="s">
        <v>594</v>
      </c>
      <c r="D5096" s="2" t="str">
        <f t="shared" si="78"/>
        <v>Error?</v>
      </c>
    </row>
    <row r="5097" spans="1:4" x14ac:dyDescent="0.2">
      <c r="A5097" s="5">
        <v>5036</v>
      </c>
      <c r="B5097" s="138">
        <f>'Revenues 9-14'!C77</f>
        <v>43802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43802</v>
      </c>
      <c r="C5102" s="2" t="s">
        <v>594</v>
      </c>
      <c r="D5102" s="2" t="str">
        <f t="shared" si="78"/>
        <v>Error?</v>
      </c>
    </row>
    <row r="5103" spans="1:4" x14ac:dyDescent="0.2">
      <c r="A5103" s="5">
        <v>5042</v>
      </c>
      <c r="B5103" s="138">
        <f>'Revenues 9-14'!C84</f>
        <v>20725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20725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15773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129360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81744</v>
      </c>
      <c r="D5119" s="2" t="str">
        <f t="shared" ref="D5119:D5182" si="79">IF(ISBLANK(B5119),"OK",IF(A5119-B5119=0,"OK","Error?"))</f>
        <v>Error?</v>
      </c>
    </row>
    <row r="5120" spans="1:4" x14ac:dyDescent="0.2">
      <c r="A5120" s="5">
        <v>5059</v>
      </c>
      <c r="B5120" s="138">
        <f>'Revenues 9-14'!C108</f>
        <v>226877</v>
      </c>
      <c r="C5120" s="2" t="s">
        <v>594</v>
      </c>
      <c r="D5120" s="2" t="str">
        <f t="shared" si="79"/>
        <v>Error?</v>
      </c>
    </row>
    <row r="5121" spans="1:4" x14ac:dyDescent="0.2">
      <c r="A5121" s="5">
        <v>5060</v>
      </c>
      <c r="B5121" s="138">
        <f>'Revenues 9-14'!C109</f>
        <v>5018370</v>
      </c>
      <c r="C5121" s="2" t="s">
        <v>594</v>
      </c>
      <c r="D5121" s="2" t="str">
        <f t="shared" si="79"/>
        <v>Error?</v>
      </c>
    </row>
    <row r="5122" spans="1:4" x14ac:dyDescent="0.2">
      <c r="A5122" s="5">
        <v>5061</v>
      </c>
      <c r="B5122" s="138">
        <f>'Revenues 9-14'!C111</f>
        <v>3213</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3213</v>
      </c>
      <c r="C5125" s="2" t="s">
        <v>594</v>
      </c>
      <c r="D5125" s="2" t="str">
        <f t="shared" si="79"/>
        <v>Error?</v>
      </c>
    </row>
    <row r="5126" spans="1:4" x14ac:dyDescent="0.2">
      <c r="A5126" s="5">
        <v>5065</v>
      </c>
      <c r="B5126" s="138">
        <f>'Revenues 9-14'!C117</f>
        <v>8765659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8765659</v>
      </c>
      <c r="C5132" s="2" t="s">
        <v>594</v>
      </c>
      <c r="D5132" s="2" t="str">
        <f t="shared" si="79"/>
        <v>Error?</v>
      </c>
    </row>
    <row r="5133" spans="1:4" x14ac:dyDescent="0.2">
      <c r="A5133" s="5">
        <v>5072</v>
      </c>
      <c r="B5133" s="138">
        <f>'Revenues 9-14'!C124</f>
        <v>13193</v>
      </c>
      <c r="D5133" s="2" t="str">
        <f t="shared" si="79"/>
        <v>Error?</v>
      </c>
    </row>
    <row r="5134" spans="1:4" x14ac:dyDescent="0.2">
      <c r="A5134" s="5">
        <v>5073</v>
      </c>
      <c r="B5134" s="138">
        <f>'Revenues 9-14'!C125</f>
        <v>148364</v>
      </c>
      <c r="D5134" s="2" t="str">
        <f t="shared" si="79"/>
        <v>Error?</v>
      </c>
    </row>
    <row r="5135" spans="1:4" x14ac:dyDescent="0.2">
      <c r="A5135" s="5">
        <v>5074</v>
      </c>
      <c r="B5135" s="138">
        <f>'Revenues 9-14'!C126</f>
        <v>196081</v>
      </c>
      <c r="D5135" s="2" t="str">
        <f t="shared" si="79"/>
        <v>Error?</v>
      </c>
    </row>
    <row r="5136" spans="1:4" x14ac:dyDescent="0.2">
      <c r="A5136" s="10">
        <v>5075</v>
      </c>
      <c r="D5136" s="2" t="str">
        <f t="shared" si="79"/>
        <v>OK</v>
      </c>
    </row>
    <row r="5137" spans="1:4" x14ac:dyDescent="0.2">
      <c r="A5137" s="5">
        <v>5076</v>
      </c>
      <c r="B5137" s="138">
        <f>'Revenues 9-14'!C127</f>
        <v>34991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392629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14673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11135</v>
      </c>
      <c r="D5167" s="2" t="str">
        <f t="shared" si="79"/>
        <v>Error?</v>
      </c>
    </row>
    <row r="5168" spans="1:4" x14ac:dyDescent="0.2">
      <c r="A5168" s="5">
        <v>5107</v>
      </c>
      <c r="B5168" s="138">
        <f>'Revenues 9-14'!C147</f>
        <v>23537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98620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564134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9329793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546315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223415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769730</v>
      </c>
      <c r="C5246" s="2" t="s">
        <v>594</v>
      </c>
      <c r="D5246" s="2" t="str">
        <f t="shared" si="80"/>
        <v>Error?</v>
      </c>
    </row>
    <row r="5247" spans="1:4" x14ac:dyDescent="0.2">
      <c r="A5247" s="5">
        <v>5186</v>
      </c>
      <c r="B5247" s="138">
        <f>'Revenues 9-14'!C203</f>
        <v>568631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568631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33266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379553</v>
      </c>
      <c r="D5278" s="2" t="str">
        <f t="shared" si="81"/>
        <v>Error?</v>
      </c>
    </row>
    <row r="5279" spans="1:4" x14ac:dyDescent="0.2">
      <c r="A5279" s="5">
        <v>5218</v>
      </c>
      <c r="B5279" s="138">
        <f>'Revenues 9-14'!C221</f>
        <v>11182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424001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2032381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2032381</v>
      </c>
      <c r="C5326" s="2" t="s">
        <v>594</v>
      </c>
      <c r="D5326" s="2" t="str">
        <f t="shared" si="82"/>
        <v>Error?</v>
      </c>
    </row>
    <row r="5327" spans="1:4" x14ac:dyDescent="0.2">
      <c r="A5327" s="5">
        <v>5266</v>
      </c>
      <c r="B5327" s="138">
        <f>'Revenues 9-14'!C275</f>
        <v>16383757</v>
      </c>
      <c r="C5327" s="2" t="s">
        <v>594</v>
      </c>
      <c r="D5327" s="2" t="str">
        <f t="shared" si="82"/>
        <v>Error?</v>
      </c>
    </row>
    <row r="5328" spans="1:4" x14ac:dyDescent="0.2">
      <c r="A5328" s="5">
        <v>5267</v>
      </c>
      <c r="B5328" s="138">
        <f>'Revenues 9-14'!D5</f>
        <v>680764</v>
      </c>
      <c r="D5328" s="2" t="str">
        <f t="shared" si="82"/>
        <v>Error?</v>
      </c>
    </row>
    <row r="5329" spans="1:4" x14ac:dyDescent="0.2">
      <c r="A5329" s="10">
        <v>5268</v>
      </c>
      <c r="D5329" s="2" t="str">
        <f t="shared" si="82"/>
        <v>OK</v>
      </c>
    </row>
    <row r="5330" spans="1:4" x14ac:dyDescent="0.2">
      <c r="A5330" s="5">
        <v>5269</v>
      </c>
      <c r="B5330" s="138">
        <f>'Revenues 9-14'!D6</f>
        <v>68090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748854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174822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174822</v>
      </c>
      <c r="C5339" s="2" t="s">
        <v>594</v>
      </c>
      <c r="D5339" s="2" t="str">
        <f t="shared" si="82"/>
        <v>Error?</v>
      </c>
    </row>
    <row r="5340" spans="1:4" x14ac:dyDescent="0.2">
      <c r="A5340" s="5">
        <v>5279</v>
      </c>
      <c r="B5340" s="138">
        <f>'Revenues 9-14'!D65</f>
        <v>1444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1444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207</v>
      </c>
      <c r="D5354" s="2" t="str">
        <f t="shared" si="82"/>
        <v>Error?</v>
      </c>
    </row>
    <row r="5355" spans="1:4" x14ac:dyDescent="0.2">
      <c r="A5355" s="5">
        <v>5294</v>
      </c>
      <c r="B5355" s="138">
        <f>'Revenues 9-14'!D108</f>
        <v>9207</v>
      </c>
      <c r="C5355" s="2" t="s">
        <v>594</v>
      </c>
      <c r="D5355" s="2" t="str">
        <f t="shared" si="82"/>
        <v>Error?</v>
      </c>
    </row>
    <row r="5356" spans="1:4" x14ac:dyDescent="0.2">
      <c r="A5356" s="5">
        <v>5295</v>
      </c>
      <c r="B5356" s="138">
        <f>'Revenues 9-14'!D109</f>
        <v>934327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998780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998780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998780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1933107</v>
      </c>
      <c r="C5508" s="2" t="s">
        <v>594</v>
      </c>
      <c r="D5508" s="2" t="str">
        <f t="shared" si="85"/>
        <v>Error?</v>
      </c>
    </row>
    <row r="5509" spans="1:4" x14ac:dyDescent="0.2">
      <c r="A5509" s="5">
        <v>5448</v>
      </c>
      <c r="B5509" s="138">
        <f>'Revenues 9-14'!E5</f>
        <v>705783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705783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708537</v>
      </c>
      <c r="C5527" s="2" t="s">
        <v>594</v>
      </c>
      <c r="D5527" s="2" t="str">
        <f t="shared" si="85"/>
        <v>Error?</v>
      </c>
    </row>
    <row r="5528" spans="1:4" x14ac:dyDescent="0.2">
      <c r="A5528" s="5">
        <v>5467</v>
      </c>
      <c r="B5528" s="138">
        <f>'Revenues 9-14'!E117</f>
        <v>1054</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1054</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1054</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709591</v>
      </c>
      <c r="C5552" s="2" t="s">
        <v>594</v>
      </c>
      <c r="D5552" s="2" t="str">
        <f t="shared" si="85"/>
        <v>Error?</v>
      </c>
    </row>
    <row r="5553" spans="1:4" x14ac:dyDescent="0.2">
      <c r="A5553" s="5">
        <v>5492</v>
      </c>
      <c r="B5553" s="138">
        <f>'Revenues 9-14'!F5</f>
        <v>272306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272306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562</v>
      </c>
      <c r="D5586" s="2" t="str">
        <f t="shared" si="86"/>
        <v>Error?</v>
      </c>
    </row>
    <row r="5587" spans="1:4" x14ac:dyDescent="0.2">
      <c r="A5587" s="5">
        <v>5526</v>
      </c>
      <c r="B5587" s="138">
        <f>'Revenues 9-14'!F108</f>
        <v>562</v>
      </c>
      <c r="C5587" s="2" t="s">
        <v>594</v>
      </c>
      <c r="D5587" s="2" t="str">
        <f t="shared" si="86"/>
        <v>Error?</v>
      </c>
    </row>
    <row r="5588" spans="1:4" x14ac:dyDescent="0.2">
      <c r="A5588" s="5">
        <v>5527</v>
      </c>
      <c r="B5588" s="138">
        <f>'Revenues 9-14'!F109</f>
        <v>273228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114600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114600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693188</v>
      </c>
      <c r="D5615" s="2" t="str">
        <f t="shared" si="86"/>
        <v>Error?</v>
      </c>
    </row>
    <row r="5616" spans="1:4" x14ac:dyDescent="0.2">
      <c r="A5616" s="10">
        <v>5555</v>
      </c>
      <c r="D5616" s="2" t="str">
        <f t="shared" si="86"/>
        <v>OK</v>
      </c>
    </row>
    <row r="5617" spans="1:4" x14ac:dyDescent="0.2">
      <c r="A5617" s="5">
        <v>5556</v>
      </c>
      <c r="B5617" s="138">
        <f>'Revenues 9-14'!F152</f>
        <v>313127</v>
      </c>
      <c r="D5617" s="2" t="str">
        <f t="shared" si="86"/>
        <v>Error?</v>
      </c>
    </row>
    <row r="5618" spans="1:4" x14ac:dyDescent="0.2">
      <c r="A5618" s="5">
        <v>5557</v>
      </c>
      <c r="B5618" s="138">
        <f>'Revenues 9-14'!F154</f>
        <v>1006315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1006315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1120915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1394143</v>
      </c>
      <c r="C5720" s="2" t="s">
        <v>594</v>
      </c>
      <c r="D5720" s="2" t="str">
        <f t="shared" si="88"/>
        <v>Error?</v>
      </c>
    </row>
    <row r="5721" spans="1:4" x14ac:dyDescent="0.2">
      <c r="A5721" s="5">
        <v>5660</v>
      </c>
      <c r="B5721" s="138">
        <f>'Revenues 9-14'!G5</f>
        <v>223363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223363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446726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103304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103304</v>
      </c>
      <c r="C5730" s="2" t="s">
        <v>594</v>
      </c>
      <c r="D5730" s="2" t="str">
        <f t="shared" si="88"/>
        <v>Error?</v>
      </c>
    </row>
    <row r="5731" spans="1:4" x14ac:dyDescent="0.2">
      <c r="A5731" s="5">
        <v>5670</v>
      </c>
      <c r="B5731" s="138">
        <f>'Revenues 9-14'!G65</f>
        <v>1211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551241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596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542162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542162</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542162</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542758</v>
      </c>
      <c r="C5915" s="2" t="s">
        <v>594</v>
      </c>
      <c r="D5915" s="2" t="str">
        <f t="shared" si="91"/>
        <v>Error?</v>
      </c>
    </row>
    <row r="5916" spans="1:4" x14ac:dyDescent="0.2">
      <c r="A5916" s="5">
        <v>5855</v>
      </c>
      <c r="B5916" s="138">
        <f>'Revenues 9-14'!I5</f>
        <v>66283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66283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66436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551241</v>
      </c>
      <c r="C6024" s="2" t="s">
        <v>594</v>
      </c>
      <c r="D6024" s="2" t="str">
        <f t="shared" si="93"/>
        <v>Error?</v>
      </c>
    </row>
    <row r="6025" spans="1:5" x14ac:dyDescent="0.2">
      <c r="A6025" s="5">
        <v>5964</v>
      </c>
      <c r="B6025" s="138">
        <f>'Revenues 9-14'!H109</f>
        <v>596</v>
      </c>
      <c r="C6025" s="2" t="s">
        <v>594</v>
      </c>
      <c r="D6025" s="2" t="str">
        <f t="shared" si="93"/>
        <v>Error?</v>
      </c>
    </row>
    <row r="6026" spans="1:5" x14ac:dyDescent="0.2">
      <c r="A6026" s="5">
        <v>5965</v>
      </c>
      <c r="B6026" s="138">
        <f>'Revenues 9-14'!I109</f>
        <v>66436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23127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89519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1836.22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130497</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163603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116260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6657</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7580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163603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163603</v>
      </c>
      <c r="D6216" s="2" t="str">
        <f t="shared" si="96"/>
        <v>Error?</v>
      </c>
      <c r="E6216" s="2" t="s">
        <v>199</v>
      </c>
    </row>
    <row r="6217" spans="1:5" x14ac:dyDescent="0.2">
      <c r="A6217">
        <v>6156</v>
      </c>
      <c r="B6217" s="138">
        <f>'Assets-Liab 5-6'!J4</f>
        <v>163603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480309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480309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480309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412522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412522</v>
      </c>
      <c r="D6229" s="2" t="str">
        <f t="shared" si="96"/>
        <v>Error?</v>
      </c>
      <c r="E6229" s="2" t="s">
        <v>199</v>
      </c>
    </row>
    <row r="6230" spans="1:5" x14ac:dyDescent="0.2">
      <c r="A6230">
        <v>6169</v>
      </c>
      <c r="B6230" s="138">
        <f>'Acct Summary 7-8'!J20</f>
        <v>67787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67787</v>
      </c>
      <c r="D6263" s="2" t="str">
        <f t="shared" si="96"/>
        <v>Error?</v>
      </c>
      <c r="E6263" s="2" t="s">
        <v>199</v>
      </c>
    </row>
    <row r="6264" spans="1:5" x14ac:dyDescent="0.2">
      <c r="A6264">
        <v>6203</v>
      </c>
      <c r="B6264" s="138">
        <f>'Acct Summary 7-8'!J79</f>
        <v>95816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163603</v>
      </c>
      <c r="D6266" s="2" t="str">
        <f t="shared" si="96"/>
        <v>Error?</v>
      </c>
      <c r="E6266" s="2" t="s">
        <v>199</v>
      </c>
    </row>
    <row r="6267" spans="1:5" x14ac:dyDescent="0.2">
      <c r="A6267">
        <v>6206</v>
      </c>
      <c r="B6267" s="138">
        <f>'Acct Summary 7-8'!C82</f>
        <v>1046549</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-5486</v>
      </c>
      <c r="D6269" s="2" t="str">
        <f t="shared" si="96"/>
        <v>Error?</v>
      </c>
      <c r="E6269" s="2" t="s">
        <v>199</v>
      </c>
    </row>
    <row r="6270" spans="1:5" x14ac:dyDescent="0.2">
      <c r="A6270">
        <v>6209</v>
      </c>
      <c r="B6270" s="138">
        <f>'Acct Summary 7-8'!F82</f>
        <v>30</v>
      </c>
      <c r="D6270" s="2" t="str">
        <f t="shared" si="96"/>
        <v>Error?</v>
      </c>
      <c r="E6270" s="2" t="s">
        <v>199</v>
      </c>
    </row>
    <row r="6271" spans="1:5" x14ac:dyDescent="0.2">
      <c r="A6271">
        <v>6210</v>
      </c>
      <c r="B6271" s="138">
        <f>'Acct Summary 7-8'!G82</f>
        <v>-55798</v>
      </c>
      <c r="D6271" s="2" t="str">
        <f t="shared" ref="D6271:D6334" si="97">IF(ISBLANK(B6271),"OK",IF(A6271-B6271=0,"OK","Error?"))</f>
        <v>Error?</v>
      </c>
      <c r="E6271" s="2" t="s">
        <v>199</v>
      </c>
    </row>
    <row r="6272" spans="1:5" x14ac:dyDescent="0.2">
      <c r="A6272">
        <v>6211</v>
      </c>
      <c r="B6272" s="138">
        <f>'Acct Summary 7-8'!H82</f>
        <v>48</v>
      </c>
      <c r="D6272" s="2" t="str">
        <f t="shared" si="97"/>
        <v>Error?</v>
      </c>
      <c r="E6272" s="2" t="s">
        <v>199</v>
      </c>
    </row>
    <row r="6273" spans="1:5" x14ac:dyDescent="0.2">
      <c r="A6273">
        <v>6212</v>
      </c>
      <c r="B6273" s="138">
        <f>'Acct Summary 7-8'!I82</f>
        <v>66436</v>
      </c>
      <c r="D6273" s="2" t="str">
        <f t="shared" si="97"/>
        <v>Error?</v>
      </c>
      <c r="E6273" s="2" t="s">
        <v>199</v>
      </c>
    </row>
    <row r="6274" spans="1:5" x14ac:dyDescent="0.2">
      <c r="A6274">
        <v>6213</v>
      </c>
      <c r="B6274" s="138">
        <f>'Acct Summary 7-8'!J82</f>
        <v>67787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0.21876733046325705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f>'Acct Summary 7-8'!E83</f>
        <v>-1.1166520792200126E-2</v>
      </c>
      <c r="D6278" s="2" t="str">
        <f t="shared" si="97"/>
        <v>Error?</v>
      </c>
      <c r="E6278" s="2" t="s">
        <v>199</v>
      </c>
    </row>
    <row r="6279" spans="1:5" x14ac:dyDescent="0.2">
      <c r="A6279">
        <v>6218</v>
      </c>
      <c r="B6279" s="138">
        <f>'Acct Summary 7-8'!F83</f>
        <v>1</v>
      </c>
      <c r="D6279" s="2" t="str">
        <f t="shared" si="97"/>
        <v>Error?</v>
      </c>
      <c r="E6279" s="2" t="s">
        <v>199</v>
      </c>
    </row>
    <row r="6280" spans="1:5" x14ac:dyDescent="0.2">
      <c r="A6280">
        <v>6219</v>
      </c>
      <c r="B6280" s="138">
        <f>'Acct Summary 7-8'!G83</f>
        <v>-8.9562971606878303E-2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0.70014437922203843</v>
      </c>
      <c r="D6282" s="2" t="str">
        <f t="shared" si="97"/>
        <v>Error?</v>
      </c>
      <c r="E6282" s="2" t="s">
        <v>199</v>
      </c>
    </row>
    <row r="6283" spans="1:5" x14ac:dyDescent="0.2">
      <c r="A6283">
        <v>6222</v>
      </c>
      <c r="B6283" s="138">
        <f>'Acct Summary 7-8'!J83</f>
        <v>0.41433836787833966</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266116</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467228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467228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12558</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12558</v>
      </c>
      <c r="D6351" s="2" t="str">
        <f t="shared" si="98"/>
        <v>Error?</v>
      </c>
      <c r="E6351" s="2" t="s">
        <v>199</v>
      </c>
    </row>
    <row r="6352" spans="1:5" x14ac:dyDescent="0.2">
      <c r="A6352">
        <v>6291</v>
      </c>
      <c r="B6352" s="138">
        <f>'Revenues 9-14'!J109</f>
        <v>480309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14673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55111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99123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2062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2062</v>
      </c>
      <c r="D6940" s="2" t="str">
        <f t="shared" si="107"/>
        <v>Error?</v>
      </c>
    </row>
    <row r="6941" spans="1:4" x14ac:dyDescent="0.2">
      <c r="A6941">
        <v>6880</v>
      </c>
      <c r="B6941" s="138">
        <f>'Expenditures 15-22'!L52</f>
        <v>2063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69163</v>
      </c>
      <c r="D6983" s="2" t="str">
        <f t="shared" si="108"/>
        <v>Error?</v>
      </c>
    </row>
    <row r="6984" spans="1:4" x14ac:dyDescent="0.2">
      <c r="A6984">
        <v>6923</v>
      </c>
      <c r="B6984" s="138">
        <f>'Expenditures 15-22'!K86</f>
        <v>69163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69163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412522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480309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3011</v>
      </c>
      <c r="D7073" s="2" t="str">
        <f t="shared" si="109"/>
        <v>Error?</v>
      </c>
    </row>
    <row r="7074" spans="1:4" x14ac:dyDescent="0.2">
      <c r="A7074">
        <v>7013</v>
      </c>
      <c r="B7074" s="138">
        <f>'Expenditures 15-22'!K216</f>
        <v>3011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223519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223519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152099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152099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36214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36214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412522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412522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412522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412522</v>
      </c>
      <c r="D7224" s="2" t="str">
        <f t="shared" si="111"/>
        <v>Error?</v>
      </c>
    </row>
    <row r="7225" spans="1:4" x14ac:dyDescent="0.2">
      <c r="A7225">
        <v>7164</v>
      </c>
      <c r="B7225" s="138">
        <f>'Expenditures 15-22'!K343</f>
        <v>67787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6880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23914</v>
      </c>
      <c r="D7248" s="2" t="str">
        <f t="shared" si="112"/>
        <v>Error?</v>
      </c>
    </row>
    <row r="7249" spans="1:4" x14ac:dyDescent="0.2">
      <c r="A7249">
        <f t="shared" si="113"/>
        <v>7188</v>
      </c>
      <c r="B7249" s="138">
        <f>'Expenditures 15-22'!G7</f>
        <v>13218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56923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56923</v>
      </c>
      <c r="D7618" s="2" t="str">
        <f t="shared" si="124"/>
        <v>Error?</v>
      </c>
      <c r="E7618" s="2" t="s">
        <v>19</v>
      </c>
    </row>
    <row r="7619" spans="1:5" x14ac:dyDescent="0.2">
      <c r="A7619">
        <f t="shared" si="123"/>
        <v>7558</v>
      </c>
      <c r="B7619" s="138">
        <f>'Cap Outlay Deprec 26'!H14</f>
        <v>56923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56923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925856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266116</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23537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23537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23537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2419862</v>
      </c>
      <c r="D7797" s="2" t="str">
        <f t="shared" si="127"/>
        <v>Error?</v>
      </c>
      <c r="E7797" s="4" t="s">
        <v>2016</v>
      </c>
    </row>
    <row r="7798" spans="1:5" x14ac:dyDescent="0.2">
      <c r="A7798">
        <v>7737</v>
      </c>
      <c r="B7798" s="138">
        <f>'Contracts Paid in CY 29'!F141</f>
        <v>300000</v>
      </c>
      <c r="D7798" s="2" t="str">
        <f t="shared" si="127"/>
        <v>Error?</v>
      </c>
      <c r="E7798" s="4" t="s">
        <v>2016</v>
      </c>
    </row>
    <row r="7799" spans="1:5" x14ac:dyDescent="0.2">
      <c r="A7799">
        <v>7738</v>
      </c>
      <c r="B7799" s="138">
        <f>'Contracts Paid in CY 29'!G141</f>
        <v>2119862</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5" sqref="A15:F1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1798</v>
      </c>
      <c r="B4" s="2451"/>
      <c r="C4" s="2451"/>
      <c r="D4" s="2451"/>
      <c r="E4" s="2451"/>
      <c r="F4" s="2451"/>
      <c r="G4" s="2451"/>
      <c r="H4" s="2451"/>
      <c r="I4" s="2451"/>
      <c r="J4" s="2451"/>
      <c r="K4" s="2451"/>
      <c r="L4" s="245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14" t="str">
        <f>COVER!A17</f>
        <v>Massac County CUSD 1</v>
      </c>
      <c r="B7" s="2415"/>
      <c r="C7" s="2415"/>
      <c r="D7" s="2452"/>
      <c r="E7" s="2453">
        <f>COVER!A13</f>
        <v>21061001026</v>
      </c>
      <c r="F7" s="2454"/>
      <c r="G7" s="2421" t="str">
        <f>COVER!T23</f>
        <v>066-003889</v>
      </c>
      <c r="H7" s="2422"/>
      <c r="I7" s="2422"/>
      <c r="J7" s="2422"/>
      <c r="K7" s="2422"/>
      <c r="L7" s="2423"/>
    </row>
    <row r="8" spans="1:29" ht="13.5" customHeight="1" x14ac:dyDescent="0.2">
      <c r="A8" s="1182" t="s">
        <v>1596</v>
      </c>
      <c r="B8" s="1183"/>
      <c r="C8" s="1184"/>
      <c r="D8" s="1184"/>
      <c r="E8" s="1189"/>
      <c r="F8" s="1188"/>
      <c r="G8" s="1190" t="s">
        <v>1248</v>
      </c>
      <c r="H8" s="1191"/>
      <c r="I8" s="1191"/>
      <c r="J8" s="1191"/>
      <c r="K8" s="1191"/>
      <c r="L8" s="1192"/>
    </row>
    <row r="9" spans="1:29" ht="13.5" customHeight="1" x14ac:dyDescent="0.2">
      <c r="A9" s="2424"/>
      <c r="B9" s="2425"/>
      <c r="C9" s="2425"/>
      <c r="D9" s="2425"/>
      <c r="E9" s="2425"/>
      <c r="F9" s="2426"/>
      <c r="G9" s="2427" t="str">
        <f>COVER!T13</f>
        <v>Beussink, Hey, Roe &amp; Stroder, L.L.C.</v>
      </c>
      <c r="H9" s="2428"/>
      <c r="I9" s="2428"/>
      <c r="J9" s="2428"/>
      <c r="K9" s="2428"/>
      <c r="L9" s="2429"/>
    </row>
    <row r="10" spans="1:29" ht="13.5" customHeight="1" x14ac:dyDescent="0.2">
      <c r="A10" s="2411">
        <f>COVER!A38</f>
        <v>0</v>
      </c>
      <c r="B10" s="2412"/>
      <c r="C10" s="2412"/>
      <c r="D10" s="2412"/>
      <c r="E10" s="2412"/>
      <c r="F10" s="2413"/>
      <c r="G10" s="2427" t="str">
        <f>COVER!T17</f>
        <v>16 South Silver Springs Road</v>
      </c>
      <c r="H10" s="2440"/>
      <c r="I10" s="2440"/>
      <c r="J10" s="2440"/>
      <c r="K10" s="2440"/>
      <c r="L10" s="2441"/>
    </row>
    <row r="11" spans="1:29" ht="13.5" customHeight="1" x14ac:dyDescent="0.2">
      <c r="A11" s="1182" t="s">
        <v>1598</v>
      </c>
      <c r="B11" s="1183"/>
      <c r="C11" s="1184"/>
      <c r="D11" s="1189"/>
      <c r="E11" s="1184"/>
      <c r="F11" s="1188"/>
      <c r="G11" s="2427" t="str">
        <f>COVER!T19</f>
        <v>Cape Girardeau</v>
      </c>
      <c r="H11" s="2440"/>
      <c r="I11" s="2440"/>
      <c r="J11" s="2440"/>
      <c r="K11" s="2440"/>
      <c r="L11" s="2441"/>
    </row>
    <row r="12" spans="1:29" ht="13.5" customHeight="1" x14ac:dyDescent="0.2">
      <c r="A12" s="2445" t="s">
        <v>1597</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1599</v>
      </c>
      <c r="H13" s="2436"/>
      <c r="I13" s="2448" t="str">
        <f>COVER!T25</f>
        <v>jstroder@bhrcpas.com</v>
      </c>
      <c r="J13" s="2449"/>
      <c r="K13" s="2449"/>
      <c r="L13" s="2450"/>
    </row>
    <row r="14" spans="1:29" ht="13.5" customHeight="1" x14ac:dyDescent="0.2">
      <c r="A14" s="2427" t="str">
        <f>COVER!A19</f>
        <v>401 Metropolis Street</v>
      </c>
      <c r="B14" s="2440"/>
      <c r="C14" s="2440"/>
      <c r="D14" s="2440"/>
      <c r="E14" s="2440"/>
      <c r="F14" s="2441"/>
      <c r="G14" s="1193" t="s">
        <v>1247</v>
      </c>
      <c r="H14" s="1191"/>
      <c r="I14" s="1191"/>
      <c r="J14" s="1191"/>
      <c r="K14" s="1191"/>
      <c r="L14" s="1192"/>
    </row>
    <row r="15" spans="1:29" ht="13.5" customHeight="1" x14ac:dyDescent="0.2">
      <c r="A15" s="2427" t="str">
        <f>COVER!A21</f>
        <v>Metropolis</v>
      </c>
      <c r="B15" s="2440"/>
      <c r="C15" s="2440"/>
      <c r="D15" s="2440"/>
      <c r="E15" s="2440"/>
      <c r="F15" s="2441"/>
      <c r="G15" s="2437" t="str">
        <f>COVER!T15</f>
        <v>Jeffrey C. Stroder, CPA</v>
      </c>
      <c r="H15" s="2438"/>
      <c r="I15" s="2438"/>
      <c r="J15" s="2438"/>
      <c r="K15" s="2438"/>
      <c r="L15" s="2439"/>
    </row>
    <row r="16" spans="1:29" ht="12.2" customHeight="1" x14ac:dyDescent="0.2">
      <c r="A16" s="2417">
        <f>COVER!A25</f>
        <v>62960</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3" t="s">
        <v>1246</v>
      </c>
      <c r="H17" s="1191"/>
      <c r="I17" s="1191"/>
      <c r="J17" s="1191"/>
      <c r="K17" s="1195" t="s">
        <v>1245</v>
      </c>
      <c r="L17" s="1188"/>
      <c r="M17" s="1181"/>
    </row>
    <row r="18" spans="1:13" ht="12.2" customHeight="1" x14ac:dyDescent="0.2">
      <c r="A18" s="2411"/>
      <c r="B18" s="2412"/>
      <c r="C18" s="2412"/>
      <c r="D18" s="2412"/>
      <c r="E18" s="2412"/>
      <c r="F18" s="2413"/>
      <c r="G18" s="2414" t="str">
        <f>COVER!T21</f>
        <v>573-334-7971</v>
      </c>
      <c r="H18" s="2415"/>
      <c r="I18" s="2415"/>
      <c r="J18" s="2415"/>
      <c r="K18" s="2414" t="str">
        <f>COVER!X21</f>
        <v>573-334-8875</v>
      </c>
      <c r="L18" s="241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1799</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1800</v>
      </c>
    </row>
    <row r="27" spans="1:13" s="1196" customFormat="1" ht="9" customHeight="1" x14ac:dyDescent="0.2">
      <c r="B27" s="1201"/>
      <c r="C27" s="1200"/>
    </row>
    <row r="28" spans="1:13" s="1196" customFormat="1" ht="12.2" customHeight="1" x14ac:dyDescent="0.2">
      <c r="A28" s="1203"/>
      <c r="B28" s="1199"/>
      <c r="C28" s="1200" t="s">
        <v>1801</v>
      </c>
    </row>
    <row r="29" spans="1:13" s="1196" customFormat="1" ht="9" customHeight="1" x14ac:dyDescent="0.2">
      <c r="A29" s="1203"/>
      <c r="B29" s="1201"/>
      <c r="C29" s="1200"/>
    </row>
    <row r="30" spans="1:13" s="1196" customFormat="1" ht="12.2" customHeight="1" x14ac:dyDescent="0.2">
      <c r="B30" s="1199"/>
      <c r="C30" s="1200" t="s">
        <v>1642</v>
      </c>
      <c r="D30" s="1194"/>
      <c r="E30" s="1194"/>
    </row>
    <row r="31" spans="1:13" s="1196" customFormat="1" ht="9" customHeight="1" x14ac:dyDescent="0.2">
      <c r="B31" s="1201"/>
      <c r="C31" s="1200"/>
      <c r="D31" s="1194"/>
      <c r="E31" s="1194"/>
    </row>
    <row r="32" spans="1:13" s="1196" customFormat="1" ht="12.2" customHeight="1" x14ac:dyDescent="0.2">
      <c r="B32" s="1199"/>
      <c r="C32" s="1200" t="s">
        <v>1643</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c r="C35" s="1200" t="s">
        <v>1644</v>
      </c>
    </row>
    <row r="36" spans="1:8" s="1196" customFormat="1" ht="10.9" customHeight="1" x14ac:dyDescent="0.2">
      <c r="B36" s="1201"/>
      <c r="C36" s="1204" t="s">
        <v>1645</v>
      </c>
    </row>
    <row r="37" spans="1:8" ht="9" customHeight="1" x14ac:dyDescent="0.2">
      <c r="B37" s="1201"/>
      <c r="C37" s="1204"/>
    </row>
    <row r="38" spans="1:8" s="1196" customFormat="1" ht="12.2" customHeight="1" x14ac:dyDescent="0.2">
      <c r="B38" s="1199"/>
      <c r="C38" s="1200" t="s">
        <v>1646</v>
      </c>
    </row>
    <row r="39" spans="1:8" ht="9" customHeight="1" x14ac:dyDescent="0.2">
      <c r="B39" s="1201"/>
      <c r="C39" s="1204"/>
    </row>
    <row r="40" spans="1:8" s="1196" customFormat="1" ht="13.5" customHeight="1" x14ac:dyDescent="0.2">
      <c r="B40" s="1199"/>
      <c r="C40" s="1200" t="s">
        <v>1647</v>
      </c>
    </row>
    <row r="41" spans="1:8" ht="9" customHeight="1" x14ac:dyDescent="0.2">
      <c r="A41" s="1205"/>
      <c r="B41" s="1201"/>
      <c r="C41" s="1204"/>
    </row>
    <row r="42" spans="1:8" s="1196" customFormat="1" ht="13.5" customHeight="1" x14ac:dyDescent="0.2">
      <c r="B42" s="1199"/>
      <c r="C42" s="1200" t="s">
        <v>1943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1648</v>
      </c>
      <c r="D46" s="1194"/>
      <c r="E46" s="1194"/>
      <c r="F46" s="1194"/>
      <c r="G46" s="1194"/>
      <c r="H46" s="1194"/>
    </row>
    <row r="47" spans="1:8" ht="9" customHeight="1" x14ac:dyDescent="0.2"/>
    <row r="48" spans="1:8" ht="12.2" customHeight="1" x14ac:dyDescent="0.2">
      <c r="B48" s="1208"/>
      <c r="C48" s="1209" t="s">
        <v>1649</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5" sqref="A15:F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5" t="str">
        <f>'Single Audit Cover'!A7</f>
        <v>Massac County CUSD 1</v>
      </c>
      <c r="B1" s="2451"/>
      <c r="C1" s="2451"/>
      <c r="D1" s="2451"/>
    </row>
    <row r="2" spans="1:11" s="1212" customFormat="1" ht="12.75" x14ac:dyDescent="0.2">
      <c r="A2" s="2456">
        <f>'Single Audit Cover'!E7</f>
        <v>21061001026</v>
      </c>
      <c r="B2" s="2457"/>
      <c r="C2" s="2457"/>
      <c r="D2" s="2457"/>
    </row>
    <row r="3" spans="1:11" s="1212" customFormat="1" ht="12.75" x14ac:dyDescent="0.2">
      <c r="A3" s="2455" t="s">
        <v>1592</v>
      </c>
      <c r="B3" s="2451"/>
      <c r="C3" s="2451"/>
      <c r="D3" s="2451"/>
    </row>
    <row r="4" spans="1:11" s="1212" customFormat="1" ht="4.5" customHeight="1" x14ac:dyDescent="0.2">
      <c r="A4" s="1213"/>
      <c r="B4" s="1214"/>
      <c r="C4" s="1214"/>
      <c r="D4" s="1214"/>
    </row>
    <row r="5" spans="1:11" x14ac:dyDescent="0.2">
      <c r="B5" s="1216" t="s">
        <v>1593</v>
      </c>
      <c r="C5" s="1217"/>
      <c r="D5" s="1218"/>
    </row>
    <row r="6" spans="1:11" x14ac:dyDescent="0.2">
      <c r="B6" s="1216" t="s">
        <v>1287</v>
      </c>
      <c r="C6" s="1217"/>
      <c r="D6" s="1218"/>
    </row>
    <row r="7" spans="1:11" x14ac:dyDescent="0.2">
      <c r="B7" s="1216" t="s">
        <v>1594</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1650</v>
      </c>
      <c r="E28" s="1225"/>
      <c r="F28" s="1225"/>
      <c r="G28" s="1225"/>
      <c r="H28" s="1225"/>
      <c r="I28" s="1225"/>
      <c r="J28" s="1225"/>
      <c r="K28" s="1225"/>
    </row>
    <row r="29" spans="1:11" ht="10.5" customHeight="1" x14ac:dyDescent="0.2">
      <c r="A29" s="1219"/>
      <c r="D29" s="1233" t="s">
        <v>1651</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1652</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1652</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1653</v>
      </c>
    </row>
    <row r="41" spans="1:5" ht="3" customHeight="1" x14ac:dyDescent="0.2">
      <c r="A41" s="1219"/>
      <c r="B41" s="1236"/>
      <c r="C41" s="1237"/>
      <c r="D41" s="1218"/>
    </row>
    <row r="42" spans="1:5" ht="10.5" customHeight="1" x14ac:dyDescent="0.2">
      <c r="A42" s="1219"/>
      <c r="B42" s="1238"/>
      <c r="C42" s="1229">
        <v>11</v>
      </c>
      <c r="D42" s="1240" t="s">
        <v>1654</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1655</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1271</v>
      </c>
    </row>
    <row r="60" spans="1:4" ht="10.5" customHeight="1" x14ac:dyDescent="0.2">
      <c r="A60" s="1219"/>
      <c r="D60" s="1242" t="s">
        <v>1680</v>
      </c>
    </row>
    <row r="61" spans="1:4" ht="10.5" customHeight="1" x14ac:dyDescent="0.2">
      <c r="A61" s="1219"/>
      <c r="C61" s="1241"/>
      <c r="D61" s="1234" t="s">
        <v>1813</v>
      </c>
    </row>
    <row r="62" spans="1:4" ht="10.5" customHeight="1" x14ac:dyDescent="0.2">
      <c r="A62" s="1219"/>
      <c r="D62" s="1243" t="s">
        <v>1270</v>
      </c>
    </row>
    <row r="63" spans="1:4" ht="10.5" customHeight="1" x14ac:dyDescent="0.2">
      <c r="A63" s="1219"/>
      <c r="D63" s="1218" t="s">
        <v>1656</v>
      </c>
    </row>
    <row r="64" spans="1:4" ht="10.5" customHeight="1" x14ac:dyDescent="0.2">
      <c r="A64" s="1219"/>
      <c r="D64" s="1242" t="s">
        <v>1679</v>
      </c>
    </row>
    <row r="65" spans="1:4" x14ac:dyDescent="0.2">
      <c r="A65" s="1219"/>
      <c r="C65" s="1241"/>
      <c r="D65" s="1234" t="s">
        <v>1814</v>
      </c>
    </row>
    <row r="66" spans="1:4" ht="10.5" customHeight="1" x14ac:dyDescent="0.2">
      <c r="A66" s="1219"/>
      <c r="D66" s="1244" t="s">
        <v>1269</v>
      </c>
    </row>
    <row r="67" spans="1:4" ht="10.5" customHeight="1" x14ac:dyDescent="0.2">
      <c r="A67" s="1219"/>
      <c r="D67" s="1218" t="s">
        <v>1657</v>
      </c>
    </row>
    <row r="68" spans="1:4" ht="10.5" customHeight="1" x14ac:dyDescent="0.2">
      <c r="A68" s="1219"/>
      <c r="D68" s="1242" t="s">
        <v>1679</v>
      </c>
    </row>
    <row r="69" spans="1:4" ht="10.5" customHeight="1" x14ac:dyDescent="0.2">
      <c r="A69" s="1219"/>
      <c r="C69" s="1241"/>
      <c r="D69" s="1234" t="s">
        <v>1815</v>
      </c>
    </row>
    <row r="70" spans="1:4" x14ac:dyDescent="0.2">
      <c r="A70" s="1219"/>
      <c r="D70" s="1243" t="s">
        <v>1268</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1262</v>
      </c>
    </row>
    <row r="93" spans="1:4" ht="4.5" customHeight="1" x14ac:dyDescent="0.2">
      <c r="A93" s="1219"/>
      <c r="D93" s="1218"/>
    </row>
    <row r="94" spans="1:4" x14ac:dyDescent="0.2">
      <c r="A94" s="1219"/>
      <c r="B94" s="1220" t="s">
        <v>1658</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1659</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1660</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1944</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9" t="str">
        <f>'Single Audit Cover'!A7</f>
        <v>Massac County CUSD 1</v>
      </c>
      <c r="B1" s="2459"/>
      <c r="C1" s="2459"/>
      <c r="D1" s="2459"/>
      <c r="E1" s="2459"/>
    </row>
    <row r="2" spans="1:5" x14ac:dyDescent="0.2">
      <c r="A2" s="2460">
        <f>'Single Audit Cover'!E7</f>
        <v>21061001026</v>
      </c>
      <c r="B2" s="2460"/>
      <c r="C2" s="2460"/>
      <c r="D2" s="2460"/>
      <c r="E2" s="2460"/>
    </row>
    <row r="3" spans="1:5" ht="4.5" customHeight="1" x14ac:dyDescent="0.2"/>
    <row r="4" spans="1:5" x14ac:dyDescent="0.2">
      <c r="A4" s="2459" t="s">
        <v>1306</v>
      </c>
      <c r="B4" s="2459"/>
      <c r="C4" s="2459"/>
      <c r="D4" s="2459"/>
      <c r="E4" s="2459"/>
    </row>
    <row r="5" spans="1:5" x14ac:dyDescent="0.2">
      <c r="A5" s="2462" t="str">
        <f>'Single Audit Cover'!A4</f>
        <v>Year Ending June 30, 2018</v>
      </c>
      <c r="B5" s="2462"/>
      <c r="C5" s="2462"/>
      <c r="D5" s="2462"/>
      <c r="E5" s="2462"/>
    </row>
    <row r="6" spans="1:5" x14ac:dyDescent="0.2">
      <c r="A6" s="2459" t="s">
        <v>1305</v>
      </c>
      <c r="B6" s="2459"/>
      <c r="C6" s="2459"/>
      <c r="D6" s="2459"/>
      <c r="E6" s="2459"/>
    </row>
    <row r="8" spans="1:5" x14ac:dyDescent="0.2">
      <c r="A8" s="1257" t="s">
        <v>1304</v>
      </c>
    </row>
    <row r="10" spans="1:5" x14ac:dyDescent="0.2">
      <c r="A10" s="1258" t="s">
        <v>1303</v>
      </c>
      <c r="B10" s="1259" t="s">
        <v>1302</v>
      </c>
      <c r="C10" s="1259"/>
      <c r="D10" s="1260">
        <f>SUM('Acct Summary 7-8'!C7:K7)</f>
        <v>2032381</v>
      </c>
    </row>
    <row r="11" spans="1:5" ht="18" customHeight="1" x14ac:dyDescent="0.2">
      <c r="A11" s="1258" t="s">
        <v>1301</v>
      </c>
      <c r="B11" s="1259"/>
      <c r="C11" s="1259"/>
    </row>
    <row r="12" spans="1:5" x14ac:dyDescent="0.2">
      <c r="A12" s="1258" t="s">
        <v>1300</v>
      </c>
      <c r="B12" s="1259" t="s">
        <v>1299</v>
      </c>
      <c r="C12" s="1259"/>
      <c r="D12" s="1261">
        <f>SUM('Revenues 9-14'!C112:D112,'Revenues 9-14'!F112:G112)</f>
        <v>0</v>
      </c>
    </row>
    <row r="13" spans="1:5" x14ac:dyDescent="0.2">
      <c r="A13" s="1258" t="s">
        <v>1298</v>
      </c>
      <c r="B13" s="1259"/>
      <c r="C13" s="1259"/>
    </row>
    <row r="14" spans="1:5" x14ac:dyDescent="0.2">
      <c r="A14" s="1258" t="s">
        <v>1829</v>
      </c>
      <c r="B14" s="1259"/>
      <c r="C14" s="1259"/>
      <c r="D14" s="1261">
        <f>'ICR Computation 30'!E11</f>
        <v>89519</v>
      </c>
    </row>
    <row r="15" spans="1:5" x14ac:dyDescent="0.2">
      <c r="A15" s="1258"/>
      <c r="B15" s="1259"/>
      <c r="C15" s="1259"/>
    </row>
    <row r="16" spans="1:5" x14ac:dyDescent="0.2">
      <c r="A16" s="1258" t="s">
        <v>1952</v>
      </c>
      <c r="B16" s="1259"/>
      <c r="C16" s="1259"/>
    </row>
    <row r="17" spans="1:4" x14ac:dyDescent="0.2">
      <c r="A17" s="1258" t="s">
        <v>1600</v>
      </c>
      <c r="B17" s="1259" t="s">
        <v>1297</v>
      </c>
      <c r="C17" s="1259"/>
      <c r="D17" s="1261">
        <f>-SUM('Revenues 9-14'!C271:D271,'Revenues 9-14'!F271:G271)</f>
        <v>-111981</v>
      </c>
    </row>
    <row r="19" spans="1:4" ht="13.5" thickBot="1" x14ac:dyDescent="0.25">
      <c r="A19" s="1262" t="s">
        <v>1296</v>
      </c>
      <c r="D19" s="1263">
        <f>SUM(D10:D17)</f>
        <v>2009919</v>
      </c>
    </row>
    <row r="20" spans="1:4" ht="21.75" customHeight="1" thickTop="1" x14ac:dyDescent="0.2"/>
    <row r="21" spans="1:4" x14ac:dyDescent="0.2">
      <c r="A21" s="1257" t="s">
        <v>1295</v>
      </c>
    </row>
    <row r="22" spans="1:4" ht="8.25" customHeight="1" x14ac:dyDescent="0.2"/>
    <row r="23" spans="1:4" x14ac:dyDescent="0.2">
      <c r="A23" s="1264" t="s">
        <v>2260</v>
      </c>
    </row>
    <row r="24" spans="1:4" x14ac:dyDescent="0.2">
      <c r="A24" s="2461"/>
      <c r="B24" s="2461"/>
      <c r="D24" s="1265"/>
    </row>
    <row r="25" spans="1:4" x14ac:dyDescent="0.2">
      <c r="A25" s="2458"/>
      <c r="B25" s="2458"/>
      <c r="D25" s="1265"/>
    </row>
    <row r="26" spans="1:4" x14ac:dyDescent="0.2">
      <c r="A26" s="2458"/>
      <c r="B26" s="2458"/>
      <c r="D26" s="1265"/>
    </row>
    <row r="27" spans="1:4" x14ac:dyDescent="0.2">
      <c r="A27" s="2458"/>
      <c r="B27" s="2458"/>
      <c r="D27" s="1265"/>
    </row>
    <row r="28" spans="1:4" x14ac:dyDescent="0.2">
      <c r="A28" s="2458"/>
      <c r="B28" s="2458"/>
      <c r="D28" s="1265"/>
    </row>
    <row r="29" spans="1:4" x14ac:dyDescent="0.2">
      <c r="A29" s="2458"/>
      <c r="B29" s="2458"/>
      <c r="D29" s="1265"/>
    </row>
    <row r="30" spans="1:4" x14ac:dyDescent="0.2">
      <c r="A30" s="2458"/>
      <c r="B30" s="2458"/>
      <c r="D30" s="1265"/>
    </row>
    <row r="32" spans="1:4" x14ac:dyDescent="0.2">
      <c r="A32" s="1257" t="s">
        <v>1294</v>
      </c>
      <c r="D32" s="1260">
        <f>SUM(D19:D30)</f>
        <v>2009919</v>
      </c>
    </row>
    <row r="33" spans="1:4" x14ac:dyDescent="0.2">
      <c r="D33" s="1266"/>
    </row>
    <row r="34" spans="1:4" x14ac:dyDescent="0.2">
      <c r="A34" s="317" t="s">
        <v>1293</v>
      </c>
    </row>
    <row r="35" spans="1:4" x14ac:dyDescent="0.2">
      <c r="A35" s="317" t="s">
        <v>1292</v>
      </c>
      <c r="B35" s="1255" t="s">
        <v>1291</v>
      </c>
      <c r="D35" s="1267">
        <v>2009919</v>
      </c>
    </row>
    <row r="37" spans="1:4" x14ac:dyDescent="0.2">
      <c r="A37" s="1257" t="s">
        <v>1290</v>
      </c>
    </row>
    <row r="39" spans="1:4" ht="13.35" customHeight="1" x14ac:dyDescent="0.2">
      <c r="A39" s="1264" t="s">
        <v>2260</v>
      </c>
    </row>
    <row r="40" spans="1:4" x14ac:dyDescent="0.2">
      <c r="A40" s="2458"/>
      <c r="B40" s="2458"/>
      <c r="D40" s="1265"/>
    </row>
    <row r="41" spans="1:4" x14ac:dyDescent="0.2">
      <c r="A41" s="2458"/>
      <c r="B41" s="2458"/>
      <c r="D41" s="1268"/>
    </row>
    <row r="42" spans="1:4" x14ac:dyDescent="0.2">
      <c r="A42" s="2458"/>
      <c r="B42" s="2458"/>
      <c r="D42" s="1268"/>
    </row>
    <row r="43" spans="1:4" x14ac:dyDescent="0.2">
      <c r="A43" s="2458"/>
      <c r="B43" s="2458"/>
      <c r="D43" s="1268"/>
    </row>
    <row r="44" spans="1:4" x14ac:dyDescent="0.2">
      <c r="A44" s="2458"/>
      <c r="B44" s="2458"/>
      <c r="D44" s="1268"/>
    </row>
    <row r="45" spans="1:4" x14ac:dyDescent="0.2">
      <c r="A45" s="2458"/>
      <c r="B45" s="2458"/>
      <c r="D45" s="1268"/>
    </row>
    <row r="47" spans="1:4" x14ac:dyDescent="0.2">
      <c r="B47" s="1269" t="s">
        <v>1289</v>
      </c>
      <c r="C47" s="1269"/>
      <c r="D47" s="1270">
        <f>SUM(D35:D45)</f>
        <v>2009919</v>
      </c>
    </row>
    <row r="49" spans="2:4" x14ac:dyDescent="0.2">
      <c r="B49" s="1269" t="s">
        <v>1288</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8" zoomScaleNormal="100" workbookViewId="0">
      <selection activeCell="A15" sqref="A15:F15"/>
    </sheetView>
  </sheetViews>
  <sheetFormatPr defaultColWidth="33.5703125" defaultRowHeight="12.75" x14ac:dyDescent="0.2"/>
  <cols>
    <col min="1" max="1" width="0.140625" style="317" customWidth="1"/>
    <col min="2" max="2" width="37.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Massac County CUSD 1</v>
      </c>
      <c r="C1" s="2463"/>
      <c r="D1" s="2463"/>
      <c r="E1" s="2463"/>
      <c r="F1" s="2463"/>
      <c r="G1" s="2463"/>
      <c r="H1" s="2463"/>
      <c r="I1" s="2463"/>
      <c r="J1" s="2463"/>
      <c r="K1" s="2463"/>
      <c r="L1" s="2463"/>
      <c r="M1" s="2463"/>
    </row>
    <row r="2" spans="2:14" ht="15" x14ac:dyDescent="0.2">
      <c r="B2" s="2464">
        <f>'Single Audit Cover'!E7</f>
        <v>21061001026</v>
      </c>
      <c r="C2" s="2464"/>
      <c r="D2" s="2464"/>
      <c r="E2" s="2464"/>
      <c r="F2" s="2464"/>
      <c r="G2" s="2464"/>
      <c r="H2" s="2464"/>
      <c r="I2" s="2464"/>
      <c r="J2" s="2464"/>
      <c r="K2" s="2464"/>
      <c r="L2" s="2464"/>
      <c r="M2" s="2464"/>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1326</v>
      </c>
      <c r="E6" s="1303" t="s">
        <v>548</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4"/>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54" t="s">
        <v>2109</v>
      </c>
      <c r="C11" s="1335"/>
      <c r="D11" s="1336"/>
      <c r="E11" s="1337"/>
      <c r="F11" s="1337"/>
      <c r="G11" s="1337"/>
      <c r="H11" s="1337"/>
      <c r="I11" s="1337"/>
      <c r="J11" s="1337"/>
      <c r="K11" s="1337"/>
      <c r="L11" s="1337">
        <f>+G11+I11+K11</f>
        <v>0</v>
      </c>
      <c r="M11" s="1337"/>
    </row>
    <row r="12" spans="2:14" ht="20.100000000000001" customHeight="1" x14ac:dyDescent="0.2">
      <c r="B12" s="1954" t="s">
        <v>2110</v>
      </c>
      <c r="C12" s="1338"/>
      <c r="D12" s="1339"/>
      <c r="E12" s="1340"/>
      <c r="F12" s="1340"/>
      <c r="G12" s="1340"/>
      <c r="H12" s="1340"/>
      <c r="I12" s="1340"/>
      <c r="J12" s="1340"/>
      <c r="K12" s="1340"/>
      <c r="L12" s="1337">
        <f t="shared" ref="L12:L28" si="0">+G12+I12+K12</f>
        <v>0</v>
      </c>
      <c r="M12" s="1340"/>
    </row>
    <row r="13" spans="2:14" ht="20.100000000000001" customHeight="1" x14ac:dyDescent="0.2">
      <c r="B13" s="1954" t="s">
        <v>2111</v>
      </c>
      <c r="C13" s="1338">
        <v>10.553000000000001</v>
      </c>
      <c r="D13" s="1339" t="s">
        <v>2118</v>
      </c>
      <c r="E13" s="1340">
        <v>177124</v>
      </c>
      <c r="F13" s="1340">
        <v>41886</v>
      </c>
      <c r="G13" s="1340">
        <v>177124</v>
      </c>
      <c r="H13" s="1340"/>
      <c r="I13" s="1340">
        <v>41886</v>
      </c>
      <c r="J13" s="1340"/>
      <c r="K13" s="1340"/>
      <c r="L13" s="1337">
        <f t="shared" si="0"/>
        <v>219010</v>
      </c>
      <c r="M13" s="1340"/>
    </row>
    <row r="14" spans="2:14" ht="20.100000000000001" customHeight="1" x14ac:dyDescent="0.2">
      <c r="B14" s="1954" t="s">
        <v>2111</v>
      </c>
      <c r="C14" s="1338">
        <v>10.553000000000001</v>
      </c>
      <c r="D14" s="1339" t="s">
        <v>2121</v>
      </c>
      <c r="E14" s="1340"/>
      <c r="F14" s="1340">
        <v>181529</v>
      </c>
      <c r="G14" s="1340"/>
      <c r="H14" s="1340"/>
      <c r="I14" s="1340">
        <v>181529</v>
      </c>
      <c r="J14" s="1340"/>
      <c r="K14" s="1340"/>
      <c r="L14" s="1337">
        <f t="shared" si="0"/>
        <v>181529</v>
      </c>
      <c r="M14" s="1340"/>
    </row>
    <row r="15" spans="2:14" ht="20.100000000000001" customHeight="1" x14ac:dyDescent="0.2">
      <c r="B15" s="1954" t="s">
        <v>2112</v>
      </c>
      <c r="C15" s="1338"/>
      <c r="D15" s="1339"/>
      <c r="E15" s="1340">
        <f t="shared" ref="E15:K15" si="1">SUM(E13:E14)</f>
        <v>177124</v>
      </c>
      <c r="F15" s="1340">
        <f t="shared" si="1"/>
        <v>223415</v>
      </c>
      <c r="G15" s="1340">
        <f t="shared" si="1"/>
        <v>177124</v>
      </c>
      <c r="H15" s="1340">
        <f t="shared" si="1"/>
        <v>0</v>
      </c>
      <c r="I15" s="1340">
        <f t="shared" si="1"/>
        <v>223415</v>
      </c>
      <c r="J15" s="1340">
        <f t="shared" si="1"/>
        <v>0</v>
      </c>
      <c r="K15" s="1340">
        <f t="shared" si="1"/>
        <v>0</v>
      </c>
      <c r="L15" s="1337">
        <f t="shared" si="0"/>
        <v>400539</v>
      </c>
      <c r="M15" s="1340">
        <f>SUM(M13:M14)</f>
        <v>0</v>
      </c>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954" t="s">
        <v>2110</v>
      </c>
      <c r="C17" s="1955"/>
      <c r="D17" s="1339"/>
      <c r="E17" s="1340"/>
      <c r="F17" s="1340"/>
      <c r="G17" s="1340"/>
      <c r="H17" s="1340"/>
      <c r="I17" s="1340"/>
      <c r="J17" s="1340"/>
      <c r="K17" s="1340"/>
      <c r="L17" s="1337">
        <f t="shared" si="0"/>
        <v>0</v>
      </c>
      <c r="M17" s="1340"/>
    </row>
    <row r="18" spans="2:14" ht="20.100000000000001" customHeight="1" x14ac:dyDescent="0.2">
      <c r="B18" s="1954" t="s">
        <v>2113</v>
      </c>
      <c r="C18" s="1955">
        <v>10.555</v>
      </c>
      <c r="D18" s="1339" t="s">
        <v>2119</v>
      </c>
      <c r="E18" s="1340">
        <v>450248</v>
      </c>
      <c r="F18" s="1340">
        <v>104253</v>
      </c>
      <c r="G18" s="1340">
        <v>450248</v>
      </c>
      <c r="H18" s="1340"/>
      <c r="I18" s="1340">
        <v>104253</v>
      </c>
      <c r="J18" s="1340"/>
      <c r="K18" s="1340"/>
      <c r="L18" s="1337">
        <f t="shared" si="0"/>
        <v>554501</v>
      </c>
      <c r="M18" s="1340"/>
    </row>
    <row r="19" spans="2:14" ht="20.100000000000001" customHeight="1" x14ac:dyDescent="0.2">
      <c r="B19" s="1954" t="s">
        <v>2113</v>
      </c>
      <c r="C19" s="1955">
        <v>10.555</v>
      </c>
      <c r="D19" s="1339" t="s">
        <v>2122</v>
      </c>
      <c r="E19" s="1340"/>
      <c r="F19" s="1340">
        <v>442062</v>
      </c>
      <c r="G19" s="1340"/>
      <c r="H19" s="1340"/>
      <c r="I19" s="1340">
        <v>442062</v>
      </c>
      <c r="J19" s="1340"/>
      <c r="K19" s="1340"/>
      <c r="L19" s="1337">
        <f t="shared" si="0"/>
        <v>442062</v>
      </c>
      <c r="M19" s="1340"/>
    </row>
    <row r="20" spans="2:14" ht="20.100000000000001" customHeight="1" x14ac:dyDescent="0.2">
      <c r="B20" s="1954" t="s">
        <v>2114</v>
      </c>
      <c r="C20" s="1955">
        <v>10.555</v>
      </c>
      <c r="D20" s="1339" t="s">
        <v>2123</v>
      </c>
      <c r="E20" s="1340">
        <v>89700</v>
      </c>
      <c r="F20" s="1340"/>
      <c r="G20" s="1340">
        <v>89700</v>
      </c>
      <c r="H20" s="1340"/>
      <c r="I20" s="1340"/>
      <c r="J20" s="1340"/>
      <c r="K20" s="1340"/>
      <c r="L20" s="1337">
        <f t="shared" si="0"/>
        <v>89700</v>
      </c>
      <c r="M20" s="1340"/>
    </row>
    <row r="21" spans="2:14" ht="20.100000000000001" customHeight="1" x14ac:dyDescent="0.2">
      <c r="B21" s="1954" t="s">
        <v>2114</v>
      </c>
      <c r="C21" s="1955">
        <v>10.555</v>
      </c>
      <c r="D21" s="1339" t="s">
        <v>2124</v>
      </c>
      <c r="E21" s="1340"/>
      <c r="F21" s="1340">
        <v>74107</v>
      </c>
      <c r="G21" s="1340"/>
      <c r="H21" s="1340"/>
      <c r="I21" s="1340">
        <v>74107</v>
      </c>
      <c r="J21" s="1340"/>
      <c r="K21" s="1340"/>
      <c r="L21" s="1337">
        <f t="shared" si="0"/>
        <v>74107</v>
      </c>
      <c r="M21" s="1340"/>
    </row>
    <row r="22" spans="2:14" ht="20.100000000000001" customHeight="1" x14ac:dyDescent="0.2">
      <c r="B22" s="1954" t="s">
        <v>2115</v>
      </c>
      <c r="C22" s="1955">
        <v>10.555</v>
      </c>
      <c r="D22" s="1339" t="s">
        <v>2120</v>
      </c>
      <c r="E22" s="1340">
        <v>17548</v>
      </c>
      <c r="F22" s="1340"/>
      <c r="G22" s="1340">
        <v>17548</v>
      </c>
      <c r="H22" s="1340"/>
      <c r="I22" s="1340"/>
      <c r="J22" s="1340"/>
      <c r="K22" s="1340"/>
      <c r="L22" s="1337">
        <f t="shared" si="0"/>
        <v>17548</v>
      </c>
      <c r="M22" s="1340"/>
    </row>
    <row r="23" spans="2:14" ht="20.100000000000001" customHeight="1" x14ac:dyDescent="0.2">
      <c r="B23" s="1954" t="s">
        <v>2115</v>
      </c>
      <c r="C23" s="1955">
        <v>10.555</v>
      </c>
      <c r="D23" s="1339" t="s">
        <v>2124</v>
      </c>
      <c r="E23" s="1340"/>
      <c r="F23" s="1340">
        <v>15412</v>
      </c>
      <c r="G23" s="1340"/>
      <c r="H23" s="1340"/>
      <c r="I23" s="1340">
        <v>15412</v>
      </c>
      <c r="J23" s="1340"/>
      <c r="K23" s="1340"/>
      <c r="L23" s="1337">
        <f t="shared" si="0"/>
        <v>15412</v>
      </c>
      <c r="M23" s="1340"/>
    </row>
    <row r="24" spans="2:14" ht="20.100000000000001" customHeight="1" x14ac:dyDescent="0.2">
      <c r="B24" s="1954" t="s">
        <v>2116</v>
      </c>
      <c r="C24" s="1955"/>
      <c r="D24" s="1339"/>
      <c r="E24" s="1340">
        <f t="shared" ref="E24:K24" si="2">SUM(E18:E23)</f>
        <v>557496</v>
      </c>
      <c r="F24" s="1340">
        <f t="shared" si="2"/>
        <v>635834</v>
      </c>
      <c r="G24" s="1340">
        <f t="shared" si="2"/>
        <v>557496</v>
      </c>
      <c r="H24" s="1340">
        <f t="shared" si="2"/>
        <v>0</v>
      </c>
      <c r="I24" s="1340">
        <f t="shared" si="2"/>
        <v>635834</v>
      </c>
      <c r="J24" s="1340">
        <f t="shared" si="2"/>
        <v>0</v>
      </c>
      <c r="K24" s="1340">
        <f t="shared" si="2"/>
        <v>0</v>
      </c>
      <c r="L24" s="1337">
        <f t="shared" si="0"/>
        <v>1193330</v>
      </c>
      <c r="M24" s="1340">
        <f>SUM(M18:M23)</f>
        <v>0</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954" t="s">
        <v>2117</v>
      </c>
      <c r="C26" s="1338"/>
      <c r="D26" s="1339"/>
      <c r="E26" s="1340">
        <f t="shared" ref="E26:K26" si="3">E24+E15</f>
        <v>734620</v>
      </c>
      <c r="F26" s="1340">
        <f t="shared" si="3"/>
        <v>859249</v>
      </c>
      <c r="G26" s="1340">
        <f t="shared" si="3"/>
        <v>734620</v>
      </c>
      <c r="H26" s="1340">
        <f t="shared" si="3"/>
        <v>0</v>
      </c>
      <c r="I26" s="1340">
        <f t="shared" si="3"/>
        <v>859249</v>
      </c>
      <c r="J26" s="1340">
        <f t="shared" si="3"/>
        <v>0</v>
      </c>
      <c r="K26" s="1340">
        <f t="shared" si="3"/>
        <v>0</v>
      </c>
      <c r="L26" s="1337">
        <f t="shared" si="0"/>
        <v>1593869</v>
      </c>
      <c r="M26" s="1340">
        <f>M24+M15</f>
        <v>0</v>
      </c>
    </row>
    <row r="27" spans="2:14" ht="20.100000000000001" customHeight="1" x14ac:dyDescent="0.2">
      <c r="B27" s="1954"/>
      <c r="C27" s="1338"/>
      <c r="D27" s="1339"/>
      <c r="E27" s="1340"/>
      <c r="F27" s="1340"/>
      <c r="G27" s="1340"/>
      <c r="H27" s="1340"/>
      <c r="I27" s="1340"/>
      <c r="J27" s="1340"/>
      <c r="K27" s="1340"/>
      <c r="L27" s="1337"/>
      <c r="M27" s="1340"/>
    </row>
    <row r="28" spans="2:14" ht="20.100000000000001" customHeight="1" x14ac:dyDescent="0.2">
      <c r="B28" s="1954" t="s">
        <v>2125</v>
      </c>
      <c r="C28" s="1338"/>
      <c r="D28" s="1339"/>
      <c r="E28" s="1340">
        <f t="shared" ref="E28:K28" si="4">E26</f>
        <v>734620</v>
      </c>
      <c r="F28" s="1340">
        <f t="shared" si="4"/>
        <v>859249</v>
      </c>
      <c r="G28" s="1340">
        <f t="shared" si="4"/>
        <v>734620</v>
      </c>
      <c r="H28" s="1340">
        <f t="shared" si="4"/>
        <v>0</v>
      </c>
      <c r="I28" s="1340">
        <f t="shared" si="4"/>
        <v>859249</v>
      </c>
      <c r="J28" s="1340">
        <f t="shared" si="4"/>
        <v>0</v>
      </c>
      <c r="K28" s="1340">
        <f t="shared" si="4"/>
        <v>0</v>
      </c>
      <c r="L28" s="1337">
        <f t="shared" si="0"/>
        <v>1593869</v>
      </c>
      <c r="M28" s="1340">
        <f>M26</f>
        <v>0</v>
      </c>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1836</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1947</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1307</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1837</v>
      </c>
      <c r="C38" s="1362"/>
      <c r="D38" s="1362"/>
      <c r="E38" s="1362"/>
      <c r="F38" s="1362"/>
      <c r="G38" s="1362"/>
      <c r="H38" s="1362"/>
      <c r="I38" s="1363"/>
      <c r="J38" s="1363"/>
      <c r="K38" s="1363"/>
      <c r="L38" s="1363"/>
      <c r="M38" s="1363"/>
    </row>
    <row r="39" spans="2:13" ht="11.25" customHeight="1" x14ac:dyDescent="0.2">
      <c r="B39" s="1364" t="s">
        <v>1665</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1838</v>
      </c>
      <c r="C41" s="1363"/>
      <c r="D41" s="1363"/>
      <c r="E41" s="1363"/>
      <c r="F41" s="1363"/>
      <c r="G41" s="1363"/>
      <c r="H41" s="1363"/>
      <c r="I41" s="1363"/>
      <c r="J41" s="1363"/>
      <c r="K41" s="1363"/>
      <c r="L41" s="1363"/>
      <c r="M41" s="1363"/>
    </row>
    <row r="42" spans="2:13" ht="11.25" customHeight="1" x14ac:dyDescent="0.2">
      <c r="B42" s="1297" t="s">
        <v>1666</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1839</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1840</v>
      </c>
      <c r="C46" s="1365"/>
      <c r="D46" s="1366"/>
      <c r="E46" s="1297"/>
      <c r="F46" s="1297"/>
      <c r="G46" s="1297"/>
      <c r="H46" s="1297"/>
      <c r="I46" s="1297"/>
      <c r="J46" s="1297"/>
      <c r="K46" s="1367"/>
      <c r="L46" s="1367"/>
      <c r="M46" s="1297"/>
    </row>
    <row r="47" spans="2:13" ht="11.25" customHeight="1" x14ac:dyDescent="0.2">
      <c r="B47" s="1297" t="s">
        <v>1667</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verticalCentered="1"/>
  <pageMargins left="1" right="1" top="1" bottom="1" header="0.25" footer="0.75"/>
  <pageSetup scale="69"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7" zoomScaleNormal="100" workbookViewId="0">
      <selection activeCell="A15" sqref="A15:F15"/>
    </sheetView>
  </sheetViews>
  <sheetFormatPr defaultColWidth="33.5703125" defaultRowHeight="12.75" x14ac:dyDescent="0.2"/>
  <cols>
    <col min="1" max="1" width="0.140625" style="317" customWidth="1"/>
    <col min="2" max="2" width="38.28515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Massac County CUSD 1</v>
      </c>
      <c r="C1" s="2463"/>
      <c r="D1" s="2463"/>
      <c r="E1" s="2463"/>
      <c r="F1" s="2463"/>
      <c r="G1" s="2463"/>
      <c r="H1" s="2463"/>
      <c r="I1" s="2463"/>
      <c r="J1" s="2463"/>
      <c r="K1" s="2463"/>
      <c r="L1" s="2463"/>
      <c r="M1" s="2463"/>
    </row>
    <row r="2" spans="2:14" ht="15" x14ac:dyDescent="0.2">
      <c r="B2" s="2464">
        <f>'Single Audit Cover'!E7</f>
        <v>21061001026</v>
      </c>
      <c r="C2" s="2464"/>
      <c r="D2" s="2464"/>
      <c r="E2" s="2464"/>
      <c r="F2" s="2464"/>
      <c r="G2" s="2464"/>
      <c r="H2" s="2464"/>
      <c r="I2" s="2464"/>
      <c r="J2" s="2464"/>
      <c r="K2" s="2464"/>
      <c r="L2" s="2464"/>
      <c r="M2" s="2464"/>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1326</v>
      </c>
      <c r="E6" s="1303" t="s">
        <v>548</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4"/>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54" t="s">
        <v>2125</v>
      </c>
      <c r="C11" s="1335"/>
      <c r="D11" s="1336"/>
      <c r="E11" s="1337"/>
      <c r="F11" s="1337"/>
      <c r="G11" s="1337"/>
      <c r="H11" s="1337"/>
      <c r="I11" s="1337"/>
      <c r="J11" s="1337"/>
      <c r="K11" s="1337"/>
      <c r="L11" s="1337"/>
      <c r="M11" s="1337"/>
    </row>
    <row r="12" spans="2:14" ht="20.100000000000001" customHeight="1" x14ac:dyDescent="0.2">
      <c r="B12" s="1954"/>
      <c r="C12" s="1338"/>
      <c r="D12" s="1339"/>
      <c r="E12" s="1340"/>
      <c r="F12" s="1340"/>
      <c r="G12" s="1340"/>
      <c r="H12" s="1340"/>
      <c r="I12" s="1340"/>
      <c r="J12" s="1340"/>
      <c r="K12" s="1340"/>
      <c r="L12" s="1337"/>
      <c r="M12" s="1340"/>
    </row>
    <row r="13" spans="2:14" ht="20.100000000000001" customHeight="1" x14ac:dyDescent="0.2">
      <c r="B13" s="1954" t="s">
        <v>2126</v>
      </c>
      <c r="C13" s="1338"/>
      <c r="D13" s="1339"/>
      <c r="E13" s="1340"/>
      <c r="F13" s="1340"/>
      <c r="G13" s="1340"/>
      <c r="H13" s="1340"/>
      <c r="I13" s="1340"/>
      <c r="J13" s="1340"/>
      <c r="K13" s="1340"/>
      <c r="L13" s="1337"/>
      <c r="M13" s="1340"/>
    </row>
    <row r="14" spans="2:14" ht="20.100000000000001" customHeight="1" x14ac:dyDescent="0.2">
      <c r="B14" s="1954" t="s">
        <v>2110</v>
      </c>
      <c r="C14" s="1338"/>
      <c r="D14" s="1339"/>
      <c r="E14" s="1340"/>
      <c r="F14" s="1340"/>
      <c r="G14" s="1340"/>
      <c r="H14" s="1340"/>
      <c r="I14" s="1340"/>
      <c r="J14" s="1340"/>
      <c r="K14" s="1340"/>
      <c r="L14" s="1337"/>
      <c r="M14" s="1340"/>
    </row>
    <row r="15" spans="2:14" ht="20.100000000000001" customHeight="1" x14ac:dyDescent="0.2">
      <c r="B15" s="1954" t="s">
        <v>2127</v>
      </c>
      <c r="C15" s="1338">
        <v>84.01</v>
      </c>
      <c r="D15" s="1339" t="s">
        <v>2131</v>
      </c>
      <c r="E15" s="1340">
        <v>418042</v>
      </c>
      <c r="F15" s="1340">
        <v>182296</v>
      </c>
      <c r="G15" s="1340">
        <v>586270</v>
      </c>
      <c r="H15" s="1340"/>
      <c r="I15" s="1340">
        <v>14068</v>
      </c>
      <c r="J15" s="1340"/>
      <c r="K15" s="1340"/>
      <c r="L15" s="1337">
        <f t="shared" ref="L15:L23" si="0">+G15+I15+K15</f>
        <v>600338</v>
      </c>
      <c r="M15" s="1340">
        <v>889870</v>
      </c>
    </row>
    <row r="16" spans="2:14" ht="20.100000000000001" customHeight="1" x14ac:dyDescent="0.2">
      <c r="B16" s="1954" t="s">
        <v>2127</v>
      </c>
      <c r="C16" s="1338">
        <v>84.01</v>
      </c>
      <c r="D16" s="1339" t="s">
        <v>2133</v>
      </c>
      <c r="E16" s="1340"/>
      <c r="F16" s="1340">
        <v>386335</v>
      </c>
      <c r="G16" s="1340"/>
      <c r="H16" s="1340"/>
      <c r="I16" s="1340">
        <v>638404</v>
      </c>
      <c r="J16" s="1340"/>
      <c r="K16" s="1340">
        <v>89608</v>
      </c>
      <c r="L16" s="1337">
        <f t="shared" si="0"/>
        <v>728012</v>
      </c>
      <c r="M16" s="1340">
        <v>1089693</v>
      </c>
    </row>
    <row r="17" spans="2:14" ht="20.100000000000001" customHeight="1" x14ac:dyDescent="0.2">
      <c r="B17" s="1954" t="s">
        <v>2128</v>
      </c>
      <c r="C17" s="1338"/>
      <c r="D17" s="1339"/>
      <c r="E17" s="1340">
        <f t="shared" ref="E17:K17" si="1">SUM(E15:E16)</f>
        <v>418042</v>
      </c>
      <c r="F17" s="1340">
        <f t="shared" si="1"/>
        <v>568631</v>
      </c>
      <c r="G17" s="1340">
        <f t="shared" si="1"/>
        <v>586270</v>
      </c>
      <c r="H17" s="1340">
        <f t="shared" si="1"/>
        <v>0</v>
      </c>
      <c r="I17" s="1340">
        <f t="shared" si="1"/>
        <v>652472</v>
      </c>
      <c r="J17" s="1340">
        <f t="shared" si="1"/>
        <v>0</v>
      </c>
      <c r="K17" s="1340">
        <f t="shared" si="1"/>
        <v>89608</v>
      </c>
      <c r="L17" s="1337">
        <f t="shared" si="0"/>
        <v>1328350</v>
      </c>
      <c r="M17" s="1340">
        <f>SUM(M15:M16)</f>
        <v>1979563</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954" t="s">
        <v>2110</v>
      </c>
      <c r="C19" s="1955"/>
      <c r="D19" s="1956"/>
      <c r="E19" s="1340"/>
      <c r="F19" s="1340"/>
      <c r="G19" s="1340"/>
      <c r="H19" s="1340"/>
      <c r="I19" s="1340"/>
      <c r="J19" s="1340"/>
      <c r="K19" s="1340"/>
      <c r="L19" s="1337"/>
      <c r="M19" s="1340"/>
    </row>
    <row r="20" spans="2:14" ht="20.100000000000001" customHeight="1" x14ac:dyDescent="0.2">
      <c r="B20" s="1954" t="s">
        <v>2129</v>
      </c>
      <c r="C20" s="1955">
        <v>84.027000000000001</v>
      </c>
      <c r="D20" s="1956" t="s">
        <v>2132</v>
      </c>
      <c r="E20" s="1340">
        <v>252969</v>
      </c>
      <c r="F20" s="1340">
        <v>104111</v>
      </c>
      <c r="G20" s="1340">
        <v>316042</v>
      </c>
      <c r="H20" s="1340"/>
      <c r="I20" s="1340">
        <v>41038</v>
      </c>
      <c r="J20" s="1340"/>
      <c r="K20" s="1340"/>
      <c r="L20" s="1337">
        <f t="shared" si="0"/>
        <v>357080</v>
      </c>
      <c r="M20" s="1340">
        <v>563175</v>
      </c>
    </row>
    <row r="21" spans="2:14" ht="20.100000000000001" customHeight="1" x14ac:dyDescent="0.2">
      <c r="B21" s="1954" t="s">
        <v>2129</v>
      </c>
      <c r="C21" s="1955">
        <v>84.027000000000001</v>
      </c>
      <c r="D21" s="1956" t="s">
        <v>2134</v>
      </c>
      <c r="E21" s="1340"/>
      <c r="F21" s="1340">
        <v>275442</v>
      </c>
      <c r="G21" s="1340"/>
      <c r="H21" s="1340"/>
      <c r="I21" s="1340">
        <v>396398</v>
      </c>
      <c r="J21" s="1340"/>
      <c r="K21" s="1340">
        <v>2783</v>
      </c>
      <c r="L21" s="1337">
        <f t="shared" si="0"/>
        <v>399181</v>
      </c>
      <c r="M21" s="1340">
        <v>600040</v>
      </c>
    </row>
    <row r="22" spans="2:14" ht="20.100000000000001" customHeight="1" x14ac:dyDescent="0.2">
      <c r="B22" s="1954" t="s">
        <v>2129</v>
      </c>
      <c r="C22" s="1955">
        <v>84.027000000000001</v>
      </c>
      <c r="D22" s="1956" t="s">
        <v>2135</v>
      </c>
      <c r="E22" s="1340"/>
      <c r="F22" s="1340">
        <v>11182</v>
      </c>
      <c r="G22" s="1340"/>
      <c r="H22" s="1340"/>
      <c r="I22" s="1340">
        <v>11182</v>
      </c>
      <c r="J22" s="1340"/>
      <c r="K22" s="1340"/>
      <c r="L22" s="1337">
        <f t="shared" si="0"/>
        <v>11182</v>
      </c>
      <c r="M22" s="1340"/>
    </row>
    <row r="23" spans="2:14" ht="20.100000000000001" customHeight="1" x14ac:dyDescent="0.2">
      <c r="B23" s="1954" t="s">
        <v>2130</v>
      </c>
      <c r="C23" s="1955"/>
      <c r="D23" s="1956"/>
      <c r="E23" s="1340">
        <f t="shared" ref="E23:K23" si="2">SUM(E20:E22)</f>
        <v>252969</v>
      </c>
      <c r="F23" s="1340">
        <f t="shared" si="2"/>
        <v>390735</v>
      </c>
      <c r="G23" s="1340">
        <f t="shared" si="2"/>
        <v>316042</v>
      </c>
      <c r="H23" s="1340">
        <f t="shared" si="2"/>
        <v>0</v>
      </c>
      <c r="I23" s="1340">
        <f t="shared" si="2"/>
        <v>448618</v>
      </c>
      <c r="J23" s="1340">
        <f t="shared" si="2"/>
        <v>0</v>
      </c>
      <c r="K23" s="1340">
        <f t="shared" si="2"/>
        <v>2783</v>
      </c>
      <c r="L23" s="1337">
        <f t="shared" si="0"/>
        <v>767443</v>
      </c>
      <c r="M23" s="1340">
        <f>SUM(M20:M22)</f>
        <v>1163215</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1730</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2073</v>
      </c>
      <c r="C53" s="179">
        <v>22</v>
      </c>
      <c r="D53" s="247" t="s">
        <v>1536</v>
      </c>
      <c r="E53" s="248"/>
      <c r="F53" s="249"/>
      <c r="G53" s="249" t="s">
        <v>1535</v>
      </c>
      <c r="H53" s="250">
        <v>36847</v>
      </c>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t="s">
        <v>2259</v>
      </c>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1389</v>
      </c>
      <c r="B70" s="2099"/>
      <c r="C70" s="2099"/>
      <c r="D70" s="2099"/>
      <c r="E70" s="2100"/>
      <c r="F70" s="2100"/>
      <c r="G70" s="2100"/>
      <c r="H70" s="2100"/>
      <c r="I70" s="210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1386</v>
      </c>
      <c r="B83" s="2101"/>
      <c r="C83" s="2101"/>
      <c r="D83" s="210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1396</v>
      </c>
      <c r="D117" s="2094"/>
      <c r="E117" s="2095"/>
      <c r="F117" s="2095"/>
      <c r="G117" s="2095"/>
      <c r="H117" s="209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2018</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6" zoomScaleNormal="100" workbookViewId="0">
      <selection activeCell="A15" sqref="A15:F15"/>
    </sheetView>
  </sheetViews>
  <sheetFormatPr defaultColWidth="33.5703125" defaultRowHeight="12.75" x14ac:dyDescent="0.2"/>
  <cols>
    <col min="1" max="1" width="0.140625" style="317" customWidth="1"/>
    <col min="2" max="2" width="40.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Massac County CUSD 1</v>
      </c>
      <c r="C1" s="2463"/>
      <c r="D1" s="2463"/>
      <c r="E1" s="2463"/>
      <c r="F1" s="2463"/>
      <c r="G1" s="2463"/>
      <c r="H1" s="2463"/>
      <c r="I1" s="2463"/>
      <c r="J1" s="2463"/>
      <c r="K1" s="2463"/>
      <c r="L1" s="2463"/>
      <c r="M1" s="2463"/>
    </row>
    <row r="2" spans="2:14" ht="15" x14ac:dyDescent="0.2">
      <c r="B2" s="2464">
        <f>'Single Audit Cover'!E7</f>
        <v>21061001026</v>
      </c>
      <c r="C2" s="2464"/>
      <c r="D2" s="2464"/>
      <c r="E2" s="2464"/>
      <c r="F2" s="2464"/>
      <c r="G2" s="2464"/>
      <c r="H2" s="2464"/>
      <c r="I2" s="2464"/>
      <c r="J2" s="2464"/>
      <c r="K2" s="2464"/>
      <c r="L2" s="2464"/>
      <c r="M2" s="2464"/>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1326</v>
      </c>
      <c r="E6" s="1303" t="s">
        <v>548</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4"/>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54" t="s">
        <v>2126</v>
      </c>
      <c r="C11" s="1957"/>
      <c r="D11" s="1958"/>
      <c r="E11" s="1337"/>
      <c r="F11" s="1337"/>
      <c r="G11" s="1337"/>
      <c r="H11" s="1337"/>
      <c r="I11" s="1337"/>
      <c r="J11" s="1337"/>
      <c r="K11" s="1337"/>
      <c r="L11" s="1337"/>
      <c r="M11" s="1337"/>
    </row>
    <row r="12" spans="2:14" ht="20.100000000000001" customHeight="1" x14ac:dyDescent="0.2">
      <c r="B12" s="1954" t="s">
        <v>2110</v>
      </c>
      <c r="C12" s="1955"/>
      <c r="D12" s="1956"/>
      <c r="E12" s="1340"/>
      <c r="F12" s="1340"/>
      <c r="G12" s="1340"/>
      <c r="H12" s="1340"/>
      <c r="I12" s="1340"/>
      <c r="J12" s="1340"/>
      <c r="K12" s="1340"/>
      <c r="L12" s="1337"/>
      <c r="M12" s="1340"/>
    </row>
    <row r="13" spans="2:14" ht="20.100000000000001" customHeight="1" x14ac:dyDescent="0.2">
      <c r="B13" s="1954" t="s">
        <v>2136</v>
      </c>
      <c r="C13" s="1955">
        <v>84.173000000000002</v>
      </c>
      <c r="D13" s="1956" t="s">
        <v>2141</v>
      </c>
      <c r="E13" s="1340">
        <v>30650</v>
      </c>
      <c r="F13" s="1340">
        <v>11338</v>
      </c>
      <c r="G13" s="1340">
        <v>39087</v>
      </c>
      <c r="H13" s="1340"/>
      <c r="I13" s="1340">
        <v>2901</v>
      </c>
      <c r="J13" s="1340"/>
      <c r="K13" s="1340"/>
      <c r="L13" s="1337">
        <f t="shared" ref="L13:L27" si="0">+G13+I13+K13</f>
        <v>41988</v>
      </c>
      <c r="M13" s="1340">
        <v>41988</v>
      </c>
    </row>
    <row r="14" spans="2:14" ht="20.100000000000001" customHeight="1" x14ac:dyDescent="0.2">
      <c r="B14" s="1954" t="s">
        <v>2136</v>
      </c>
      <c r="C14" s="1955">
        <v>84.173000000000002</v>
      </c>
      <c r="D14" s="1956" t="s">
        <v>2143</v>
      </c>
      <c r="E14" s="1340"/>
      <c r="F14" s="1340">
        <v>21928</v>
      </c>
      <c r="G14" s="1340"/>
      <c r="H14" s="1340"/>
      <c r="I14" s="1340">
        <v>30703</v>
      </c>
      <c r="J14" s="1340"/>
      <c r="K14" s="1340"/>
      <c r="L14" s="1337">
        <f t="shared" si="0"/>
        <v>30703</v>
      </c>
      <c r="M14" s="1340">
        <v>31532</v>
      </c>
    </row>
    <row r="15" spans="2:14" ht="20.100000000000001" customHeight="1" x14ac:dyDescent="0.2">
      <c r="B15" s="1954" t="s">
        <v>2137</v>
      </c>
      <c r="C15" s="1955"/>
      <c r="D15" s="1956"/>
      <c r="E15" s="1340">
        <f t="shared" ref="E15:K15" si="1">SUM(E13:E14)</f>
        <v>30650</v>
      </c>
      <c r="F15" s="1340">
        <f t="shared" si="1"/>
        <v>33266</v>
      </c>
      <c r="G15" s="1340">
        <f t="shared" si="1"/>
        <v>39087</v>
      </c>
      <c r="H15" s="1340">
        <f t="shared" si="1"/>
        <v>0</v>
      </c>
      <c r="I15" s="1340">
        <f t="shared" si="1"/>
        <v>33604</v>
      </c>
      <c r="J15" s="1340">
        <f t="shared" si="1"/>
        <v>0</v>
      </c>
      <c r="K15" s="1340">
        <f t="shared" si="1"/>
        <v>0</v>
      </c>
      <c r="L15" s="1337">
        <f t="shared" si="0"/>
        <v>72691</v>
      </c>
      <c r="M15" s="1340">
        <f>SUM(M13:M14)</f>
        <v>73520</v>
      </c>
    </row>
    <row r="16" spans="2:14" ht="20.100000000000001" customHeight="1" x14ac:dyDescent="0.2">
      <c r="B16" s="1954"/>
      <c r="C16" s="1955"/>
      <c r="D16" s="1956"/>
      <c r="E16" s="1340"/>
      <c r="F16" s="1340"/>
      <c r="G16" s="1340"/>
      <c r="H16" s="1340"/>
      <c r="I16" s="1340"/>
      <c r="J16" s="1340"/>
      <c r="K16" s="1340"/>
      <c r="L16" s="1337">
        <f t="shared" si="0"/>
        <v>0</v>
      </c>
      <c r="M16" s="1340"/>
    </row>
    <row r="17" spans="2:14" ht="20.100000000000001" customHeight="1" x14ac:dyDescent="0.2">
      <c r="B17" s="1954" t="s">
        <v>2138</v>
      </c>
      <c r="C17" s="1955"/>
      <c r="D17" s="1956"/>
      <c r="E17" s="1340">
        <f>E15+'SEFA (2)'!E23</f>
        <v>283619</v>
      </c>
      <c r="F17" s="1340">
        <f>F15+'SEFA (2)'!F23</f>
        <v>424001</v>
      </c>
      <c r="G17" s="1340">
        <f>G15+'SEFA (2)'!G23</f>
        <v>355129</v>
      </c>
      <c r="H17" s="1340">
        <f>H15+'SEFA (2)'!H23</f>
        <v>0</v>
      </c>
      <c r="I17" s="1340">
        <f>I15+'SEFA (2)'!I23</f>
        <v>482222</v>
      </c>
      <c r="J17" s="1340">
        <f>J15+'SEFA (2)'!J23</f>
        <v>0</v>
      </c>
      <c r="K17" s="1340">
        <f>K15+'SEFA (2)'!K23</f>
        <v>2783</v>
      </c>
      <c r="L17" s="1337">
        <f t="shared" si="0"/>
        <v>840134</v>
      </c>
      <c r="M17" s="1340">
        <f>M15+'SEFA (2)'!M23</f>
        <v>1236735</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954" t="s">
        <v>2110</v>
      </c>
      <c r="C19" s="1955"/>
      <c r="D19" s="1956"/>
      <c r="E19" s="1340"/>
      <c r="F19" s="1340"/>
      <c r="G19" s="1340"/>
      <c r="H19" s="1340"/>
      <c r="I19" s="1340"/>
      <c r="J19" s="1340"/>
      <c r="K19" s="1340"/>
      <c r="L19" s="1337"/>
      <c r="M19" s="1340"/>
    </row>
    <row r="20" spans="2:14" ht="20.100000000000001" customHeight="1" x14ac:dyDescent="0.2">
      <c r="B20" s="1954" t="s">
        <v>2139</v>
      </c>
      <c r="C20" s="1955">
        <v>84.358000000000004</v>
      </c>
      <c r="D20" s="1956" t="s">
        <v>2142</v>
      </c>
      <c r="E20" s="1340">
        <v>40902</v>
      </c>
      <c r="F20" s="1340">
        <v>461</v>
      </c>
      <c r="G20" s="1340">
        <v>41363</v>
      </c>
      <c r="H20" s="1340"/>
      <c r="I20" s="1340"/>
      <c r="J20" s="1340"/>
      <c r="K20" s="1340"/>
      <c r="L20" s="1337">
        <f t="shared" si="0"/>
        <v>41363</v>
      </c>
      <c r="M20" s="1340">
        <v>41363</v>
      </c>
    </row>
    <row r="21" spans="2:14" ht="20.100000000000001" customHeight="1" x14ac:dyDescent="0.2">
      <c r="B21" s="1954" t="s">
        <v>2139</v>
      </c>
      <c r="C21" s="1955">
        <v>84.358000000000004</v>
      </c>
      <c r="D21" s="1956" t="s">
        <v>2144</v>
      </c>
      <c r="E21" s="1340"/>
      <c r="F21" s="1340">
        <v>37454</v>
      </c>
      <c r="G21" s="1340"/>
      <c r="H21" s="1340"/>
      <c r="I21" s="1340">
        <v>37454</v>
      </c>
      <c r="J21" s="1340"/>
      <c r="K21" s="1340"/>
      <c r="L21" s="1337">
        <f t="shared" si="0"/>
        <v>37454</v>
      </c>
      <c r="M21" s="1340">
        <v>39519</v>
      </c>
    </row>
    <row r="22" spans="2:14" ht="20.100000000000001" customHeight="1" x14ac:dyDescent="0.2">
      <c r="B22" s="1954" t="s">
        <v>2140</v>
      </c>
      <c r="C22" s="1955"/>
      <c r="D22" s="1956"/>
      <c r="E22" s="1340">
        <f t="shared" ref="E22:K22" si="2">SUM(E20:E21)</f>
        <v>40902</v>
      </c>
      <c r="F22" s="1340">
        <f t="shared" si="2"/>
        <v>37915</v>
      </c>
      <c r="G22" s="1340">
        <f t="shared" si="2"/>
        <v>41363</v>
      </c>
      <c r="H22" s="1340">
        <f t="shared" si="2"/>
        <v>0</v>
      </c>
      <c r="I22" s="1340">
        <f t="shared" si="2"/>
        <v>37454</v>
      </c>
      <c r="J22" s="1340">
        <f t="shared" si="2"/>
        <v>0</v>
      </c>
      <c r="K22" s="1340">
        <f t="shared" si="2"/>
        <v>0</v>
      </c>
      <c r="L22" s="1337">
        <f t="shared" si="0"/>
        <v>78817</v>
      </c>
      <c r="M22" s="1340">
        <f>SUM(M20:M21)</f>
        <v>80882</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6" zoomScaleNormal="100" workbookViewId="0">
      <selection activeCell="A15" sqref="A15:F15"/>
    </sheetView>
  </sheetViews>
  <sheetFormatPr defaultColWidth="33.5703125" defaultRowHeight="12.75" x14ac:dyDescent="0.2"/>
  <cols>
    <col min="1" max="1" width="0.140625" style="317" customWidth="1"/>
    <col min="2" max="2" width="39.140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Massac County CUSD 1</v>
      </c>
      <c r="C1" s="2463"/>
      <c r="D1" s="2463"/>
      <c r="E1" s="2463"/>
      <c r="F1" s="2463"/>
      <c r="G1" s="2463"/>
      <c r="H1" s="2463"/>
      <c r="I1" s="2463"/>
      <c r="J1" s="2463"/>
      <c r="K1" s="2463"/>
      <c r="L1" s="2463"/>
      <c r="M1" s="2463"/>
    </row>
    <row r="2" spans="2:14" ht="15" x14ac:dyDescent="0.2">
      <c r="B2" s="2464">
        <f>'Single Audit Cover'!E7</f>
        <v>21061001026</v>
      </c>
      <c r="C2" s="2464"/>
      <c r="D2" s="2464"/>
      <c r="E2" s="2464"/>
      <c r="F2" s="2464"/>
      <c r="G2" s="2464"/>
      <c r="H2" s="2464"/>
      <c r="I2" s="2464"/>
      <c r="J2" s="2464"/>
      <c r="K2" s="2464"/>
      <c r="L2" s="2464"/>
      <c r="M2" s="2464"/>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1326</v>
      </c>
      <c r="E6" s="1303" t="s">
        <v>548</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4"/>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54" t="s">
        <v>2126</v>
      </c>
      <c r="C11" s="1957"/>
      <c r="D11" s="1958"/>
      <c r="E11" s="1337"/>
      <c r="F11" s="1337"/>
      <c r="G11" s="1337"/>
      <c r="H11" s="1337"/>
      <c r="I11" s="1337"/>
      <c r="J11" s="1337"/>
      <c r="K11" s="1337"/>
      <c r="L11" s="1337"/>
      <c r="M11" s="1337"/>
    </row>
    <row r="12" spans="2:14" ht="20.100000000000001" customHeight="1" x14ac:dyDescent="0.2">
      <c r="B12" s="1954" t="s">
        <v>2110</v>
      </c>
      <c r="C12" s="1955"/>
      <c r="D12" s="1956"/>
      <c r="E12" s="1340"/>
      <c r="F12" s="1340"/>
      <c r="G12" s="1340"/>
      <c r="H12" s="1340"/>
      <c r="I12" s="1340"/>
      <c r="J12" s="1340"/>
      <c r="K12" s="1340"/>
      <c r="L12" s="1337"/>
      <c r="M12" s="1340"/>
    </row>
    <row r="13" spans="2:14" ht="20.100000000000001" customHeight="1" x14ac:dyDescent="0.2">
      <c r="B13" s="1954" t="s">
        <v>2145</v>
      </c>
      <c r="C13" s="1955">
        <v>84.367000000000004</v>
      </c>
      <c r="D13" s="1956" t="s">
        <v>2154</v>
      </c>
      <c r="E13" s="1340">
        <v>88500</v>
      </c>
      <c r="F13" s="1340">
        <v>28331</v>
      </c>
      <c r="G13" s="1340">
        <v>116831</v>
      </c>
      <c r="H13" s="1340"/>
      <c r="I13" s="1340"/>
      <c r="J13" s="1340"/>
      <c r="K13" s="1340"/>
      <c r="L13" s="1337">
        <f t="shared" ref="L13:L27" si="0">+G13+I13+K13</f>
        <v>116831</v>
      </c>
      <c r="M13" s="1340">
        <v>116831</v>
      </c>
    </row>
    <row r="14" spans="2:14" ht="20.100000000000001" customHeight="1" x14ac:dyDescent="0.2">
      <c r="B14" s="1954" t="s">
        <v>2145</v>
      </c>
      <c r="C14" s="1955">
        <v>84.367000000000004</v>
      </c>
      <c r="D14" s="1956" t="s">
        <v>2156</v>
      </c>
      <c r="E14" s="1340"/>
      <c r="F14" s="1340">
        <v>58531</v>
      </c>
      <c r="G14" s="1340"/>
      <c r="H14" s="1340"/>
      <c r="I14" s="1340">
        <v>81720</v>
      </c>
      <c r="J14" s="1340"/>
      <c r="K14" s="1340">
        <v>13000</v>
      </c>
      <c r="L14" s="1337">
        <f t="shared" si="0"/>
        <v>94720</v>
      </c>
      <c r="M14" s="1340">
        <v>103022</v>
      </c>
    </row>
    <row r="15" spans="2:14" ht="20.100000000000001" customHeight="1" x14ac:dyDescent="0.2">
      <c r="B15" s="1954" t="s">
        <v>2146</v>
      </c>
      <c r="C15" s="1955"/>
      <c r="D15" s="1956"/>
      <c r="E15" s="1340">
        <f t="shared" ref="E15:K15" si="1">SUM(E13:E14)</f>
        <v>88500</v>
      </c>
      <c r="F15" s="1340">
        <f t="shared" si="1"/>
        <v>86862</v>
      </c>
      <c r="G15" s="1340">
        <f t="shared" si="1"/>
        <v>116831</v>
      </c>
      <c r="H15" s="1340">
        <f t="shared" si="1"/>
        <v>0</v>
      </c>
      <c r="I15" s="1340">
        <f t="shared" si="1"/>
        <v>81720</v>
      </c>
      <c r="J15" s="1340">
        <f t="shared" si="1"/>
        <v>0</v>
      </c>
      <c r="K15" s="1340">
        <f t="shared" si="1"/>
        <v>13000</v>
      </c>
      <c r="L15" s="1337">
        <f t="shared" si="0"/>
        <v>211551</v>
      </c>
      <c r="M15" s="1340">
        <f>SUM(M13:M14)</f>
        <v>219853</v>
      </c>
    </row>
    <row r="16" spans="2:14" ht="20.100000000000001" customHeight="1" x14ac:dyDescent="0.2">
      <c r="B16" s="1954"/>
      <c r="C16" s="1955"/>
      <c r="D16" s="1956"/>
      <c r="E16" s="1340"/>
      <c r="F16" s="1340"/>
      <c r="G16" s="1340"/>
      <c r="H16" s="1340"/>
      <c r="I16" s="1340"/>
      <c r="J16" s="1340"/>
      <c r="K16" s="1340"/>
      <c r="L16" s="1337"/>
      <c r="M16" s="1340"/>
    </row>
    <row r="17" spans="2:14" ht="20.100000000000001" customHeight="1" x14ac:dyDescent="0.2">
      <c r="B17" s="1954" t="s">
        <v>2147</v>
      </c>
      <c r="C17" s="1955"/>
      <c r="D17" s="1956"/>
      <c r="E17" s="1340">
        <f>E15+'SEFA (3)'!E22+'SEFA (3)'!E17+'SEFA (2)'!E17</f>
        <v>831063</v>
      </c>
      <c r="F17" s="1340">
        <f>F15+'SEFA (3)'!F22+'SEFA (3)'!F17+'SEFA (2)'!F17</f>
        <v>1117409</v>
      </c>
      <c r="G17" s="1340">
        <f>G15+'SEFA (3)'!G22+'SEFA (3)'!G17+'SEFA (2)'!G17</f>
        <v>1099593</v>
      </c>
      <c r="H17" s="1340">
        <f>H15+'SEFA (3)'!H22+'SEFA (3)'!H17+'SEFA (2)'!H17</f>
        <v>0</v>
      </c>
      <c r="I17" s="1340">
        <f>I15+'SEFA (3)'!I22+'SEFA (3)'!I17+'SEFA (2)'!I17</f>
        <v>1253868</v>
      </c>
      <c r="J17" s="1340">
        <f>J15+'SEFA (3)'!J22+'SEFA (3)'!J17+'SEFA (2)'!J17</f>
        <v>0</v>
      </c>
      <c r="K17" s="1340">
        <f>K15+'SEFA (3)'!K22+'SEFA (3)'!K17+'SEFA (2)'!K17</f>
        <v>105391</v>
      </c>
      <c r="L17" s="1337">
        <f t="shared" si="0"/>
        <v>2458852</v>
      </c>
      <c r="M17" s="1340">
        <f>M15+'SEFA (3)'!M22+'SEFA (3)'!M17+'SEFA (2)'!M17</f>
        <v>3517033</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954" t="s">
        <v>2148</v>
      </c>
      <c r="C19" s="1955"/>
      <c r="D19" s="1956"/>
      <c r="E19" s="1340"/>
      <c r="F19" s="1340"/>
      <c r="G19" s="1340"/>
      <c r="H19" s="1340"/>
      <c r="I19" s="1340"/>
      <c r="J19" s="1340"/>
      <c r="K19" s="1340"/>
      <c r="L19" s="1337"/>
      <c r="M19" s="1340"/>
    </row>
    <row r="20" spans="2:14" ht="20.100000000000001" customHeight="1" x14ac:dyDescent="0.2">
      <c r="B20" s="1954" t="s">
        <v>2149</v>
      </c>
      <c r="C20" s="1955"/>
      <c r="D20" s="1956"/>
      <c r="E20" s="1340"/>
      <c r="F20" s="1340"/>
      <c r="G20" s="1340"/>
      <c r="H20" s="1340"/>
      <c r="I20" s="1340"/>
      <c r="J20" s="1340"/>
      <c r="K20" s="1340"/>
      <c r="L20" s="1337"/>
      <c r="M20" s="1340"/>
    </row>
    <row r="21" spans="2:14" ht="20.100000000000001" customHeight="1" x14ac:dyDescent="0.2">
      <c r="B21" s="1954" t="s">
        <v>2150</v>
      </c>
      <c r="C21" s="1955">
        <v>93.778000000000006</v>
      </c>
      <c r="D21" s="1956" t="s">
        <v>2155</v>
      </c>
      <c r="E21" s="1340">
        <v>35576</v>
      </c>
      <c r="F21" s="1340"/>
      <c r="G21" s="1340">
        <v>37058</v>
      </c>
      <c r="H21" s="1340"/>
      <c r="I21" s="1340"/>
      <c r="J21" s="1340"/>
      <c r="K21" s="1340"/>
      <c r="L21" s="1337">
        <f t="shared" si="0"/>
        <v>37058</v>
      </c>
      <c r="M21" s="1340"/>
    </row>
    <row r="22" spans="2:14" ht="20.100000000000001" customHeight="1" x14ac:dyDescent="0.2">
      <c r="B22" s="1954" t="s">
        <v>2150</v>
      </c>
      <c r="C22" s="1955">
        <v>93.778000000000006</v>
      </c>
      <c r="D22" s="1956" t="s">
        <v>2157</v>
      </c>
      <c r="E22" s="1340"/>
      <c r="F22" s="1340">
        <v>33261</v>
      </c>
      <c r="G22" s="1340"/>
      <c r="H22" s="1340"/>
      <c r="I22" s="1340">
        <v>34646</v>
      </c>
      <c r="J22" s="1340"/>
      <c r="K22" s="1340"/>
      <c r="L22" s="1337">
        <f t="shared" si="0"/>
        <v>34646</v>
      </c>
      <c r="M22" s="1340"/>
    </row>
    <row r="23" spans="2:14" ht="20.100000000000001" customHeight="1" x14ac:dyDescent="0.2">
      <c r="B23" s="1954" t="s">
        <v>2151</v>
      </c>
      <c r="C23" s="1955"/>
      <c r="D23" s="1956"/>
      <c r="E23" s="1340">
        <f t="shared" ref="E23:K23" si="2">SUM(E21:E22)</f>
        <v>35576</v>
      </c>
      <c r="F23" s="1340">
        <f t="shared" si="2"/>
        <v>33261</v>
      </c>
      <c r="G23" s="1340">
        <f t="shared" si="2"/>
        <v>37058</v>
      </c>
      <c r="H23" s="1340">
        <f t="shared" si="2"/>
        <v>0</v>
      </c>
      <c r="I23" s="1340">
        <f t="shared" si="2"/>
        <v>34646</v>
      </c>
      <c r="J23" s="1340">
        <f t="shared" si="2"/>
        <v>0</v>
      </c>
      <c r="K23" s="1340">
        <f t="shared" si="2"/>
        <v>0</v>
      </c>
      <c r="L23" s="1337">
        <f t="shared" si="0"/>
        <v>71704</v>
      </c>
      <c r="M23" s="1340">
        <f>SUM(M21:M22)</f>
        <v>0</v>
      </c>
    </row>
    <row r="24" spans="2:14" ht="20.100000000000001" customHeight="1" x14ac:dyDescent="0.2">
      <c r="B24" s="1954"/>
      <c r="C24" s="1955"/>
      <c r="D24" s="1956"/>
      <c r="E24" s="1340"/>
      <c r="F24" s="1340"/>
      <c r="G24" s="1340"/>
      <c r="H24" s="1340"/>
      <c r="I24" s="1340"/>
      <c r="J24" s="1340"/>
      <c r="K24" s="1340"/>
      <c r="L24" s="1337"/>
      <c r="M24" s="1340"/>
    </row>
    <row r="25" spans="2:14" ht="20.100000000000001" customHeight="1" x14ac:dyDescent="0.2">
      <c r="B25" s="1954" t="s">
        <v>2152</v>
      </c>
      <c r="C25" s="1955"/>
      <c r="D25" s="1956"/>
      <c r="E25" s="1340">
        <f t="shared" ref="E25:K25" si="3">E23</f>
        <v>35576</v>
      </c>
      <c r="F25" s="1340">
        <f t="shared" si="3"/>
        <v>33261</v>
      </c>
      <c r="G25" s="1340">
        <f t="shared" si="3"/>
        <v>37058</v>
      </c>
      <c r="H25" s="1340">
        <f t="shared" si="3"/>
        <v>0</v>
      </c>
      <c r="I25" s="1340">
        <f t="shared" si="3"/>
        <v>34646</v>
      </c>
      <c r="J25" s="1340">
        <f t="shared" si="3"/>
        <v>0</v>
      </c>
      <c r="K25" s="1340">
        <f t="shared" si="3"/>
        <v>0</v>
      </c>
      <c r="L25" s="1337">
        <f t="shared" si="0"/>
        <v>71704</v>
      </c>
      <c r="M25" s="1340">
        <f>M23</f>
        <v>0</v>
      </c>
    </row>
    <row r="26" spans="2:14" ht="20.100000000000001" customHeight="1" x14ac:dyDescent="0.2">
      <c r="B26" s="1954"/>
      <c r="C26" s="1955"/>
      <c r="D26" s="1956"/>
      <c r="E26" s="1340"/>
      <c r="F26" s="1340"/>
      <c r="G26" s="1340"/>
      <c r="H26" s="1340"/>
      <c r="I26" s="1340"/>
      <c r="J26" s="1340"/>
      <c r="K26" s="1340"/>
      <c r="L26" s="1337"/>
      <c r="M26" s="1340"/>
    </row>
    <row r="27" spans="2:14" ht="20.100000000000001" customHeight="1" x14ac:dyDescent="0.2">
      <c r="B27" s="1954" t="s">
        <v>2153</v>
      </c>
      <c r="C27" s="1955"/>
      <c r="D27" s="1956"/>
      <c r="E27" s="1340">
        <f>E25+E17+' SEFA'!E28</f>
        <v>1601259</v>
      </c>
      <c r="F27" s="1340">
        <f>F25+F17+' SEFA'!F28</f>
        <v>2009919</v>
      </c>
      <c r="G27" s="1340">
        <f>G25+G17+' SEFA'!G28</f>
        <v>1871271</v>
      </c>
      <c r="H27" s="1340">
        <f>H25+H17+' SEFA'!H28</f>
        <v>0</v>
      </c>
      <c r="I27" s="1340">
        <f>I25+I17+' SEFA'!I28</f>
        <v>2147763</v>
      </c>
      <c r="J27" s="1340">
        <f>J25+J17+' SEFA'!J28</f>
        <v>0</v>
      </c>
      <c r="K27" s="1340">
        <f>K25+K17+' SEFA'!K28</f>
        <v>105391</v>
      </c>
      <c r="L27" s="1337">
        <f t="shared" si="0"/>
        <v>4124425</v>
      </c>
      <c r="M27" s="1340">
        <f>M25+M17+' SEFA'!M28</f>
        <v>3517033</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activeCell="A15" sqref="A15:F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Massac County CUSD 1</v>
      </c>
      <c r="B1" s="2468"/>
      <c r="C1" s="2468"/>
      <c r="D1" s="2468"/>
      <c r="E1" s="2468"/>
      <c r="F1" s="2468"/>
    </row>
    <row r="2" spans="1:7" ht="13.5" customHeight="1" x14ac:dyDescent="0.2">
      <c r="A2" s="2464">
        <f>'Single Audit Cover'!E7</f>
        <v>21061001026</v>
      </c>
      <c r="B2" s="2464"/>
      <c r="C2" s="2464"/>
      <c r="D2" s="2464"/>
      <c r="E2" s="2464"/>
      <c r="F2" s="2464"/>
      <c r="G2" s="1272"/>
    </row>
    <row r="3" spans="1:7" ht="15.75" customHeight="1" x14ac:dyDescent="0.2">
      <c r="A3" s="2469" t="s">
        <v>1332</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3" t="s">
        <v>1830</v>
      </c>
      <c r="C6" s="317"/>
      <c r="D6" s="317"/>
    </row>
    <row r="7" spans="1:7" ht="60.95" customHeight="1" x14ac:dyDescent="0.2">
      <c r="A7" s="2467" t="s">
        <v>2158</v>
      </c>
      <c r="B7" s="2467"/>
      <c r="C7" s="2467"/>
      <c r="D7" s="2467"/>
      <c r="E7" s="2467"/>
      <c r="F7" s="2467"/>
    </row>
    <row r="8" spans="1:7" ht="12" customHeight="1" x14ac:dyDescent="0.2">
      <c r="A8" s="1273"/>
      <c r="B8" s="1279"/>
      <c r="C8" s="1279"/>
      <c r="D8" s="1279"/>
    </row>
    <row r="9" spans="1:7" ht="15" customHeight="1" x14ac:dyDescent="0.2">
      <c r="A9" s="1274" t="s">
        <v>1831</v>
      </c>
      <c r="B9" s="1277"/>
      <c r="C9" s="1277"/>
      <c r="D9" s="1277"/>
      <c r="E9" s="1275"/>
      <c r="F9" s="1275"/>
      <c r="G9" s="1275"/>
    </row>
    <row r="10" spans="1:7" ht="15" customHeight="1" x14ac:dyDescent="0.2">
      <c r="A10" s="1276" t="s">
        <v>1627</v>
      </c>
      <c r="B10" s="1277"/>
      <c r="C10" s="1278"/>
      <c r="D10" s="1277" t="s">
        <v>1628</v>
      </c>
      <c r="E10" s="1278" t="s">
        <v>2073</v>
      </c>
      <c r="F10" s="1277" t="s">
        <v>101</v>
      </c>
      <c r="G10" s="1275"/>
    </row>
    <row r="11" spans="1:7" ht="12" customHeight="1" x14ac:dyDescent="0.2">
      <c r="A11" s="1276"/>
      <c r="B11" s="1277"/>
      <c r="C11" s="1923"/>
      <c r="D11" s="1277"/>
      <c r="E11" s="1923"/>
      <c r="F11" s="1277"/>
      <c r="G11" s="1275"/>
    </row>
    <row r="12" spans="1:7" x14ac:dyDescent="0.2">
      <c r="A12" s="1273" t="s">
        <v>1668</v>
      </c>
      <c r="C12" s="1257"/>
      <c r="D12" s="1257"/>
    </row>
    <row r="13" spans="1:7" ht="20.25" customHeight="1" x14ac:dyDescent="0.2">
      <c r="A13" s="2467" t="s">
        <v>2160</v>
      </c>
      <c r="B13" s="2467"/>
      <c r="C13" s="2467"/>
      <c r="D13" s="2467"/>
      <c r="E13" s="2467"/>
      <c r="F13" s="2467"/>
    </row>
    <row r="14" spans="1:7" ht="9.75" customHeight="1" x14ac:dyDescent="0.2">
      <c r="C14" s="1257"/>
      <c r="D14" s="1257"/>
    </row>
    <row r="15" spans="1:7" ht="13.5" customHeight="1" x14ac:dyDescent="0.2">
      <c r="C15" s="1867" t="s">
        <v>1331</v>
      </c>
      <c r="D15" s="2472" t="s">
        <v>1330</v>
      </c>
      <c r="E15" s="2472"/>
      <c r="F15" s="2472"/>
    </row>
    <row r="16" spans="1:7" ht="13.5" customHeight="1" x14ac:dyDescent="0.2">
      <c r="A16" s="1279"/>
      <c r="B16" s="1273" t="s">
        <v>1329</v>
      </c>
      <c r="C16" s="1867" t="s">
        <v>1328</v>
      </c>
      <c r="D16" s="2473" t="s">
        <v>1669</v>
      </c>
      <c r="E16" s="2473"/>
      <c r="F16" s="2473"/>
    </row>
    <row r="17" spans="1:6" ht="20.45" customHeight="1" x14ac:dyDescent="0.2">
      <c r="A17" s="1280"/>
      <c r="B17" s="1281" t="s">
        <v>2159</v>
      </c>
      <c r="C17" s="1282"/>
      <c r="D17" s="2471"/>
      <c r="E17" s="2471"/>
      <c r="F17" s="2471"/>
    </row>
    <row r="18" spans="1:6" ht="20.65" customHeight="1" x14ac:dyDescent="0.2">
      <c r="A18" s="1280"/>
      <c r="B18" s="1281"/>
      <c r="C18" s="1282"/>
      <c r="D18" s="2471"/>
      <c r="E18" s="2471"/>
      <c r="F18" s="2471"/>
    </row>
    <row r="19" spans="1:6" ht="20.65" customHeight="1" x14ac:dyDescent="0.2">
      <c r="A19" s="1280"/>
      <c r="B19" s="1281"/>
      <c r="C19" s="1282"/>
      <c r="D19" s="2471"/>
      <c r="E19" s="2471"/>
      <c r="F19" s="2471"/>
    </row>
    <row r="20" spans="1:6" ht="20.65" customHeight="1" x14ac:dyDescent="0.2">
      <c r="A20" s="1280"/>
      <c r="B20" s="1281"/>
      <c r="C20" s="1282"/>
      <c r="D20" s="2471"/>
      <c r="E20" s="2471"/>
      <c r="F20" s="2471"/>
    </row>
    <row r="21" spans="1:6" ht="20.65" customHeight="1" x14ac:dyDescent="0.2">
      <c r="A21" s="1280"/>
      <c r="B21" s="1281"/>
      <c r="C21" s="1282"/>
      <c r="D21" s="2471"/>
      <c r="E21" s="2471"/>
      <c r="F21" s="2471"/>
    </row>
    <row r="22" spans="1:6" ht="20.65" customHeight="1" x14ac:dyDescent="0.2">
      <c r="A22" s="1280"/>
      <c r="B22" s="1281"/>
      <c r="C22" s="1282"/>
      <c r="D22" s="2471"/>
      <c r="E22" s="2471"/>
      <c r="F22" s="2471"/>
    </row>
    <row r="23" spans="1:6" ht="20.65" customHeight="1" x14ac:dyDescent="0.2">
      <c r="A23" s="1280"/>
      <c r="B23" s="1281"/>
      <c r="C23" s="1282"/>
      <c r="D23" s="2471"/>
      <c r="E23" s="2471"/>
      <c r="F23" s="2471"/>
    </row>
    <row r="24" spans="1:6" ht="20.65" customHeight="1" x14ac:dyDescent="0.2">
      <c r="A24" s="1280"/>
      <c r="B24" s="1281"/>
      <c r="C24" s="1282"/>
      <c r="D24" s="2471"/>
      <c r="E24" s="2471"/>
      <c r="F24" s="2471"/>
    </row>
    <row r="25" spans="1:6" ht="20.65" customHeight="1" x14ac:dyDescent="0.2">
      <c r="A25" s="1280"/>
      <c r="B25" s="1281"/>
      <c r="C25" s="1282"/>
      <c r="D25" s="2471"/>
      <c r="E25" s="2471"/>
      <c r="F25" s="2471"/>
    </row>
    <row r="26" spans="1:6" ht="20.65" customHeight="1" x14ac:dyDescent="0.2">
      <c r="A26" s="1280"/>
      <c r="B26" s="1281"/>
      <c r="C26" s="1282"/>
      <c r="D26" s="2471"/>
      <c r="E26" s="2471"/>
      <c r="F26" s="2471"/>
    </row>
    <row r="27" spans="1:6" ht="20.65" customHeight="1" x14ac:dyDescent="0.2">
      <c r="A27" s="1280"/>
      <c r="B27" s="1281"/>
      <c r="C27" s="1282"/>
      <c r="D27" s="2471"/>
      <c r="E27" s="2471"/>
      <c r="F27" s="2471"/>
    </row>
    <row r="28" spans="1:6" ht="20.65" customHeight="1" x14ac:dyDescent="0.2">
      <c r="A28" s="1280"/>
      <c r="B28" s="1281"/>
      <c r="C28" s="1282"/>
      <c r="D28" s="2471"/>
      <c r="E28" s="2471"/>
      <c r="F28" s="2471"/>
    </row>
    <row r="29" spans="1:6" ht="20.65" customHeight="1" x14ac:dyDescent="0.2">
      <c r="A29" s="1280"/>
      <c r="B29" s="1281"/>
      <c r="C29" s="1282"/>
      <c r="D29" s="2471"/>
      <c r="E29" s="2471"/>
      <c r="F29" s="2471"/>
    </row>
    <row r="30" spans="1:6" ht="12" customHeight="1" x14ac:dyDescent="0.2">
      <c r="A30" s="328"/>
      <c r="B30" s="328"/>
      <c r="C30" s="1475"/>
      <c r="D30" s="1924"/>
      <c r="E30" s="1283"/>
    </row>
    <row r="31" spans="1:6" ht="12" customHeight="1" x14ac:dyDescent="0.2">
      <c r="A31" s="1284" t="s">
        <v>1629</v>
      </c>
      <c r="B31" s="328"/>
      <c r="C31" s="1475"/>
      <c r="D31" s="1924"/>
      <c r="E31" s="1283"/>
    </row>
    <row r="32" spans="1:6" ht="30" customHeight="1" x14ac:dyDescent="0.2">
      <c r="A32" s="2475" t="s">
        <v>2161</v>
      </c>
      <c r="B32" s="2475"/>
      <c r="C32" s="2475"/>
      <c r="D32" s="2475"/>
      <c r="E32" s="2475"/>
      <c r="F32" s="2475"/>
    </row>
    <row r="33" spans="1:6" ht="13.5" customHeight="1" x14ac:dyDescent="0.2">
      <c r="A33" s="328" t="s">
        <v>1508</v>
      </c>
      <c r="B33" s="328"/>
      <c r="C33" s="1285">
        <v>89519</v>
      </c>
      <c r="D33" s="1924"/>
      <c r="E33" s="1283"/>
    </row>
    <row r="34" spans="1:6" ht="13.5" customHeight="1" x14ac:dyDescent="0.2">
      <c r="A34" s="328" t="s">
        <v>1945</v>
      </c>
      <c r="B34" s="328"/>
      <c r="C34" s="1286">
        <v>0</v>
      </c>
      <c r="D34" s="1924" t="s">
        <v>1670</v>
      </c>
      <c r="E34" s="2476">
        <f>+C33+C34</f>
        <v>89519</v>
      </c>
      <c r="F34" s="2477"/>
    </row>
    <row r="35" spans="1:6" ht="12" customHeight="1" x14ac:dyDescent="0.2">
      <c r="A35" s="328"/>
      <c r="B35" s="328"/>
      <c r="C35" s="1925"/>
      <c r="D35" s="1924"/>
      <c r="E35" s="1287"/>
      <c r="F35" s="1288"/>
    </row>
    <row r="36" spans="1:6" ht="13.5" customHeight="1" x14ac:dyDescent="0.2">
      <c r="A36" s="1284" t="s">
        <v>1630</v>
      </c>
      <c r="B36" s="328"/>
      <c r="C36" s="1475"/>
      <c r="D36" s="1924"/>
      <c r="E36" s="1283"/>
    </row>
    <row r="37" spans="1:6" ht="14.25" customHeight="1" x14ac:dyDescent="0.2">
      <c r="A37" s="328" t="s">
        <v>1562</v>
      </c>
      <c r="B37" s="328"/>
      <c r="C37" s="1926"/>
      <c r="D37" s="1924"/>
      <c r="E37" s="1283"/>
    </row>
    <row r="38" spans="1:6" ht="14.25" customHeight="1" x14ac:dyDescent="0.2">
      <c r="A38" s="328"/>
      <c r="B38" s="328" t="s">
        <v>1509</v>
      </c>
      <c r="C38" s="1289">
        <v>0</v>
      </c>
      <c r="D38" s="1924"/>
      <c r="E38" s="1283"/>
    </row>
    <row r="39" spans="1:6" ht="14.25" customHeight="1" x14ac:dyDescent="0.2">
      <c r="A39" s="328"/>
      <c r="B39" s="328" t="s">
        <v>1510</v>
      </c>
      <c r="C39" s="1289">
        <v>0</v>
      </c>
      <c r="D39" s="1924"/>
      <c r="E39" s="1283"/>
    </row>
    <row r="40" spans="1:6" ht="14.25" customHeight="1" x14ac:dyDescent="0.2">
      <c r="A40" s="328"/>
      <c r="B40" s="328" t="s">
        <v>1511</v>
      </c>
      <c r="C40" s="1289">
        <v>0</v>
      </c>
      <c r="D40" s="1924"/>
      <c r="E40" s="1283"/>
    </row>
    <row r="41" spans="1:6" ht="14.25" customHeight="1" x14ac:dyDescent="0.2">
      <c r="A41" s="328"/>
      <c r="B41" s="328" t="s">
        <v>1512</v>
      </c>
      <c r="C41" s="1289">
        <v>0</v>
      </c>
      <c r="D41" s="1924"/>
      <c r="E41" s="1283"/>
    </row>
    <row r="42" spans="1:6" ht="14.25" customHeight="1" x14ac:dyDescent="0.2">
      <c r="A42" s="328" t="s">
        <v>1513</v>
      </c>
      <c r="B42" s="328"/>
      <c r="C42" s="1922">
        <v>0</v>
      </c>
      <c r="D42" s="1924"/>
      <c r="E42" s="1283"/>
    </row>
    <row r="43" spans="1:6" ht="14.25" customHeight="1" x14ac:dyDescent="0.2">
      <c r="A43" s="328" t="s">
        <v>1514</v>
      </c>
      <c r="B43" s="328"/>
      <c r="C43" s="1290" t="s">
        <v>401</v>
      </c>
      <c r="D43" s="1924"/>
      <c r="E43" s="1283"/>
    </row>
    <row r="44" spans="1:6" ht="14.25" customHeight="1" x14ac:dyDescent="0.2">
      <c r="A44" s="328"/>
      <c r="B44" s="328"/>
      <c r="C44" s="1926" t="s">
        <v>1515</v>
      </c>
      <c r="D44" s="1924"/>
      <c r="E44" s="1283"/>
    </row>
    <row r="45" spans="1:6" ht="13.5" customHeight="1" x14ac:dyDescent="0.2">
      <c r="B45" s="322"/>
      <c r="C45" s="1291"/>
      <c r="D45" s="1291"/>
    </row>
    <row r="46" spans="1:6" x14ac:dyDescent="0.2">
      <c r="A46" s="1292" t="s">
        <v>1832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8" t="s">
        <v>1671</v>
      </c>
      <c r="C49" s="2478"/>
      <c r="D49" s="2478"/>
      <c r="E49" s="1396"/>
    </row>
    <row r="50" spans="1:5" s="1297" customFormat="1" ht="3.75" customHeight="1" x14ac:dyDescent="0.2">
      <c r="A50" s="1296"/>
      <c r="B50" s="1866"/>
      <c r="C50" s="1866"/>
      <c r="D50" s="1866"/>
      <c r="E50" s="1396"/>
    </row>
    <row r="51" spans="1:5" s="1297" customFormat="1" ht="20.25" customHeight="1" x14ac:dyDescent="0.2">
      <c r="A51" s="1298">
        <v>6</v>
      </c>
      <c r="B51" s="2474" t="s">
        <v>1631</v>
      </c>
      <c r="C51" s="2474"/>
      <c r="D51" s="2474"/>
    </row>
    <row r="52" spans="1:5" ht="14.25" customHeight="1" x14ac:dyDescent="0.2">
      <c r="A52" s="1298"/>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A15" sqref="A15:F1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Massac County CUSD 1</v>
      </c>
      <c r="C1" s="2484"/>
      <c r="D1" s="2484"/>
      <c r="E1" s="2484"/>
      <c r="F1" s="2484"/>
      <c r="G1" s="2484"/>
      <c r="H1" s="2484"/>
      <c r="I1" s="2484"/>
      <c r="J1" s="1419"/>
    </row>
    <row r="2" spans="2:10" s="317" customFormat="1" ht="12.75" customHeight="1" x14ac:dyDescent="0.2">
      <c r="B2" s="2485">
        <f>'Single Audit Cover'!E7</f>
        <v>21061001026</v>
      </c>
      <c r="C2" s="2486"/>
      <c r="D2" s="2486"/>
      <c r="E2" s="2486"/>
      <c r="F2" s="2486"/>
      <c r="G2" s="2486"/>
      <c r="H2" s="2486"/>
      <c r="I2" s="2486"/>
      <c r="J2" s="1419"/>
    </row>
    <row r="3" spans="2:10" s="317" customFormat="1" ht="12.75" customHeight="1" x14ac:dyDescent="0.2">
      <c r="B3" s="2487" t="s">
        <v>1346</v>
      </c>
      <c r="C3" s="2488"/>
      <c r="D3" s="2488"/>
      <c r="E3" s="2488"/>
      <c r="F3" s="2488"/>
      <c r="G3" s="2488"/>
      <c r="H3" s="2488"/>
      <c r="I3" s="2488"/>
      <c r="J3" s="1420"/>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7" t="s">
        <v>1345</v>
      </c>
      <c r="C7" s="2488"/>
      <c r="D7" s="2488"/>
      <c r="E7" s="2488"/>
      <c r="F7" s="2488"/>
      <c r="G7" s="2488"/>
      <c r="H7" s="2488"/>
      <c r="I7" s="2488"/>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1344</v>
      </c>
      <c r="C10" s="1428"/>
      <c r="D10" s="1428"/>
      <c r="E10" s="1255"/>
    </row>
    <row r="11" spans="2:10" s="317" customFormat="1" ht="13.5" customHeight="1" x14ac:dyDescent="0.2">
      <c r="B11" s="1346" t="s">
        <v>1343</v>
      </c>
      <c r="C11" s="2489" t="s">
        <v>1226</v>
      </c>
      <c r="D11" s="2489"/>
      <c r="E11" s="1429"/>
      <c r="F11" s="1429"/>
      <c r="G11" s="1429"/>
    </row>
    <row r="12" spans="2:10" s="317" customFormat="1" ht="11.45" customHeight="1" x14ac:dyDescent="0.2">
      <c r="B12" s="1354"/>
      <c r="C12" s="1430" t="s">
        <v>1516</v>
      </c>
      <c r="D12" s="1431"/>
      <c r="E12" s="1255"/>
    </row>
    <row r="13" spans="2:10" s="317" customFormat="1" ht="12.75" customHeight="1" x14ac:dyDescent="0.2">
      <c r="B13" s="1432"/>
      <c r="C13" s="1384"/>
      <c r="D13" s="1384"/>
      <c r="E13" s="1255"/>
    </row>
    <row r="14" spans="2:10" s="317" customFormat="1" ht="12.75" customHeight="1" x14ac:dyDescent="0.2">
      <c r="B14" s="1365" t="s">
        <v>1342</v>
      </c>
      <c r="C14" s="1279"/>
      <c r="E14" s="1255"/>
    </row>
    <row r="15" spans="2:10" s="317" customFormat="1" ht="13.5" customHeight="1" x14ac:dyDescent="0.2">
      <c r="B15" s="1433" t="s">
        <v>1339</v>
      </c>
      <c r="C15" s="1434"/>
      <c r="D15" s="1395"/>
      <c r="E15" s="1435"/>
      <c r="F15" s="1297" t="s">
        <v>940</v>
      </c>
      <c r="G15" s="1435" t="s">
        <v>2073</v>
      </c>
      <c r="H15" s="1297" t="s">
        <v>1337</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1338</v>
      </c>
      <c r="C17" s="1434"/>
      <c r="D17" s="1395"/>
      <c r="E17" s="1436"/>
      <c r="F17" s="1254"/>
      <c r="G17" s="1436"/>
      <c r="H17" s="1297"/>
      <c r="I17" s="1297"/>
    </row>
    <row r="18" spans="2:9" s="317" customFormat="1" ht="12.75" customHeight="1" x14ac:dyDescent="0.2">
      <c r="B18" s="1433" t="s">
        <v>1517</v>
      </c>
      <c r="C18" s="1434"/>
      <c r="D18" s="1395"/>
      <c r="E18" s="1435" t="s">
        <v>2073</v>
      </c>
      <c r="F18" s="1297" t="s">
        <v>940</v>
      </c>
      <c r="G18" s="1435"/>
      <c r="H18" s="1297" t="s">
        <v>1337</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1672</v>
      </c>
      <c r="C20" s="1434"/>
      <c r="D20" s="1395"/>
      <c r="E20" s="1435"/>
      <c r="F20" s="1297" t="s">
        <v>940</v>
      </c>
      <c r="G20" s="1435" t="s">
        <v>2073</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1341</v>
      </c>
      <c r="C22" s="1437"/>
      <c r="D22" s="1428"/>
      <c r="E22" s="1380"/>
      <c r="F22" s="1297"/>
      <c r="G22" s="322"/>
      <c r="H22" s="1297"/>
      <c r="I22" s="1297"/>
    </row>
    <row r="23" spans="2:9" s="317" customFormat="1" ht="12.75" customHeight="1" x14ac:dyDescent="0.2">
      <c r="B23" s="1365" t="s">
        <v>1340</v>
      </c>
      <c r="C23" s="1279"/>
      <c r="E23" s="1380"/>
      <c r="F23" s="1297"/>
      <c r="G23" s="322"/>
      <c r="H23" s="1297"/>
      <c r="I23" s="1297"/>
    </row>
    <row r="24" spans="2:9" s="317" customFormat="1" ht="13.5" customHeight="1" x14ac:dyDescent="0.2">
      <c r="B24" s="1433" t="s">
        <v>1339</v>
      </c>
      <c r="C24" s="1434"/>
      <c r="D24" s="1395"/>
      <c r="E24" s="1435" t="s">
        <v>2073</v>
      </c>
      <c r="F24" s="1297" t="s">
        <v>940</v>
      </c>
      <c r="G24" s="1435"/>
      <c r="H24" s="1297" t="s">
        <v>1337</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1338</v>
      </c>
      <c r="C26" s="1434"/>
      <c r="D26" s="1395"/>
      <c r="E26" s="1436"/>
      <c r="F26" s="1254"/>
      <c r="G26" s="1436"/>
      <c r="H26" s="1297"/>
      <c r="I26" s="1297"/>
    </row>
    <row r="27" spans="2:9" s="317" customFormat="1" ht="12.75" customHeight="1" x14ac:dyDescent="0.2">
      <c r="B27" s="1433" t="s">
        <v>1517</v>
      </c>
      <c r="C27" s="1434"/>
      <c r="D27" s="1395"/>
      <c r="E27" s="1435"/>
      <c r="F27" s="1297" t="s">
        <v>940</v>
      </c>
      <c r="G27" s="1435" t="s">
        <v>2073</v>
      </c>
      <c r="H27" s="1297" t="s">
        <v>1337</v>
      </c>
      <c r="I27" s="1297"/>
    </row>
    <row r="28" spans="2:9" s="317" customFormat="1" ht="12.75" customHeight="1" x14ac:dyDescent="0.2">
      <c r="B28" s="1365"/>
      <c r="C28" s="1279"/>
      <c r="E28" s="1255"/>
    </row>
    <row r="29" spans="2:9" s="317" customFormat="1" ht="12.75" customHeight="1" x14ac:dyDescent="0.2">
      <c r="B29" s="1365" t="s">
        <v>1336</v>
      </c>
      <c r="C29" s="1279"/>
      <c r="D29" s="2490" t="s">
        <v>874</v>
      </c>
      <c r="E29" s="2490"/>
      <c r="F29" s="2490"/>
      <c r="G29" s="2490"/>
      <c r="H29" s="2490"/>
      <c r="I29" s="2490"/>
    </row>
    <row r="30" spans="2:9" s="317" customFormat="1" x14ac:dyDescent="0.2">
      <c r="B30" s="1365"/>
      <c r="C30" s="322"/>
      <c r="D30" s="1430" t="s">
        <v>1847</v>
      </c>
      <c r="E30" s="1431"/>
      <c r="F30" s="1431"/>
      <c r="G30" s="1431"/>
      <c r="H30" s="1431"/>
      <c r="I30" s="1431"/>
    </row>
    <row r="31" spans="2:9" s="317" customFormat="1" ht="9.9499999999999993" customHeight="1" x14ac:dyDescent="0.2">
      <c r="B31" s="1365"/>
      <c r="E31" s="1255"/>
    </row>
    <row r="32" spans="2:9" s="317" customFormat="1" x14ac:dyDescent="0.2">
      <c r="B32" s="1365" t="s">
        <v>1335</v>
      </c>
      <c r="C32" s="1279"/>
      <c r="E32" s="1255"/>
    </row>
    <row r="33" spans="2:9" ht="13.5" customHeight="1" x14ac:dyDescent="0.2">
      <c r="B33" s="1365" t="s">
        <v>1632</v>
      </c>
      <c r="C33" s="1279"/>
      <c r="E33" s="1435" t="s">
        <v>2073</v>
      </c>
      <c r="F33" s="1297" t="s">
        <v>940</v>
      </c>
      <c r="G33" s="1435"/>
      <c r="H33" s="1297" t="s">
        <v>101</v>
      </c>
    </row>
    <row r="35" spans="2:9" x14ac:dyDescent="0.2">
      <c r="B35" s="1438" t="s">
        <v>1848</v>
      </c>
      <c r="C35" s="1439"/>
      <c r="D35" s="1264"/>
    </row>
    <row r="36" spans="2:9" ht="6" customHeight="1" x14ac:dyDescent="0.2">
      <c r="B36" s="1438"/>
      <c r="C36" s="1439"/>
      <c r="D36" s="1264"/>
    </row>
    <row r="37" spans="2:9" ht="17.25" customHeight="1" x14ac:dyDescent="0.2">
      <c r="B37" s="1440" t="s">
        <v>1849</v>
      </c>
      <c r="C37" s="2491" t="s">
        <v>1850</v>
      </c>
      <c r="D37" s="2492"/>
      <c r="E37" s="2492"/>
      <c r="F37" s="2493"/>
      <c r="G37" s="2491" t="s">
        <v>1673</v>
      </c>
      <c r="H37" s="2492"/>
      <c r="I37" s="2493"/>
    </row>
    <row r="38" spans="2:9" ht="16.5" customHeight="1" x14ac:dyDescent="0.2">
      <c r="B38" s="1441" t="s">
        <v>2162</v>
      </c>
      <c r="C38" s="2479" t="s">
        <v>2163</v>
      </c>
      <c r="D38" s="2480"/>
      <c r="E38" s="2480"/>
      <c r="F38" s="2481"/>
      <c r="G38" s="2494">
        <v>859249</v>
      </c>
      <c r="H38" s="2495"/>
      <c r="I38" s="2496"/>
    </row>
    <row r="39" spans="2:9" ht="16.5" customHeight="1" x14ac:dyDescent="0.2">
      <c r="B39" s="1441"/>
      <c r="C39" s="2479"/>
      <c r="D39" s="2480"/>
      <c r="E39" s="2480"/>
      <c r="F39" s="2481"/>
      <c r="G39" s="2482"/>
      <c r="H39" s="2482"/>
      <c r="I39" s="2482"/>
    </row>
    <row r="40" spans="2:9" ht="16.5" customHeight="1" x14ac:dyDescent="0.2">
      <c r="B40" s="1441"/>
      <c r="C40" s="2479"/>
      <c r="D40" s="2480"/>
      <c r="E40" s="2480"/>
      <c r="F40" s="2481"/>
      <c r="G40" s="2482"/>
      <c r="H40" s="2482"/>
      <c r="I40" s="2482"/>
    </row>
    <row r="41" spans="2:9" ht="16.5" customHeight="1" x14ac:dyDescent="0.2">
      <c r="B41" s="1441"/>
      <c r="C41" s="2479"/>
      <c r="D41" s="2480"/>
      <c r="E41" s="2480"/>
      <c r="F41" s="2481"/>
      <c r="G41" s="2482"/>
      <c r="H41" s="2482"/>
      <c r="I41" s="2482"/>
    </row>
    <row r="42" spans="2:9" ht="16.5" customHeight="1" x14ac:dyDescent="0.2">
      <c r="B42" s="1441"/>
      <c r="C42" s="2479"/>
      <c r="D42" s="2480"/>
      <c r="E42" s="2480"/>
      <c r="F42" s="2481"/>
      <c r="G42" s="2482"/>
      <c r="H42" s="2482"/>
      <c r="I42" s="2482"/>
    </row>
    <row r="43" spans="2:9" ht="16.5" customHeight="1" x14ac:dyDescent="0.2">
      <c r="B43" s="1441"/>
      <c r="C43" s="2497" t="s">
        <v>1674</v>
      </c>
      <c r="D43" s="2498"/>
      <c r="E43" s="2498"/>
      <c r="F43" s="2499"/>
      <c r="G43" s="2500">
        <f>SUM(G38:I42)</f>
        <v>859249</v>
      </c>
      <c r="H43" s="2500"/>
      <c r="I43" s="2500"/>
    </row>
    <row r="44" spans="2:9" ht="12.75" customHeight="1" x14ac:dyDescent="0.2"/>
    <row r="45" spans="2:9" ht="12.75" customHeight="1" x14ac:dyDescent="0.2">
      <c r="B45" s="1432" t="s">
        <v>1948</v>
      </c>
      <c r="D45" s="2501">
        <v>2147763</v>
      </c>
      <c r="E45" s="2502"/>
    </row>
    <row r="46" spans="2:9" ht="5.25" customHeight="1" x14ac:dyDescent="0.2">
      <c r="B46" s="1442"/>
      <c r="D46" s="1443"/>
      <c r="E46" s="1444"/>
    </row>
    <row r="47" spans="2:9" ht="12.75" customHeight="1" x14ac:dyDescent="0.2">
      <c r="B47" s="1297" t="s">
        <v>1675</v>
      </c>
      <c r="C47" s="1297"/>
      <c r="D47" s="1445">
        <f>+G43/D45</f>
        <v>0.40006695338359027</v>
      </c>
      <c r="E47" s="1446"/>
      <c r="F47" s="1447"/>
      <c r="I47" s="1448"/>
    </row>
    <row r="48" spans="2:9" ht="9.9499999999999993" customHeight="1" x14ac:dyDescent="0.2"/>
    <row r="49" spans="1:9" x14ac:dyDescent="0.2">
      <c r="B49" s="1365" t="s">
        <v>1334</v>
      </c>
      <c r="C49" s="1279"/>
      <c r="D49" s="1279"/>
      <c r="E49" s="2503">
        <v>750000</v>
      </c>
      <c r="F49" s="2503"/>
      <c r="G49" s="2503"/>
      <c r="H49" s="322"/>
    </row>
    <row r="51" spans="1:9" ht="13.5" customHeight="1" x14ac:dyDescent="0.2">
      <c r="B51" s="1365" t="s">
        <v>1333</v>
      </c>
      <c r="C51" s="1279"/>
      <c r="E51" s="1435"/>
      <c r="F51" s="1297" t="s">
        <v>940</v>
      </c>
      <c r="G51" s="1435" t="s">
        <v>2073</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1851</v>
      </c>
      <c r="C54" s="1457"/>
      <c r="D54" s="1457"/>
    </row>
    <row r="55" spans="1:9" s="1458" customFormat="1" ht="12.75" customHeight="1" x14ac:dyDescent="0.2">
      <c r="A55" s="1455"/>
      <c r="B55" s="1459" t="s">
        <v>1676</v>
      </c>
      <c r="C55" s="1455"/>
      <c r="D55" s="1455"/>
    </row>
    <row r="56" spans="1:9" s="1458" customFormat="1" ht="12.75" customHeight="1" x14ac:dyDescent="0.2">
      <c r="A56" s="1455"/>
      <c r="B56" s="1459" t="s">
        <v>1677</v>
      </c>
      <c r="C56" s="1455"/>
      <c r="D56" s="1455"/>
    </row>
    <row r="57" spans="1:9" s="1458" customFormat="1" ht="3.95" customHeight="1" x14ac:dyDescent="0.2">
      <c r="A57" s="1455"/>
      <c r="B57" s="1459"/>
      <c r="C57" s="1455"/>
      <c r="D57" s="1455"/>
    </row>
    <row r="58" spans="1:9" s="1458" customFormat="1" ht="13.5" customHeight="1" x14ac:dyDescent="0.2">
      <c r="A58" s="1455"/>
      <c r="B58" s="1460" t="s">
        <v>1852</v>
      </c>
      <c r="C58" s="1461"/>
      <c r="D58" s="1461"/>
    </row>
    <row r="59" spans="1:9" s="1458" customFormat="1" ht="3.95" customHeight="1" x14ac:dyDescent="0.2">
      <c r="A59" s="1455"/>
      <c r="B59" s="1460"/>
      <c r="C59" s="1461"/>
      <c r="D59" s="1461"/>
    </row>
    <row r="60" spans="1:9" s="1458" customFormat="1" ht="13.5" customHeight="1" x14ac:dyDescent="0.2">
      <c r="A60" s="1455"/>
      <c r="B60" s="1460" t="s">
        <v>1853</v>
      </c>
      <c r="C60" s="1461"/>
      <c r="D60" s="1461"/>
    </row>
    <row r="61" spans="1:9" s="1458" customFormat="1" ht="3.95" customHeight="1" x14ac:dyDescent="0.2">
      <c r="A61" s="1455"/>
      <c r="B61" s="1460"/>
      <c r="C61" s="1461"/>
      <c r="D61" s="1461"/>
    </row>
    <row r="62" spans="1:9" s="1458" customFormat="1" ht="12.75" customHeight="1" x14ac:dyDescent="0.2">
      <c r="A62" s="1455"/>
      <c r="B62" s="1460" t="s">
        <v>1854</v>
      </c>
      <c r="C62" s="1461"/>
      <c r="D62" s="1461"/>
    </row>
    <row r="63" spans="1:9" s="1458" customFormat="1" ht="13.5" customHeight="1" x14ac:dyDescent="0.2">
      <c r="A63" s="1455"/>
      <c r="B63" s="1459" t="s">
        <v>1678</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1" right="1" top="1" bottom="1" header="0.51" footer="0.28999999999999998"/>
  <pageSetup scale="83"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15" sqref="A15:F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Massac County CUSD 1</v>
      </c>
      <c r="C1" s="2483"/>
      <c r="D1" s="2483"/>
      <c r="E1" s="2483"/>
      <c r="F1" s="2483"/>
      <c r="G1" s="2483"/>
      <c r="H1" s="2483"/>
      <c r="I1" s="2483"/>
      <c r="J1" s="2483"/>
      <c r="K1" s="2483"/>
      <c r="L1" s="1371"/>
      <c r="M1" s="1371"/>
    </row>
    <row r="2" spans="1:13" ht="12" customHeight="1" x14ac:dyDescent="0.2">
      <c r="B2" s="2485">
        <f>'Single Audit Cover'!E7</f>
        <v>21061001026</v>
      </c>
      <c r="C2" s="2485"/>
      <c r="D2" s="2485"/>
      <c r="E2" s="2485"/>
      <c r="F2" s="2485"/>
      <c r="G2" s="2485"/>
      <c r="H2" s="2485"/>
      <c r="I2" s="2485"/>
      <c r="J2" s="2485"/>
      <c r="K2" s="2485"/>
      <c r="L2" s="1372"/>
      <c r="M2" s="1373"/>
    </row>
    <row r="3" spans="1:13" ht="10.35" customHeight="1" x14ac:dyDescent="0.2">
      <c r="B3" s="2506" t="s">
        <v>1346</v>
      </c>
      <c r="C3" s="2506"/>
      <c r="D3" s="2506"/>
      <c r="E3" s="2506"/>
      <c r="F3" s="2506"/>
      <c r="G3" s="2506"/>
      <c r="H3" s="2506"/>
      <c r="I3" s="2506"/>
      <c r="J3" s="2506"/>
      <c r="K3" s="2506"/>
      <c r="L3" s="1374"/>
      <c r="M3" s="1374"/>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7" t="s">
        <v>1362</v>
      </c>
      <c r="C7" s="2507"/>
      <c r="D7" s="2508"/>
      <c r="E7" s="2508"/>
      <c r="F7" s="2508"/>
      <c r="G7" s="2508"/>
      <c r="H7" s="2508"/>
      <c r="I7" s="2508"/>
      <c r="J7" s="2508"/>
      <c r="K7" s="250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1841</v>
      </c>
      <c r="C10" s="1382" t="s">
        <v>1949</v>
      </c>
      <c r="D10" s="1383">
        <v>1</v>
      </c>
      <c r="E10" s="322"/>
      <c r="F10" s="1384" t="s">
        <v>1361</v>
      </c>
      <c r="G10" s="1385" t="s">
        <v>2073</v>
      </c>
      <c r="H10" s="1386" t="s">
        <v>1360</v>
      </c>
      <c r="I10" s="1385"/>
      <c r="J10" s="1387" t="s">
        <v>1359</v>
      </c>
      <c r="K10" s="322"/>
      <c r="L10" s="1378"/>
    </row>
    <row r="11" spans="1:13" ht="13.5" customHeight="1" x14ac:dyDescent="0.2">
      <c r="B11" s="322"/>
      <c r="C11" s="322"/>
      <c r="D11" s="322"/>
      <c r="E11" s="322"/>
      <c r="F11" s="322"/>
      <c r="G11" s="1380"/>
      <c r="H11" s="322"/>
      <c r="I11" s="1388" t="s">
        <v>1358</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1357</v>
      </c>
      <c r="C13" s="1390"/>
      <c r="D13" s="1391"/>
      <c r="E13" s="1391"/>
      <c r="F13" s="1391"/>
      <c r="G13" s="1392"/>
      <c r="H13" s="1391"/>
      <c r="I13" s="1392"/>
      <c r="J13" s="1391"/>
      <c r="K13" s="1391"/>
      <c r="L13" s="1393"/>
    </row>
    <row r="14" spans="1:13" ht="45.75" customHeight="1" x14ac:dyDescent="0.2">
      <c r="B14" s="2505" t="s">
        <v>2164</v>
      </c>
      <c r="C14" s="2505"/>
      <c r="D14" s="2505"/>
      <c r="E14" s="2505"/>
      <c r="F14" s="2505"/>
      <c r="G14" s="2505"/>
      <c r="H14" s="2505"/>
      <c r="I14" s="2505"/>
      <c r="J14" s="2505"/>
      <c r="K14" s="250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1356</v>
      </c>
      <c r="C16" s="1390"/>
      <c r="D16" s="1391"/>
      <c r="E16" s="1391"/>
      <c r="F16" s="1391"/>
      <c r="G16" s="1392"/>
      <c r="H16" s="1391"/>
      <c r="I16" s="1392"/>
      <c r="J16" s="1391"/>
      <c r="K16" s="1391"/>
      <c r="L16" s="1393"/>
    </row>
    <row r="17" spans="2:12" ht="45.75" customHeight="1" x14ac:dyDescent="0.2">
      <c r="B17" s="2505" t="s">
        <v>2166</v>
      </c>
      <c r="C17" s="2505"/>
      <c r="D17" s="2505"/>
      <c r="E17" s="2505"/>
      <c r="F17" s="2505"/>
      <c r="G17" s="2505"/>
      <c r="H17" s="2505"/>
      <c r="I17" s="2505"/>
      <c r="J17" s="2505"/>
      <c r="K17" s="2505"/>
      <c r="L17" s="1378"/>
    </row>
    <row r="18" spans="2:12" ht="4.5" customHeight="1" x14ac:dyDescent="0.2">
      <c r="B18" s="1395"/>
      <c r="C18" s="1395"/>
      <c r="L18" s="1378"/>
    </row>
    <row r="19" spans="2:12" s="1279" customFormat="1" ht="13.5" customHeight="1" x14ac:dyDescent="0.2">
      <c r="B19" s="1390" t="s">
        <v>1842</v>
      </c>
      <c r="C19" s="1390"/>
      <c r="D19" s="1391"/>
      <c r="E19" s="1391"/>
      <c r="F19" s="1391"/>
      <c r="G19" s="1392"/>
      <c r="H19" s="1391"/>
      <c r="I19" s="1392"/>
      <c r="J19" s="1391"/>
      <c r="K19" s="1391"/>
      <c r="L19" s="1393"/>
    </row>
    <row r="20" spans="2:12" ht="45.75" customHeight="1" x14ac:dyDescent="0.2">
      <c r="B20" s="2509" t="s">
        <v>2261</v>
      </c>
      <c r="C20" s="2509"/>
      <c r="D20" s="2505"/>
      <c r="E20" s="2505"/>
      <c r="F20" s="2505"/>
      <c r="G20" s="2505"/>
      <c r="H20" s="2505"/>
      <c r="I20" s="2505"/>
      <c r="J20" s="2505"/>
      <c r="K20" s="2505"/>
      <c r="L20" s="1378"/>
    </row>
    <row r="21" spans="2:12" ht="4.5" customHeight="1" x14ac:dyDescent="0.2">
      <c r="B21" s="1397"/>
      <c r="C21" s="1397"/>
      <c r="L21" s="1378"/>
    </row>
    <row r="22" spans="2:12" ht="13.5" customHeight="1" x14ac:dyDescent="0.2">
      <c r="B22" s="1390" t="s">
        <v>1355</v>
      </c>
      <c r="C22" s="1390"/>
      <c r="D22" s="1376"/>
      <c r="E22" s="1376"/>
      <c r="F22" s="1376"/>
      <c r="G22" s="1377"/>
      <c r="H22" s="1376"/>
      <c r="I22" s="1377"/>
      <c r="J22" s="1376"/>
      <c r="K22" s="1376"/>
      <c r="L22" s="1378"/>
    </row>
    <row r="23" spans="2:12" ht="45" customHeight="1" x14ac:dyDescent="0.2">
      <c r="B23" s="2505" t="s">
        <v>2165</v>
      </c>
      <c r="C23" s="2505"/>
      <c r="D23" s="2505"/>
      <c r="E23" s="2505"/>
      <c r="F23" s="2505"/>
      <c r="G23" s="2505"/>
      <c r="H23" s="2505"/>
      <c r="I23" s="2505"/>
      <c r="J23" s="2505"/>
      <c r="K23" s="2505"/>
      <c r="L23" s="1378"/>
    </row>
    <row r="24" spans="2:12" ht="4.5" customHeight="1" x14ac:dyDescent="0.2">
      <c r="B24" s="1395"/>
      <c r="C24" s="1395"/>
      <c r="L24" s="1378"/>
    </row>
    <row r="25" spans="2:12" ht="13.5" customHeight="1" x14ac:dyDescent="0.2">
      <c r="B25" s="1390" t="s">
        <v>1354</v>
      </c>
      <c r="C25" s="1390"/>
      <c r="D25" s="1376"/>
      <c r="E25" s="1376"/>
      <c r="F25" s="1376"/>
      <c r="G25" s="1377"/>
      <c r="H25" s="1376"/>
      <c r="I25" s="1377"/>
      <c r="J25" s="1376"/>
      <c r="K25" s="1376"/>
      <c r="L25" s="1378"/>
    </row>
    <row r="26" spans="2:12" ht="45.75" customHeight="1" x14ac:dyDescent="0.2">
      <c r="B26" s="2505" t="s">
        <v>2167</v>
      </c>
      <c r="C26" s="2505"/>
      <c r="D26" s="2505"/>
      <c r="E26" s="2505"/>
      <c r="F26" s="2505"/>
      <c r="G26" s="2505"/>
      <c r="H26" s="2505"/>
      <c r="I26" s="2505"/>
      <c r="J26" s="2505"/>
      <c r="K26" s="2505"/>
      <c r="L26" s="1378"/>
    </row>
    <row r="27" spans="2:12" ht="4.5" customHeight="1" x14ac:dyDescent="0.2">
      <c r="B27" s="1395"/>
      <c r="C27" s="1395"/>
      <c r="L27" s="1378"/>
    </row>
    <row r="28" spans="2:12" ht="13.5" customHeight="1" x14ac:dyDescent="0.2">
      <c r="B28" s="1398" t="s">
        <v>1353</v>
      </c>
      <c r="C28" s="1398"/>
      <c r="D28" s="1376"/>
      <c r="E28" s="1376"/>
      <c r="F28" s="1376"/>
      <c r="G28" s="1377"/>
      <c r="H28" s="1376"/>
      <c r="I28" s="1377"/>
      <c r="J28" s="1376"/>
      <c r="K28" s="1376"/>
      <c r="L28" s="1378"/>
    </row>
    <row r="29" spans="2:12" ht="45.75" customHeight="1" x14ac:dyDescent="0.2">
      <c r="B29" s="2504" t="s">
        <v>2168</v>
      </c>
      <c r="C29" s="2504"/>
      <c r="D29" s="2505"/>
      <c r="E29" s="2505"/>
      <c r="F29" s="2505"/>
      <c r="G29" s="2505"/>
      <c r="H29" s="2505"/>
      <c r="I29" s="2505"/>
      <c r="J29" s="2505"/>
      <c r="K29" s="250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1843</v>
      </c>
      <c r="C31" s="1400"/>
      <c r="D31" s="1375"/>
      <c r="E31" s="1376"/>
      <c r="F31" s="1376"/>
      <c r="G31" s="1377"/>
      <c r="H31" s="1376"/>
      <c r="I31" s="1377"/>
      <c r="J31" s="1376"/>
      <c r="K31" s="1376"/>
      <c r="L31" s="1378"/>
    </row>
    <row r="32" spans="2:12" s="322" customFormat="1" ht="44.25" customHeight="1" x14ac:dyDescent="0.2">
      <c r="B32" s="2504" t="s">
        <v>2246</v>
      </c>
      <c r="C32" s="2504"/>
      <c r="D32" s="2505"/>
      <c r="E32" s="2505"/>
      <c r="F32" s="2505"/>
      <c r="G32" s="2505"/>
      <c r="H32" s="2505"/>
      <c r="I32" s="2505"/>
      <c r="J32" s="2505"/>
      <c r="K32" s="2505"/>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1844</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1845</v>
      </c>
      <c r="C38" s="1417"/>
    </row>
    <row r="39" spans="1:13" ht="9.6" customHeight="1" x14ac:dyDescent="0.2">
      <c r="B39" s="1297" t="s">
        <v>1347</v>
      </c>
      <c r="C39" s="1297"/>
      <c r="M39" s="1418"/>
    </row>
    <row r="40" spans="1:13" ht="12.6" customHeight="1" x14ac:dyDescent="0.2">
      <c r="B40" s="1417" t="s">
        <v>1846</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19" zoomScale="110" zoomScaleNormal="110" workbookViewId="0">
      <selection activeCell="A15" sqref="A15:F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Massac County CUSD 1</v>
      </c>
      <c r="C1" s="2510"/>
      <c r="D1" s="2510"/>
      <c r="E1" s="2510"/>
      <c r="F1" s="2510"/>
      <c r="G1" s="2510"/>
      <c r="H1" s="2510"/>
      <c r="I1" s="2510"/>
      <c r="J1" s="2510"/>
      <c r="K1" s="2510"/>
      <c r="L1" s="1462"/>
    </row>
    <row r="2" spans="1:12" ht="12.75" customHeight="1" x14ac:dyDescent="0.2">
      <c r="B2" s="2511">
        <f>'Single Audit Cover'!E7</f>
        <v>21061001026</v>
      </c>
      <c r="C2" s="2511"/>
      <c r="D2" s="2511"/>
      <c r="E2" s="2511"/>
      <c r="F2" s="2511"/>
      <c r="G2" s="2511"/>
      <c r="H2" s="2511"/>
      <c r="I2" s="2511"/>
      <c r="J2" s="2511"/>
      <c r="K2" s="2511"/>
      <c r="L2" s="1463"/>
    </row>
    <row r="3" spans="1:12" ht="12.75" customHeight="1" x14ac:dyDescent="0.2">
      <c r="B3" s="2506" t="s">
        <v>1346</v>
      </c>
      <c r="C3" s="2506"/>
      <c r="D3" s="2506"/>
      <c r="E3" s="2506"/>
      <c r="F3" s="2506"/>
      <c r="G3" s="2506"/>
      <c r="H3" s="2506"/>
      <c r="I3" s="2506"/>
      <c r="J3" s="2506"/>
      <c r="K3" s="2506"/>
      <c r="L3" s="1374"/>
    </row>
    <row r="4" spans="1:12" ht="12.75" customHeight="1" x14ac:dyDescent="0.2">
      <c r="B4" s="2506" t="str">
        <f>'Single Audit Cover'!A4</f>
        <v>Year Ending June 30, 2018</v>
      </c>
      <c r="C4" s="2506"/>
      <c r="D4" s="2506"/>
      <c r="E4" s="2506"/>
      <c r="F4" s="2506"/>
      <c r="G4" s="2506"/>
      <c r="H4" s="2506"/>
      <c r="I4" s="2506"/>
      <c r="J4" s="2506"/>
      <c r="K4" s="2506"/>
      <c r="L4" s="1374"/>
    </row>
    <row r="5" spans="1:12" ht="5.25" customHeight="1" x14ac:dyDescent="0.2">
      <c r="B5" s="1257" t="s">
        <v>1231</v>
      </c>
      <c r="C5" s="1257"/>
      <c r="L5" s="322"/>
    </row>
    <row r="6" spans="1:12" ht="30.75" customHeight="1" x14ac:dyDescent="0.2">
      <c r="A6" s="322"/>
      <c r="B6" s="2512" t="s">
        <v>1374</v>
      </c>
      <c r="C6" s="2512"/>
      <c r="D6" s="2512"/>
      <c r="E6" s="2512"/>
      <c r="F6" s="2512"/>
      <c r="G6" s="2512"/>
      <c r="H6" s="2512"/>
      <c r="I6" s="2512"/>
      <c r="J6" s="2512"/>
      <c r="K6" s="2512"/>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1949</v>
      </c>
      <c r="D8" s="1465">
        <v>2</v>
      </c>
      <c r="E8" s="322"/>
      <c r="F8" s="1381" t="s">
        <v>1361</v>
      </c>
      <c r="G8" s="1466"/>
      <c r="H8" s="1467" t="s">
        <v>1373</v>
      </c>
      <c r="I8" s="1466" t="s">
        <v>2169</v>
      </c>
      <c r="J8" s="1468" t="s">
        <v>1372</v>
      </c>
      <c r="L8" s="322"/>
    </row>
    <row r="9" spans="1:12" ht="13.5" customHeight="1" x14ac:dyDescent="0.2">
      <c r="D9" s="322"/>
      <c r="E9" s="322"/>
      <c r="F9" s="322"/>
      <c r="G9" s="1380"/>
      <c r="H9" s="322"/>
      <c r="I9" s="1469" t="s">
        <v>1358</v>
      </c>
      <c r="J9" s="322"/>
      <c r="K9" s="1470">
        <v>2009</v>
      </c>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490" t="s">
        <v>2170</v>
      </c>
      <c r="G12" s="2490"/>
      <c r="H12" s="2490"/>
      <c r="I12" s="2490"/>
      <c r="J12" s="2490"/>
      <c r="K12" s="2490"/>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1370</v>
      </c>
      <c r="C14" s="1384"/>
      <c r="D14" s="2513" t="s">
        <v>2171</v>
      </c>
      <c r="E14" s="2513"/>
      <c r="F14" s="2513"/>
      <c r="H14" s="1472" t="s">
        <v>1369</v>
      </c>
      <c r="I14" s="2514" t="s">
        <v>2162</v>
      </c>
      <c r="J14" s="2514"/>
      <c r="K14" s="2514"/>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1368</v>
      </c>
      <c r="C16" s="1384"/>
      <c r="D16" s="2514" t="s">
        <v>2172</v>
      </c>
      <c r="E16" s="2514"/>
      <c r="F16" s="2514"/>
      <c r="G16" s="2514"/>
      <c r="H16" s="2514"/>
      <c r="I16" s="2514"/>
      <c r="J16" s="2514"/>
      <c r="K16" s="2514"/>
      <c r="L16" s="322"/>
    </row>
    <row r="17" spans="2:12" ht="13.5" customHeight="1" x14ac:dyDescent="0.2">
      <c r="B17" s="1384" t="s">
        <v>1367</v>
      </c>
      <c r="C17" s="1384"/>
      <c r="D17" s="2515" t="s">
        <v>2173</v>
      </c>
      <c r="E17" s="2515"/>
      <c r="F17" s="2515"/>
      <c r="G17" s="2515"/>
      <c r="H17" s="2515"/>
      <c r="I17" s="2515"/>
      <c r="J17" s="2515"/>
      <c r="K17" s="2515"/>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9" customHeight="1" x14ac:dyDescent="0.2">
      <c r="B20" s="2505" t="s">
        <v>2174</v>
      </c>
      <c r="C20" s="2505"/>
      <c r="D20" s="2505"/>
      <c r="E20" s="2505"/>
      <c r="F20" s="2505"/>
      <c r="G20" s="2505"/>
      <c r="H20" s="2505"/>
      <c r="I20" s="2505"/>
      <c r="J20" s="2505"/>
      <c r="K20" s="2505"/>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505" t="s">
        <v>2175</v>
      </c>
      <c r="C23" s="2505"/>
      <c r="D23" s="2505"/>
      <c r="E23" s="2505"/>
      <c r="F23" s="2505"/>
      <c r="G23" s="2505"/>
      <c r="H23" s="2505"/>
      <c r="I23" s="2505"/>
      <c r="J23" s="2505"/>
      <c r="K23" s="2505"/>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505" t="s">
        <v>2176</v>
      </c>
      <c r="C26" s="2505"/>
      <c r="D26" s="2505"/>
      <c r="E26" s="2505"/>
      <c r="F26" s="2505"/>
      <c r="G26" s="2505"/>
      <c r="H26" s="2505"/>
      <c r="I26" s="2505"/>
      <c r="J26" s="2505"/>
      <c r="K26" s="2505"/>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505" t="s">
        <v>2243</v>
      </c>
      <c r="C29" s="2505"/>
      <c r="D29" s="2505"/>
      <c r="E29" s="2505"/>
      <c r="F29" s="2505"/>
      <c r="G29" s="2505"/>
      <c r="H29" s="2505"/>
      <c r="I29" s="2505"/>
      <c r="J29" s="2505"/>
      <c r="K29" s="2505"/>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505" t="s">
        <v>2177</v>
      </c>
      <c r="C32" s="2505"/>
      <c r="D32" s="2505"/>
      <c r="E32" s="2505"/>
      <c r="F32" s="2505"/>
      <c r="G32" s="2505"/>
      <c r="H32" s="2505"/>
      <c r="I32" s="2505"/>
      <c r="J32" s="2505"/>
      <c r="K32" s="2505"/>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505" t="s">
        <v>2244</v>
      </c>
      <c r="C35" s="2505"/>
      <c r="D35" s="2505"/>
      <c r="E35" s="2505"/>
      <c r="F35" s="2505"/>
      <c r="G35" s="2505"/>
      <c r="H35" s="2505"/>
      <c r="I35" s="2505"/>
      <c r="J35" s="2505"/>
      <c r="K35" s="2505"/>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43.5" customHeight="1" x14ac:dyDescent="0.2">
      <c r="B38" s="2505" t="s">
        <v>2201</v>
      </c>
      <c r="C38" s="2505"/>
      <c r="D38" s="2505"/>
      <c r="E38" s="2505"/>
      <c r="F38" s="2505"/>
      <c r="G38" s="2505"/>
      <c r="H38" s="2505"/>
      <c r="I38" s="2505"/>
      <c r="J38" s="2505"/>
      <c r="K38" s="250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43.5" customHeight="1" x14ac:dyDescent="0.2">
      <c r="B41" s="2505" t="s">
        <v>2262</v>
      </c>
      <c r="C41" s="2505"/>
      <c r="D41" s="2505"/>
      <c r="E41" s="2505"/>
      <c r="F41" s="2505"/>
      <c r="G41" s="2505"/>
      <c r="H41" s="2505"/>
      <c r="I41" s="2505"/>
      <c r="J41" s="2505"/>
      <c r="K41" s="2505"/>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4"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election activeCell="A15" sqref="A15:F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Massac County CUSD 1</v>
      </c>
      <c r="C1" s="2510"/>
      <c r="D1" s="2510"/>
      <c r="E1" s="2510"/>
      <c r="F1" s="2510"/>
      <c r="G1" s="2510"/>
      <c r="H1" s="2510"/>
      <c r="I1" s="2510"/>
      <c r="J1" s="2510"/>
      <c r="K1" s="2510"/>
      <c r="L1" s="1462"/>
    </row>
    <row r="2" spans="1:12" ht="12.75" customHeight="1" x14ac:dyDescent="0.2">
      <c r="B2" s="2511">
        <f>'Single Audit Cover'!E7</f>
        <v>21061001026</v>
      </c>
      <c r="C2" s="2511"/>
      <c r="D2" s="2511"/>
      <c r="E2" s="2511"/>
      <c r="F2" s="2511"/>
      <c r="G2" s="2511"/>
      <c r="H2" s="2511"/>
      <c r="I2" s="2511"/>
      <c r="J2" s="2511"/>
      <c r="K2" s="2511"/>
      <c r="L2" s="1463"/>
    </row>
    <row r="3" spans="1:12" ht="12.75" customHeight="1" x14ac:dyDescent="0.2">
      <c r="B3" s="2506" t="s">
        <v>1346</v>
      </c>
      <c r="C3" s="2506"/>
      <c r="D3" s="2506"/>
      <c r="E3" s="2506"/>
      <c r="F3" s="2506"/>
      <c r="G3" s="2506"/>
      <c r="H3" s="2506"/>
      <c r="I3" s="2506"/>
      <c r="J3" s="2506"/>
      <c r="K3" s="2506"/>
      <c r="L3" s="1950"/>
    </row>
    <row r="4" spans="1:12" ht="12.75" customHeight="1" x14ac:dyDescent="0.2">
      <c r="B4" s="2506" t="str">
        <f>'Single Audit Cover'!A4</f>
        <v>Year Ending June 30, 2018</v>
      </c>
      <c r="C4" s="2506"/>
      <c r="D4" s="2506"/>
      <c r="E4" s="2506"/>
      <c r="F4" s="2506"/>
      <c r="G4" s="2506"/>
      <c r="H4" s="2506"/>
      <c r="I4" s="2506"/>
      <c r="J4" s="2506"/>
      <c r="K4" s="2506"/>
      <c r="L4" s="1950"/>
    </row>
    <row r="5" spans="1:12" ht="5.25" customHeight="1" x14ac:dyDescent="0.2">
      <c r="B5" s="1257" t="s">
        <v>1231</v>
      </c>
      <c r="C5" s="1257"/>
      <c r="L5" s="322"/>
    </row>
    <row r="6" spans="1:12" ht="30.75" customHeight="1" x14ac:dyDescent="0.2">
      <c r="A6" s="322"/>
      <c r="B6" s="2512" t="s">
        <v>1374</v>
      </c>
      <c r="C6" s="2512"/>
      <c r="D6" s="2512"/>
      <c r="E6" s="2512"/>
      <c r="F6" s="2512"/>
      <c r="G6" s="2512"/>
      <c r="H6" s="2512"/>
      <c r="I6" s="2512"/>
      <c r="J6" s="2512"/>
      <c r="K6" s="2512"/>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1949</v>
      </c>
      <c r="D8" s="1465">
        <v>3</v>
      </c>
      <c r="E8" s="322"/>
      <c r="F8" s="1381" t="s">
        <v>1361</v>
      </c>
      <c r="G8" s="1466"/>
      <c r="H8" s="1467" t="s">
        <v>1373</v>
      </c>
      <c r="I8" s="1466" t="s">
        <v>2073</v>
      </c>
      <c r="J8" s="1468" t="s">
        <v>1372</v>
      </c>
      <c r="L8" s="322"/>
    </row>
    <row r="9" spans="1:12" ht="13.5" customHeight="1" x14ac:dyDescent="0.2">
      <c r="D9" s="322"/>
      <c r="E9" s="322"/>
      <c r="F9" s="322"/>
      <c r="G9" s="1380"/>
      <c r="H9" s="322"/>
      <c r="I9" s="1469" t="s">
        <v>1358</v>
      </c>
      <c r="J9" s="322"/>
      <c r="K9" s="1470">
        <v>2017</v>
      </c>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490" t="s">
        <v>2170</v>
      </c>
      <c r="G12" s="2490"/>
      <c r="H12" s="2490"/>
      <c r="I12" s="2490"/>
      <c r="J12" s="2490"/>
      <c r="K12" s="2490"/>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1370</v>
      </c>
      <c r="C14" s="1384"/>
      <c r="D14" s="2513" t="s">
        <v>2171</v>
      </c>
      <c r="E14" s="2513"/>
      <c r="F14" s="2513"/>
      <c r="H14" s="1472" t="s">
        <v>1369</v>
      </c>
      <c r="I14" s="2514" t="s">
        <v>2162</v>
      </c>
      <c r="J14" s="2514"/>
      <c r="K14" s="2514"/>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1368</v>
      </c>
      <c r="C16" s="1384"/>
      <c r="D16" s="2514" t="s">
        <v>2172</v>
      </c>
      <c r="E16" s="2514"/>
      <c r="F16" s="2514"/>
      <c r="G16" s="2514"/>
      <c r="H16" s="2514"/>
      <c r="I16" s="2514"/>
      <c r="J16" s="2514"/>
      <c r="K16" s="2514"/>
      <c r="L16" s="322"/>
    </row>
    <row r="17" spans="2:12" ht="13.5" customHeight="1" x14ac:dyDescent="0.2">
      <c r="B17" s="1384" t="s">
        <v>1367</v>
      </c>
      <c r="C17" s="1384"/>
      <c r="D17" s="2515" t="s">
        <v>2173</v>
      </c>
      <c r="E17" s="2515"/>
      <c r="F17" s="2515"/>
      <c r="G17" s="2515"/>
      <c r="H17" s="2515"/>
      <c r="I17" s="2515"/>
      <c r="J17" s="2515"/>
      <c r="K17" s="2515"/>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5.25" customHeight="1" x14ac:dyDescent="0.2">
      <c r="B20" s="2505" t="s">
        <v>2178</v>
      </c>
      <c r="C20" s="2505"/>
      <c r="D20" s="2505"/>
      <c r="E20" s="2505"/>
      <c r="F20" s="2505"/>
      <c r="G20" s="2505"/>
      <c r="H20" s="2505"/>
      <c r="I20" s="2505"/>
      <c r="J20" s="2505"/>
      <c r="K20" s="2505"/>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505" t="s">
        <v>2245</v>
      </c>
      <c r="C23" s="2505"/>
      <c r="D23" s="2505"/>
      <c r="E23" s="2505"/>
      <c r="F23" s="2505"/>
      <c r="G23" s="2505"/>
      <c r="H23" s="2505"/>
      <c r="I23" s="2505"/>
      <c r="J23" s="2505"/>
      <c r="K23" s="2505"/>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505" t="s">
        <v>2176</v>
      </c>
      <c r="C26" s="2505"/>
      <c r="D26" s="2505"/>
      <c r="E26" s="2505"/>
      <c r="F26" s="2505"/>
      <c r="G26" s="2505"/>
      <c r="H26" s="2505"/>
      <c r="I26" s="2505"/>
      <c r="J26" s="2505"/>
      <c r="K26" s="2505"/>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505" t="s">
        <v>2179</v>
      </c>
      <c r="C29" s="2505"/>
      <c r="D29" s="2505"/>
      <c r="E29" s="2505"/>
      <c r="F29" s="2505"/>
      <c r="G29" s="2505"/>
      <c r="H29" s="2505"/>
      <c r="I29" s="2505"/>
      <c r="J29" s="2505"/>
      <c r="K29" s="2505"/>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505" t="s">
        <v>2180</v>
      </c>
      <c r="C32" s="2505"/>
      <c r="D32" s="2505"/>
      <c r="E32" s="2505"/>
      <c r="F32" s="2505"/>
      <c r="G32" s="2505"/>
      <c r="H32" s="2505"/>
      <c r="I32" s="2505"/>
      <c r="J32" s="2505"/>
      <c r="K32" s="2505"/>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505" t="s">
        <v>2181</v>
      </c>
      <c r="C35" s="2505"/>
      <c r="D35" s="2505"/>
      <c r="E35" s="2505"/>
      <c r="F35" s="2505"/>
      <c r="G35" s="2505"/>
      <c r="H35" s="2505"/>
      <c r="I35" s="2505"/>
      <c r="J35" s="2505"/>
      <c r="K35" s="2505"/>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35.25" customHeight="1" x14ac:dyDescent="0.2">
      <c r="B38" s="2505" t="s">
        <v>2182</v>
      </c>
      <c r="C38" s="2505"/>
      <c r="D38" s="2505"/>
      <c r="E38" s="2505"/>
      <c r="F38" s="2505"/>
      <c r="G38" s="2505"/>
      <c r="H38" s="2505"/>
      <c r="I38" s="2505"/>
      <c r="J38" s="2505"/>
      <c r="K38" s="250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33.75" customHeight="1" x14ac:dyDescent="0.2">
      <c r="B41" s="2505" t="s">
        <v>2247</v>
      </c>
      <c r="C41" s="2505"/>
      <c r="D41" s="2505"/>
      <c r="E41" s="2505"/>
      <c r="F41" s="2505"/>
      <c r="G41" s="2505"/>
      <c r="H41" s="2505"/>
      <c r="I41" s="2505"/>
      <c r="J41" s="2505"/>
      <c r="K41" s="2505"/>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7" right="0.7" top="0.75" bottom="0.75" header="0.3" footer="0.3"/>
  <pageSetup scale="9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A15" sqref="A15:F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3" t="str">
        <f>'Single Audit Cover'!A7</f>
        <v>Massac County CUSD 1</v>
      </c>
      <c r="C1" s="2483"/>
      <c r="D1" s="2483"/>
      <c r="E1" s="1488"/>
    </row>
    <row r="2" spans="2:5" s="1279" customFormat="1" ht="12.75" customHeight="1" x14ac:dyDescent="0.2">
      <c r="B2" s="2485">
        <f>'Single Audit Cover'!E7</f>
        <v>21061001026</v>
      </c>
      <c r="C2" s="2485"/>
      <c r="D2" s="2485"/>
      <c r="E2" s="1489"/>
    </row>
    <row r="3" spans="2:5" ht="12.75" customHeight="1" x14ac:dyDescent="0.2">
      <c r="B3" s="2506" t="s">
        <v>1865</v>
      </c>
      <c r="C3" s="2506"/>
      <c r="D3" s="2506"/>
      <c r="E3" s="1271"/>
    </row>
    <row r="4" spans="2:5" s="1279" customFormat="1" ht="12.75" customHeight="1" x14ac:dyDescent="0.2">
      <c r="B4" s="2516" t="str">
        <f>'Single Audit Cover'!A4</f>
        <v>Year Ending June 30, 2018</v>
      </c>
      <c r="C4" s="2516"/>
      <c r="D4" s="2516"/>
      <c r="E4" s="1490"/>
    </row>
    <row r="5" spans="2:5" s="1279" customFormat="1" ht="40.15" customHeight="1" x14ac:dyDescent="0.2">
      <c r="B5" s="1491" t="s">
        <v>1866</v>
      </c>
      <c r="C5" s="328"/>
      <c r="D5" s="328"/>
      <c r="E5" s="328"/>
    </row>
    <row r="6" spans="2:5" s="1279" customFormat="1" ht="13.5" customHeight="1" x14ac:dyDescent="0.2">
      <c r="B6" s="1492" t="s">
        <v>1381</v>
      </c>
      <c r="C6" s="1492" t="s">
        <v>1380</v>
      </c>
      <c r="D6" s="1492" t="s">
        <v>1867</v>
      </c>
    </row>
    <row r="7" spans="2:5" ht="13.5" customHeight="1" x14ac:dyDescent="0.2">
      <c r="B7" s="1493"/>
      <c r="C7" s="324"/>
      <c r="D7" s="324"/>
      <c r="E7" s="324"/>
    </row>
    <row r="8" spans="2:5" ht="13.5" customHeight="1" x14ac:dyDescent="0.2">
      <c r="B8" s="1493" t="s">
        <v>2183</v>
      </c>
      <c r="C8" s="324" t="s">
        <v>2184</v>
      </c>
      <c r="D8" s="324" t="s">
        <v>2263</v>
      </c>
      <c r="E8" s="324"/>
    </row>
    <row r="9" spans="2:5" ht="13.5" customHeight="1" x14ac:dyDescent="0.2">
      <c r="B9" s="1494"/>
      <c r="C9" s="323" t="s">
        <v>2185</v>
      </c>
      <c r="D9" s="323"/>
      <c r="E9" s="323"/>
    </row>
    <row r="10" spans="2:5" ht="13.5" customHeight="1" x14ac:dyDescent="0.2">
      <c r="B10" s="1493"/>
      <c r="C10" s="323" t="s">
        <v>2186</v>
      </c>
      <c r="D10" s="323"/>
      <c r="E10" s="323"/>
    </row>
    <row r="11" spans="2:5" ht="13.5" customHeight="1" x14ac:dyDescent="0.2">
      <c r="B11" s="1493"/>
      <c r="C11" s="323" t="s">
        <v>2187</v>
      </c>
      <c r="D11" s="323"/>
      <c r="E11" s="323"/>
    </row>
    <row r="12" spans="2:5" ht="13.5" customHeight="1" x14ac:dyDescent="0.2">
      <c r="B12" s="1493"/>
      <c r="C12" s="323" t="s">
        <v>2188</v>
      </c>
      <c r="D12" s="323"/>
      <c r="E12" s="323"/>
    </row>
    <row r="13" spans="2:5" ht="13.5" customHeight="1" x14ac:dyDescent="0.2">
      <c r="B13" s="1493"/>
      <c r="C13" s="323" t="s">
        <v>2189</v>
      </c>
      <c r="D13" s="323"/>
      <c r="E13" s="323"/>
    </row>
    <row r="14" spans="2:5" ht="13.5" customHeight="1" x14ac:dyDescent="0.2">
      <c r="B14" s="1493"/>
      <c r="C14" s="323"/>
      <c r="D14" s="323"/>
      <c r="E14" s="323"/>
    </row>
    <row r="15" spans="2:5" ht="13.5" customHeight="1" x14ac:dyDescent="0.2">
      <c r="B15" s="1493" t="s">
        <v>2190</v>
      </c>
      <c r="C15" s="323" t="s">
        <v>2191</v>
      </c>
      <c r="D15" s="323" t="s">
        <v>2264</v>
      </c>
      <c r="E15" s="323"/>
    </row>
    <row r="16" spans="2:5" ht="13.5" customHeight="1" x14ac:dyDescent="0.2">
      <c r="B16" s="1493"/>
      <c r="C16" s="323" t="s">
        <v>2192</v>
      </c>
      <c r="D16" s="323"/>
      <c r="E16" s="323"/>
    </row>
    <row r="17" spans="2:5" ht="13.5" customHeight="1" x14ac:dyDescent="0.2">
      <c r="B17" s="1493"/>
      <c r="C17" s="323"/>
      <c r="D17" s="323"/>
      <c r="E17" s="323"/>
    </row>
    <row r="18" spans="2:5" ht="13.5" customHeight="1" x14ac:dyDescent="0.2">
      <c r="B18" s="1493" t="s">
        <v>2193</v>
      </c>
      <c r="C18" s="323" t="s">
        <v>2194</v>
      </c>
      <c r="D18" s="323" t="s">
        <v>2265</v>
      </c>
      <c r="E18" s="323"/>
    </row>
    <row r="19" spans="2:5" ht="13.5" customHeight="1" x14ac:dyDescent="0.2">
      <c r="B19" s="1493"/>
      <c r="C19" s="323" t="s">
        <v>2195</v>
      </c>
      <c r="D19" s="323" t="s">
        <v>2266</v>
      </c>
      <c r="E19" s="323"/>
    </row>
    <row r="20" spans="2:5" ht="13.5" customHeight="1" x14ac:dyDescent="0.2">
      <c r="B20" s="1493"/>
      <c r="C20" s="323" t="s">
        <v>2196</v>
      </c>
      <c r="D20" s="323"/>
      <c r="E20" s="323"/>
    </row>
    <row r="21" spans="2:5" ht="13.5" customHeight="1" x14ac:dyDescent="0.2">
      <c r="B21" s="1493"/>
      <c r="C21" s="323"/>
      <c r="D21" s="323"/>
      <c r="E21" s="323"/>
    </row>
    <row r="22" spans="2:5" ht="13.5" customHeight="1" x14ac:dyDescent="0.2">
      <c r="B22" s="1493" t="s">
        <v>2197</v>
      </c>
      <c r="C22" s="323" t="s">
        <v>2198</v>
      </c>
      <c r="D22" s="323" t="s">
        <v>2265</v>
      </c>
      <c r="E22" s="323"/>
    </row>
    <row r="23" spans="2:5" ht="13.5" customHeight="1" x14ac:dyDescent="0.2">
      <c r="B23" s="1493"/>
      <c r="C23" s="323" t="s">
        <v>2199</v>
      </c>
      <c r="D23" s="323" t="s">
        <v>2267</v>
      </c>
      <c r="E23" s="323"/>
    </row>
    <row r="24" spans="2:5" ht="13.5" customHeight="1" x14ac:dyDescent="0.2">
      <c r="B24" s="1493"/>
      <c r="C24" s="323" t="s">
        <v>2200</v>
      </c>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1379</v>
      </c>
      <c r="C44" s="322"/>
    </row>
    <row r="45" spans="2:5" ht="12.2" customHeight="1" x14ac:dyDescent="0.2">
      <c r="B45" s="1502" t="s">
        <v>1868</v>
      </c>
    </row>
    <row r="46" spans="2:5" ht="12.2" customHeight="1" x14ac:dyDescent="0.2">
      <c r="B46" s="1502" t="s">
        <v>1869</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78"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9" colorId="8" zoomScale="110" zoomScaleNormal="110" workbookViewId="0">
      <selection activeCell="A15" sqref="A15:F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139747954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2.7368799999999999E-2</v>
      </c>
      <c r="E10" s="356" t="s">
        <v>1062</v>
      </c>
      <c r="F10" s="355">
        <v>5.2075999999999997E-3</v>
      </c>
      <c r="G10" s="356" t="s">
        <v>1062</v>
      </c>
      <c r="H10" s="355">
        <v>1.9797999999999999E-3</v>
      </c>
      <c r="I10" s="356" t="s">
        <v>1063</v>
      </c>
      <c r="J10" s="1751">
        <f>ROUND(D10+F10+H10,5)</f>
        <v>3.456E-2</v>
      </c>
      <c r="K10" s="222"/>
      <c r="L10" s="355">
        <v>4.8299999999999998E-4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19777443</v>
      </c>
      <c r="E16" s="356"/>
      <c r="F16" s="1752">
        <f>SUM('Acct Summary 7-8'!C17,'Acct Summary 7-8'!D17,'Acct Summary 7-8'!F17)</f>
        <v>18398312</v>
      </c>
      <c r="G16" s="356"/>
      <c r="H16" s="1752">
        <f>SUM(D16-F16)</f>
        <v>1379131</v>
      </c>
      <c r="I16" s="222"/>
      <c r="J16" s="1752">
        <f>SUM('Acct Summary 7-8'!C81,'Acct Summary 7-8'!D81,'Acct Summary 7-8'!F81,'Acct Summary 7-8'!I81)</f>
        <v>4878764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19285217.652000003</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3407700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verticalCentered="1" headings="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15" sqref="A15:F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1479</v>
      </c>
      <c r="B3" s="2132"/>
      <c r="C3" s="2132"/>
      <c r="D3" s="2132"/>
      <c r="E3" s="2132"/>
      <c r="F3" s="2132"/>
      <c r="G3" s="2132"/>
      <c r="H3" s="2132"/>
      <c r="I3" s="2132"/>
      <c r="J3" s="2132"/>
      <c r="K3" s="2132"/>
      <c r="L3" s="2132"/>
      <c r="M3" s="2132"/>
      <c r="N3" s="2132"/>
      <c r="O3" s="2132"/>
      <c r="P3" s="2132"/>
      <c r="Q3" s="2132"/>
      <c r="R3" s="2132"/>
    </row>
    <row r="4" spans="1:18" x14ac:dyDescent="0.2">
      <c r="A4" s="2133" t="s">
        <v>1634</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Massac County CUSD 1</v>
      </c>
      <c r="E7" s="391"/>
      <c r="G7" s="252"/>
      <c r="H7" s="387"/>
      <c r="I7" s="387"/>
      <c r="J7" s="387"/>
      <c r="K7" s="387"/>
      <c r="L7" s="329"/>
      <c r="M7" s="329"/>
      <c r="N7" s="329"/>
      <c r="O7" s="329"/>
      <c r="P7" s="329"/>
    </row>
    <row r="8" spans="1:18" ht="12.75" x14ac:dyDescent="0.2">
      <c r="A8" s="329"/>
      <c r="B8" s="329"/>
      <c r="C8" s="389" t="s">
        <v>1187</v>
      </c>
      <c r="D8" s="392">
        <f>COVER!A13</f>
        <v>21061001026</v>
      </c>
      <c r="E8" s="393"/>
      <c r="G8" s="329"/>
      <c r="H8" s="329"/>
      <c r="I8" s="329"/>
      <c r="J8" s="329"/>
      <c r="K8" s="329"/>
      <c r="L8" s="329"/>
      <c r="M8" s="329"/>
      <c r="N8" s="329"/>
      <c r="O8" s="329"/>
      <c r="P8" s="329"/>
    </row>
    <row r="9" spans="1:18" ht="12.75" x14ac:dyDescent="0.2">
      <c r="A9" s="329"/>
      <c r="B9" s="329"/>
      <c r="C9" s="389" t="s">
        <v>737</v>
      </c>
      <c r="D9" s="394" t="str">
        <f>COVER!A15</f>
        <v>Massac</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1431</v>
      </c>
      <c r="D12" s="218"/>
      <c r="E12" s="218"/>
      <c r="F12" s="218" t="s">
        <v>1152</v>
      </c>
      <c r="G12" s="402"/>
      <c r="H12" s="403">
        <f>SUM('Acct Summary 7-8'!C81+'Acct Summary 7-8'!D81+'Acct Summary 7-8'!F81+'Acct Summary 7-8'!I81+IF('Acct Summary 7-8'!G81&lt;0,'Acct Summary 7-8'!G81,"0")+IF('Acct Summary 7-8'!J81&lt;0,'Acct Summary 7-8'!J81,"0"))</f>
        <v>4878764</v>
      </c>
      <c r="I12" s="404"/>
      <c r="J12" s="404"/>
      <c r="K12" s="405">
        <f>TRUNC((H12/H13*100000),5)/100000</f>
        <v>0.24668325420000001</v>
      </c>
      <c r="L12" s="406"/>
      <c r="M12" s="360" t="s">
        <v>1206</v>
      </c>
      <c r="N12" s="360"/>
      <c r="O12" s="407">
        <v>0.35</v>
      </c>
      <c r="P12" s="218"/>
      <c r="Q12" s="218"/>
    </row>
    <row r="13" spans="1:18" s="408" customFormat="1" ht="12.75" x14ac:dyDescent="0.2">
      <c r="A13" s="218"/>
      <c r="B13" s="401"/>
      <c r="C13" s="2129" t="s">
        <v>1390</v>
      </c>
      <c r="D13" s="2130"/>
      <c r="E13" s="218"/>
      <c r="F13" s="409" t="s">
        <v>826</v>
      </c>
      <c r="G13" s="402"/>
      <c r="H13" s="403">
        <f>SUM('Acct Summary 7-8'!C8+'Acct Summary 7-8'!D8+'Acct Summary 7-8'!F8+'Acct Summary 7-8'!I8)+H14</f>
        <v>19777443</v>
      </c>
      <c r="I13" s="404"/>
      <c r="J13" s="404"/>
      <c r="K13" s="410"/>
      <c r="L13" s="218"/>
      <c r="M13" s="360" t="s">
        <v>1207</v>
      </c>
      <c r="N13" s="360"/>
      <c r="O13" s="411">
        <f>(O11*O12)</f>
        <v>1.0499999999999998</v>
      </c>
      <c r="P13" s="218"/>
      <c r="Q13" s="218"/>
      <c r="R13" s="412"/>
    </row>
    <row r="14" spans="1:18" s="408" customFormat="1" ht="12.75" x14ac:dyDescent="0.2">
      <c r="A14" s="218"/>
      <c r="B14" s="401"/>
      <c r="C14" s="240" t="s">
        <v>1463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18398312</v>
      </c>
      <c r="I17" s="404"/>
      <c r="J17" s="416"/>
      <c r="K17" s="405">
        <f>TRUNC((H17/H18*100000),5)/100000</f>
        <v>0.9302674769</v>
      </c>
      <c r="L17" s="406"/>
      <c r="M17" s="417" t="s">
        <v>1233</v>
      </c>
      <c r="O17" s="418" t="str">
        <f>IF(AND(O16="2", J20 &gt; 2),"1",IF(AND(O16 = "1", J20 &gt; 2),"2",IF(AND(O16="1", J20 &gt;1),"1","0")))</f>
        <v>0</v>
      </c>
      <c r="P17" s="218"/>
    </row>
    <row r="18" spans="1:18" s="408" customFormat="1" ht="11.25" x14ac:dyDescent="0.2">
      <c r="A18" s="218"/>
      <c r="B18" s="401"/>
      <c r="C18" s="2129" t="s">
        <v>1383</v>
      </c>
      <c r="D18" s="2130"/>
      <c r="E18" s="218"/>
      <c r="F18" s="419" t="s">
        <v>827</v>
      </c>
      <c r="G18" s="402"/>
      <c r="H18" s="403">
        <f>SUM('Acct Summary 7-8'!C8+'Acct Summary 7-8'!D8+'Acct Summary 7-8'!F8+'Acct Summary 7-8'!I8)+H19</f>
        <v>19777443</v>
      </c>
      <c r="I18" s="404"/>
      <c r="J18" s="404"/>
      <c r="K18" s="410"/>
      <c r="L18" s="218"/>
      <c r="M18" s="360" t="s">
        <v>1206</v>
      </c>
      <c r="N18" s="360"/>
      <c r="O18" s="410">
        <v>0.35</v>
      </c>
      <c r="P18" s="218"/>
    </row>
    <row r="19" spans="1:18" s="408" customFormat="1" ht="11.25" x14ac:dyDescent="0.2">
      <c r="A19" s="218"/>
      <c r="B19" s="401"/>
      <c r="C19" s="240" t="s">
        <v>1463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6" t="s">
        <v>1478</v>
      </c>
      <c r="D24" s="2126"/>
      <c r="E24" s="218"/>
      <c r="F24" s="218" t="s">
        <v>465</v>
      </c>
      <c r="G24" s="402"/>
      <c r="H24" s="403">
        <f>SUM('Assets-Liab 5-6'!C4+'Assets-Liab 5-6'!D4+'Assets-Liab 5-6'!F4+'Assets-Liab 5-6'!I4+'Assets-Liab 5-6'!C5+'Assets-Liab 5-6'!D5+'Assets-Liab 5-6'!F5+'Assets-Liab 5-6'!I5)</f>
        <v>5023225</v>
      </c>
      <c r="I24" s="422"/>
      <c r="J24" s="422"/>
      <c r="K24" s="423">
        <f>TRUNC(((H24/H25*100000)/100000),2)</f>
        <v>98.28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51106.42222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4105235.8966999999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3407700</v>
      </c>
      <c r="I32" s="420"/>
      <c r="J32" s="420"/>
      <c r="K32" s="423">
        <f>TRUNC(100-((((H32/H33*100))*100)/100),2)</f>
        <v>82.32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19285217.652000003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15" sqref="A15:F15"/>
      <selection pane="bottomLeft" activeCell="A15" sqref="A15:F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78"/>
      <c r="D3" s="1579"/>
      <c r="E3" s="1579"/>
      <c r="F3" s="1579"/>
      <c r="G3" s="1579"/>
      <c r="H3" s="1579"/>
      <c r="I3" s="1579"/>
      <c r="J3" s="1579"/>
      <c r="K3" s="1579"/>
      <c r="L3" s="1579"/>
      <c r="M3" s="1580"/>
      <c r="N3" s="1581"/>
    </row>
    <row r="4" spans="1:14" ht="13.5" customHeight="1" x14ac:dyDescent="0.2">
      <c r="A4" s="463" t="s">
        <v>1749</v>
      </c>
      <c r="B4" s="464"/>
      <c r="C4" s="465">
        <v>2694881</v>
      </c>
      <c r="D4" s="466"/>
      <c r="E4" s="466">
        <v>376290</v>
      </c>
      <c r="F4" s="466"/>
      <c r="G4" s="466">
        <v>569680</v>
      </c>
      <c r="H4" s="466"/>
      <c r="I4" s="466">
        <v>94504</v>
      </c>
      <c r="J4" s="467">
        <v>163603</v>
      </c>
      <c r="K4" s="466"/>
      <c r="L4" s="466">
        <v>264212</v>
      </c>
      <c r="M4" s="468"/>
      <c r="N4" s="469"/>
    </row>
    <row r="5" spans="1:14" x14ac:dyDescent="0.2">
      <c r="A5" s="463" t="s">
        <v>1049</v>
      </c>
      <c r="B5" s="470">
        <v>120</v>
      </c>
      <c r="C5" s="465">
        <f>165308+1945200</f>
        <v>2110508</v>
      </c>
      <c r="D5" s="466">
        <v>116260</v>
      </c>
      <c r="E5" s="466">
        <v>115000</v>
      </c>
      <c r="F5" s="466">
        <v>6687</v>
      </c>
      <c r="G5" s="466">
        <v>53323</v>
      </c>
      <c r="H5" s="466">
        <v>7628</v>
      </c>
      <c r="I5" s="466">
        <v>385</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130497</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4935886</v>
      </c>
      <c r="D13" s="1756">
        <f t="shared" ref="D13:L13" si="0">SUM(D4:D12)</f>
        <v>116260</v>
      </c>
      <c r="E13" s="1756">
        <f t="shared" si="0"/>
        <v>491290</v>
      </c>
      <c r="F13" s="1756">
        <f t="shared" si="0"/>
        <v>6687</v>
      </c>
      <c r="G13" s="1756">
        <f t="shared" si="0"/>
        <v>623003</v>
      </c>
      <c r="H13" s="1756">
        <f t="shared" si="0"/>
        <v>7628</v>
      </c>
      <c r="I13" s="1756">
        <f t="shared" si="0"/>
        <v>94889</v>
      </c>
      <c r="J13" s="1756">
        <f t="shared" si="0"/>
        <v>163603</v>
      </c>
      <c r="K13" s="1756">
        <f t="shared" si="0"/>
        <v>0</v>
      </c>
      <c r="L13" s="1756">
        <f t="shared" si="0"/>
        <v>264212</v>
      </c>
      <c r="M13" s="468"/>
      <c r="N13" s="469"/>
    </row>
    <row r="14" spans="1:14" ht="18" customHeight="1" thickTop="1" x14ac:dyDescent="0.2">
      <c r="A14" s="2138" t="s">
        <v>149</v>
      </c>
      <c r="B14" s="2139"/>
      <c r="C14" s="1582"/>
      <c r="D14" s="1583"/>
      <c r="E14" s="1583"/>
      <c r="F14" s="1583"/>
      <c r="G14" s="1583"/>
      <c r="H14" s="1583"/>
      <c r="I14" s="1583"/>
      <c r="J14" s="1583"/>
      <c r="K14" s="1583"/>
      <c r="L14" s="1583"/>
      <c r="M14" s="1584"/>
      <c r="N14" s="158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1227227</v>
      </c>
      <c r="N16" s="484"/>
    </row>
    <row r="17" spans="1:14" s="485" customFormat="1" ht="12.75" customHeight="1" x14ac:dyDescent="0.2">
      <c r="A17" s="482" t="s">
        <v>1469</v>
      </c>
      <c r="B17" s="483">
        <v>230</v>
      </c>
      <c r="C17" s="477"/>
      <c r="D17" s="477"/>
      <c r="E17" s="477"/>
      <c r="F17" s="477"/>
      <c r="G17" s="477"/>
      <c r="H17" s="477"/>
      <c r="I17" s="477"/>
      <c r="J17" s="477"/>
      <c r="K17" s="477"/>
      <c r="L17" s="477"/>
      <c r="M17" s="467">
        <v>24852091</v>
      </c>
      <c r="N17" s="484"/>
    </row>
    <row r="18" spans="1:14" s="485" customFormat="1" ht="12.75" customHeight="1" x14ac:dyDescent="0.2">
      <c r="A18" s="482" t="s">
        <v>1470</v>
      </c>
      <c r="B18" s="483">
        <v>240</v>
      </c>
      <c r="C18" s="477"/>
      <c r="D18" s="477"/>
      <c r="E18" s="477"/>
      <c r="F18" s="477"/>
      <c r="G18" s="477"/>
      <c r="H18" s="477"/>
      <c r="I18" s="477"/>
      <c r="J18" s="477"/>
      <c r="K18" s="477"/>
      <c r="L18" s="477"/>
      <c r="M18" s="467">
        <v>5854881</v>
      </c>
      <c r="N18" s="484"/>
    </row>
    <row r="19" spans="1:14" s="485" customFormat="1" ht="12.75" customHeight="1" x14ac:dyDescent="0.2">
      <c r="A19" s="482" t="s">
        <v>1471</v>
      </c>
      <c r="B19" s="483">
        <v>250</v>
      </c>
      <c r="C19" s="477"/>
      <c r="D19" s="477"/>
      <c r="E19" s="477"/>
      <c r="F19" s="477"/>
      <c r="G19" s="477"/>
      <c r="H19" s="477"/>
      <c r="I19" s="477"/>
      <c r="J19" s="477"/>
      <c r="K19" s="477"/>
      <c r="L19" s="477"/>
      <c r="M19" s="467">
        <v>6255043</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491290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2916410</v>
      </c>
    </row>
    <row r="23" spans="1:14" ht="13.5" customHeight="1" thickBot="1" x14ac:dyDescent="0.25">
      <c r="A23" s="1755" t="s">
        <v>664</v>
      </c>
      <c r="B23" s="1760"/>
      <c r="C23" s="468"/>
      <c r="D23" s="468"/>
      <c r="E23" s="468"/>
      <c r="F23" s="468"/>
      <c r="G23" s="468"/>
      <c r="H23" s="468"/>
      <c r="I23" s="468"/>
      <c r="J23" s="468"/>
      <c r="K23" s="468"/>
      <c r="L23" s="468"/>
      <c r="M23" s="1707">
        <f>SUM(M15:M22)</f>
        <v>38189242</v>
      </c>
      <c r="N23" s="1707">
        <f>SUM(N21:N22)</f>
        <v>3407700</v>
      </c>
    </row>
    <row r="24" spans="1:14" ht="18" customHeight="1" thickTop="1" x14ac:dyDescent="0.2">
      <c r="A24" s="2140" t="s">
        <v>619</v>
      </c>
      <c r="B24" s="2141"/>
      <c r="C24" s="1587"/>
      <c r="D24" s="1584"/>
      <c r="E24" s="1584"/>
      <c r="F24" s="1584"/>
      <c r="G24" s="1584"/>
      <c r="H24" s="1584"/>
      <c r="I24" s="1584"/>
      <c r="J24" s="1584"/>
      <c r="K24" s="1584"/>
      <c r="L24" s="1584"/>
      <c r="M24" s="1583"/>
      <c r="N24" s="1588"/>
    </row>
    <row r="25" spans="1:14" x14ac:dyDescent="0.2">
      <c r="A25" s="473" t="s">
        <v>666</v>
      </c>
      <c r="B25" s="470">
        <v>410</v>
      </c>
      <c r="C25" s="478"/>
      <c r="D25" s="478">
        <v>116260</v>
      </c>
      <c r="E25" s="478"/>
      <c r="F25" s="478">
        <v>6657</v>
      </c>
      <c r="G25" s="478"/>
      <c r="H25" s="479">
        <v>7580</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152041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264212</v>
      </c>
      <c r="M33" s="468"/>
      <c r="N33" s="469"/>
    </row>
    <row r="34" spans="1:14" ht="13.5" customHeight="1" thickBot="1" x14ac:dyDescent="0.25">
      <c r="A34" s="1757" t="s">
        <v>675</v>
      </c>
      <c r="B34" s="1758"/>
      <c r="C34" s="1759">
        <f>SUM(C25:C33)</f>
        <v>152041</v>
      </c>
      <c r="D34" s="1759">
        <f t="shared" ref="D34:K34" si="1">SUM(D25:D33)</f>
        <v>116260</v>
      </c>
      <c r="E34" s="1759">
        <f t="shared" si="1"/>
        <v>0</v>
      </c>
      <c r="F34" s="1759">
        <f t="shared" si="1"/>
        <v>6657</v>
      </c>
      <c r="G34" s="1759">
        <f t="shared" si="1"/>
        <v>0</v>
      </c>
      <c r="H34" s="1759">
        <f t="shared" si="1"/>
        <v>7580</v>
      </c>
      <c r="I34" s="1759">
        <f t="shared" si="1"/>
        <v>0</v>
      </c>
      <c r="J34" s="1759">
        <f t="shared" si="1"/>
        <v>0</v>
      </c>
      <c r="K34" s="1759">
        <f t="shared" si="1"/>
        <v>0</v>
      </c>
      <c r="L34" s="1740">
        <f>SUM(L33)</f>
        <v>264212</v>
      </c>
      <c r="M34" s="468"/>
      <c r="N34" s="480"/>
    </row>
    <row r="35" spans="1:14" ht="18" customHeight="1" thickTop="1" x14ac:dyDescent="0.2">
      <c r="A35" s="2142" t="s">
        <v>550</v>
      </c>
      <c r="B35" s="2143"/>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3407700</v>
      </c>
    </row>
    <row r="37" spans="1:14" ht="13.5" thickBot="1" x14ac:dyDescent="0.25">
      <c r="A37" s="1755" t="s">
        <v>674</v>
      </c>
      <c r="B37" s="1760"/>
      <c r="C37" s="477"/>
      <c r="D37" s="477"/>
      <c r="E37" s="477"/>
      <c r="F37" s="477"/>
      <c r="G37" s="477"/>
      <c r="H37" s="477"/>
      <c r="I37" s="477"/>
      <c r="J37" s="477"/>
      <c r="K37" s="477"/>
      <c r="L37" s="480"/>
      <c r="M37" s="468"/>
      <c r="N37" s="1707">
        <f>SUM(N36:N36)</f>
        <v>3407700</v>
      </c>
    </row>
    <row r="38" spans="1:14" s="329" customFormat="1" ht="13.5" customHeight="1" thickTop="1" x14ac:dyDescent="0.2">
      <c r="A38" s="496" t="s">
        <v>440</v>
      </c>
      <c r="B38" s="483">
        <v>714</v>
      </c>
      <c r="C38" s="466"/>
      <c r="D38" s="466"/>
      <c r="E38" s="466">
        <v>491290</v>
      </c>
      <c r="F38" s="466"/>
      <c r="G38" s="466">
        <v>623003</v>
      </c>
      <c r="H38" s="466"/>
      <c r="I38" s="466"/>
      <c r="J38" s="467">
        <v>163603</v>
      </c>
      <c r="K38" s="466"/>
      <c r="L38" s="481"/>
      <c r="M38" s="497"/>
      <c r="N38" s="497"/>
    </row>
    <row r="39" spans="1:14" s="329" customFormat="1" ht="13.5" customHeight="1" x14ac:dyDescent="0.2">
      <c r="A39" s="496" t="s">
        <v>360</v>
      </c>
      <c r="B39" s="483">
        <v>730</v>
      </c>
      <c r="C39" s="466">
        <v>4783845</v>
      </c>
      <c r="D39" s="466"/>
      <c r="E39" s="466"/>
      <c r="F39" s="466">
        <v>30</v>
      </c>
      <c r="G39" s="466"/>
      <c r="H39" s="466">
        <v>48</v>
      </c>
      <c r="I39" s="466">
        <v>94889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38189242</v>
      </c>
      <c r="N40" s="497"/>
    </row>
    <row r="41" spans="1:14" ht="13.5" customHeight="1" thickBot="1" x14ac:dyDescent="0.25">
      <c r="A41" s="1755" t="s">
        <v>676</v>
      </c>
      <c r="B41" s="1725"/>
      <c r="C41" s="1707">
        <f>(SUM(C34,C37,C38,C39))</f>
        <v>4935886</v>
      </c>
      <c r="D41" s="1707">
        <f t="shared" ref="D41:L41" si="2">SUM(D34,D37,D38:D39)</f>
        <v>116260</v>
      </c>
      <c r="E41" s="1707">
        <f t="shared" si="2"/>
        <v>491290</v>
      </c>
      <c r="F41" s="1707">
        <f t="shared" si="2"/>
        <v>6687</v>
      </c>
      <c r="G41" s="1707">
        <f t="shared" si="2"/>
        <v>623003</v>
      </c>
      <c r="H41" s="1707">
        <f t="shared" si="2"/>
        <v>7628</v>
      </c>
      <c r="I41" s="1707">
        <f t="shared" si="2"/>
        <v>94889</v>
      </c>
      <c r="J41" s="1707">
        <f t="shared" si="2"/>
        <v>163603</v>
      </c>
      <c r="K41" s="1707">
        <f t="shared" si="2"/>
        <v>0</v>
      </c>
      <c r="L41" s="1707">
        <f t="shared" si="2"/>
        <v>264212</v>
      </c>
      <c r="M41" s="1707">
        <f>SUM(M40)</f>
        <v>38189242</v>
      </c>
      <c r="N41" s="1707">
        <f>SUM(N37)</f>
        <v>3407700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orizontalCentered="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3" activePane="bottomLeft" state="frozenSplit"/>
      <selection activeCell="A15" sqref="A15:F15"/>
      <selection pane="bottomLeft" activeCell="A15" sqref="A15:F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6" t="s">
        <v>1237</v>
      </c>
      <c r="B3" s="2167"/>
      <c r="C3" s="1592"/>
      <c r="D3" s="1593"/>
      <c r="E3" s="1593"/>
      <c r="F3" s="1593"/>
      <c r="G3" s="1593"/>
      <c r="H3" s="1593"/>
      <c r="I3" s="1593"/>
      <c r="J3" s="1593"/>
      <c r="K3" s="1594"/>
      <c r="L3" s="506"/>
    </row>
    <row r="4" spans="1:13" ht="15.75" customHeight="1" x14ac:dyDescent="0.2">
      <c r="A4" s="2168" t="s">
        <v>1578</v>
      </c>
      <c r="B4" s="2169"/>
      <c r="C4" s="1761">
        <f>'Revenues 9-14'!C109</f>
        <v>5018370</v>
      </c>
      <c r="D4" s="1761">
        <f>'Revenues 9-14'!D109</f>
        <v>934327</v>
      </c>
      <c r="E4" s="1761">
        <f>'Revenues 9-14'!E109</f>
        <v>708537</v>
      </c>
      <c r="F4" s="1761">
        <f>'Revenues 9-14'!F109</f>
        <v>273228</v>
      </c>
      <c r="G4" s="1761">
        <f>'Revenues 9-14'!G109</f>
        <v>551241</v>
      </c>
      <c r="H4" s="1761">
        <f>'Revenues 9-14'!H109</f>
        <v>596</v>
      </c>
      <c r="I4" s="1761">
        <f>'Revenues 9-14'!I109</f>
        <v>66436</v>
      </c>
      <c r="J4" s="1761">
        <f>'Revenues 9-14'!J109</f>
        <v>480309</v>
      </c>
      <c r="K4" s="1761">
        <f>'Revenues 9-14'!K109</f>
        <v>0</v>
      </c>
      <c r="L4" s="347"/>
    </row>
    <row r="5" spans="1:13" ht="15.75" customHeight="1" x14ac:dyDescent="0.2">
      <c r="A5" s="1595" t="s">
        <v>1579</v>
      </c>
      <c r="B5" s="1596">
        <v>2000</v>
      </c>
      <c r="C5" s="1762">
        <f>'Revenues 9-14'!C114</f>
        <v>3213</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1580</v>
      </c>
      <c r="B6" s="1597">
        <v>3000</v>
      </c>
      <c r="C6" s="1762">
        <f>'Revenues 9-14'!C173</f>
        <v>9329793</v>
      </c>
      <c r="D6" s="1762">
        <f>'Revenues 9-14'!D173</f>
        <v>998780</v>
      </c>
      <c r="E6" s="1762">
        <f>'Revenues 9-14'!E173</f>
        <v>1054</v>
      </c>
      <c r="F6" s="1762">
        <f>'Revenues 9-14'!F173</f>
        <v>1120915</v>
      </c>
      <c r="G6" s="1762">
        <f>'Revenues 9-14'!G173</f>
        <v>0</v>
      </c>
      <c r="H6" s="1762">
        <f>'Revenues 9-14'!H173</f>
        <v>542162</v>
      </c>
      <c r="I6" s="1762">
        <f>'Revenues 9-14'!I173</f>
        <v>0</v>
      </c>
      <c r="J6" s="1762">
        <f>'Revenues 9-14'!J173</f>
        <v>0</v>
      </c>
      <c r="K6" s="1762">
        <f>'Revenues 9-14'!K173</f>
        <v>0</v>
      </c>
      <c r="L6" s="347"/>
      <c r="M6" s="513"/>
    </row>
    <row r="7" spans="1:13" ht="15.75" customHeight="1" x14ac:dyDescent="0.2">
      <c r="A7" s="1595" t="s">
        <v>1581</v>
      </c>
      <c r="B7" s="1597">
        <v>4000</v>
      </c>
      <c r="C7" s="1762">
        <f>'Revenues 9-14'!C274</f>
        <v>2032381</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16383757</v>
      </c>
      <c r="D8" s="1707">
        <f t="shared" ref="D8:K8" si="0">SUM(D4:D7)</f>
        <v>1933107</v>
      </c>
      <c r="E8" s="1707">
        <f t="shared" si="0"/>
        <v>709591</v>
      </c>
      <c r="F8" s="1707">
        <f t="shared" si="0"/>
        <v>1394143</v>
      </c>
      <c r="G8" s="1707">
        <f t="shared" si="0"/>
        <v>551241</v>
      </c>
      <c r="H8" s="1707">
        <f t="shared" si="0"/>
        <v>542758</v>
      </c>
      <c r="I8" s="1707">
        <f t="shared" si="0"/>
        <v>66436</v>
      </c>
      <c r="J8" s="1707">
        <f t="shared" si="0"/>
        <v>480309</v>
      </c>
      <c r="K8" s="1707">
        <f t="shared" si="0"/>
        <v>0</v>
      </c>
      <c r="L8" s="347"/>
    </row>
    <row r="9" spans="1:13" ht="15.75" thickTop="1" x14ac:dyDescent="0.2">
      <c r="A9" s="514" t="s">
        <v>1751</v>
      </c>
      <c r="B9" s="515">
        <v>3998</v>
      </c>
      <c r="C9" s="481">
        <v>7479915</v>
      </c>
      <c r="D9" s="516"/>
      <c r="E9" s="481"/>
      <c r="F9" s="481"/>
      <c r="G9" s="517"/>
      <c r="H9" s="481"/>
      <c r="I9" s="509" t="s">
        <v>1231</v>
      </c>
      <c r="J9" s="478"/>
      <c r="K9" s="481"/>
      <c r="L9" s="347"/>
    </row>
    <row r="10" spans="1:13" s="519" customFormat="1" ht="13.5" thickBot="1" x14ac:dyDescent="0.25">
      <c r="A10" s="1755" t="s">
        <v>1235</v>
      </c>
      <c r="B10" s="1728"/>
      <c r="C10" s="1707">
        <f>SUM(C8:C9)</f>
        <v>23863672</v>
      </c>
      <c r="D10" s="1707">
        <f t="shared" ref="D10:K10" si="1">SUM(D8:D9)</f>
        <v>1933107</v>
      </c>
      <c r="E10" s="1707">
        <f t="shared" si="1"/>
        <v>709591</v>
      </c>
      <c r="F10" s="1707">
        <f t="shared" si="1"/>
        <v>1394143</v>
      </c>
      <c r="G10" s="1707">
        <f t="shared" si="1"/>
        <v>551241</v>
      </c>
      <c r="H10" s="1707">
        <f t="shared" si="1"/>
        <v>542758</v>
      </c>
      <c r="I10" s="1707">
        <f t="shared" si="1"/>
        <v>66436</v>
      </c>
      <c r="J10" s="1707">
        <f t="shared" si="1"/>
        <v>480309</v>
      </c>
      <c r="K10" s="1707">
        <f t="shared" si="1"/>
        <v>0</v>
      </c>
      <c r="L10" s="518"/>
    </row>
    <row r="11" spans="1:13" s="519" customFormat="1" ht="16.7" customHeight="1" thickTop="1" x14ac:dyDescent="0.2">
      <c r="A11" s="2138" t="s">
        <v>1238</v>
      </c>
      <c r="B11" s="2139"/>
      <c r="C11" s="1589"/>
      <c r="D11" s="1590"/>
      <c r="E11" s="1590"/>
      <c r="F11" s="1590"/>
      <c r="G11" s="1590"/>
      <c r="H11" s="1590"/>
      <c r="I11" s="1590"/>
      <c r="J11" s="1590"/>
      <c r="K11" s="1591"/>
      <c r="L11" s="518"/>
    </row>
    <row r="12" spans="1:13" ht="15.75" customHeight="1" x14ac:dyDescent="0.2">
      <c r="A12" s="1595" t="s">
        <v>476</v>
      </c>
      <c r="B12" s="1597">
        <v>1000</v>
      </c>
      <c r="C12" s="1761">
        <f>'Expenditures 15-22'!K33</f>
        <v>10718159</v>
      </c>
      <c r="D12" s="520" t="s">
        <v>1231</v>
      </c>
      <c r="E12" s="468" t="s">
        <v>1231</v>
      </c>
      <c r="F12" s="468" t="s">
        <v>1231</v>
      </c>
      <c r="G12" s="1761">
        <f>'Expenditures 15-22'!K229</f>
        <v>289174</v>
      </c>
      <c r="H12" s="521"/>
      <c r="I12" s="468" t="s">
        <v>1231</v>
      </c>
      <c r="J12" s="468" t="s">
        <v>1231</v>
      </c>
      <c r="K12" s="521" t="s">
        <v>1231</v>
      </c>
      <c r="L12" s="347"/>
    </row>
    <row r="13" spans="1:13" ht="15.75" customHeight="1" x14ac:dyDescent="0.2">
      <c r="A13" s="1595" t="s">
        <v>477</v>
      </c>
      <c r="B13" s="1597">
        <v>2000</v>
      </c>
      <c r="C13" s="1762">
        <f>'Expenditures 15-22'!K74</f>
        <v>4158193</v>
      </c>
      <c r="D13" s="1762">
        <f>'Expenditures 15-22'!K129</f>
        <v>1933107</v>
      </c>
      <c r="E13" s="469" t="s">
        <v>1231</v>
      </c>
      <c r="F13" s="1762">
        <f>'Expenditures 15-22'!K184</f>
        <v>1394113</v>
      </c>
      <c r="G13" s="1762">
        <f>'Expenditures 15-22'!K279</f>
        <v>317865</v>
      </c>
      <c r="H13" s="1762">
        <f>'Expenditures 15-22'!K303</f>
        <v>542710</v>
      </c>
      <c r="I13" s="468" t="s">
        <v>1231</v>
      </c>
      <c r="J13" s="1762">
        <f>'Expenditures 15-22'!K330</f>
        <v>412522</v>
      </c>
      <c r="K13" s="1766">
        <f>'Expenditures 15-22'!K352</f>
        <v>0</v>
      </c>
      <c r="L13" s="347"/>
    </row>
    <row r="14" spans="1:13" ht="15.75" customHeight="1" x14ac:dyDescent="0.2">
      <c r="A14" s="1595" t="s">
        <v>469</v>
      </c>
      <c r="B14" s="1597">
        <v>3000</v>
      </c>
      <c r="C14" s="1762">
        <f>'Expenditures 15-22'!K75</f>
        <v>21316</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5" t="s">
        <v>109</v>
      </c>
      <c r="B15" s="1597">
        <v>4000</v>
      </c>
      <c r="C15" s="1762">
        <f>'Expenditures 15-22'!K102</f>
        <v>173424</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981193</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15071092</v>
      </c>
      <c r="D17" s="1707">
        <f t="shared" si="2"/>
        <v>1933107</v>
      </c>
      <c r="E17" s="1707">
        <f t="shared" si="2"/>
        <v>981193</v>
      </c>
      <c r="F17" s="1707">
        <f t="shared" si="2"/>
        <v>1394113</v>
      </c>
      <c r="G17" s="1707">
        <f t="shared" si="2"/>
        <v>607039</v>
      </c>
      <c r="H17" s="1707">
        <f t="shared" si="2"/>
        <v>542710</v>
      </c>
      <c r="I17" s="468"/>
      <c r="J17" s="1707">
        <f>SUM(J12:J16)</f>
        <v>412522</v>
      </c>
      <c r="K17" s="1707">
        <f>SUM(K12:K16)</f>
        <v>0</v>
      </c>
      <c r="L17" s="347"/>
    </row>
    <row r="18" spans="1:12" ht="15" customHeight="1" thickTop="1" x14ac:dyDescent="0.2">
      <c r="A18" s="1763" t="s">
        <v>1752</v>
      </c>
      <c r="B18" s="1764">
        <v>4180</v>
      </c>
      <c r="C18" s="1761">
        <f t="shared" ref="C18:H18" si="3">C9</f>
        <v>7479915</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22551007</v>
      </c>
      <c r="D19" s="1707">
        <f t="shared" si="4"/>
        <v>1933107</v>
      </c>
      <c r="E19" s="1707">
        <f t="shared" si="4"/>
        <v>981193</v>
      </c>
      <c r="F19" s="1707">
        <f t="shared" si="4"/>
        <v>1394113</v>
      </c>
      <c r="G19" s="1707">
        <f t="shared" si="4"/>
        <v>607039</v>
      </c>
      <c r="H19" s="1707">
        <f t="shared" si="4"/>
        <v>542710</v>
      </c>
      <c r="I19" s="468"/>
      <c r="J19" s="1707">
        <f>SUM(J17:J18)</f>
        <v>412522</v>
      </c>
      <c r="K19" s="1707">
        <f>SUM(K17:K18)</f>
        <v>0</v>
      </c>
      <c r="L19" s="347"/>
    </row>
    <row r="20" spans="1:12" ht="16.5" thickTop="1" thickBot="1" x14ac:dyDescent="0.25">
      <c r="A20" s="2156" t="s">
        <v>1753</v>
      </c>
      <c r="B20" s="2157"/>
      <c r="C20" s="1765">
        <f>C8-C17</f>
        <v>1312665</v>
      </c>
      <c r="D20" s="1765">
        <f t="shared" ref="D20:K20" si="5">D8-D17</f>
        <v>0</v>
      </c>
      <c r="E20" s="1765">
        <f t="shared" si="5"/>
        <v>-271602</v>
      </c>
      <c r="F20" s="1765">
        <f t="shared" si="5"/>
        <v>30</v>
      </c>
      <c r="G20" s="1765">
        <f t="shared" si="5"/>
        <v>-55798</v>
      </c>
      <c r="H20" s="1765">
        <f t="shared" si="5"/>
        <v>48</v>
      </c>
      <c r="I20" s="1765">
        <f t="shared" si="5"/>
        <v>66436</v>
      </c>
      <c r="J20" s="1765">
        <f t="shared" si="5"/>
        <v>67787</v>
      </c>
      <c r="K20" s="1765">
        <f t="shared" si="5"/>
        <v>0</v>
      </c>
      <c r="L20" s="347"/>
    </row>
    <row r="21" spans="1:12" ht="16.7" customHeight="1" thickTop="1" x14ac:dyDescent="0.2">
      <c r="A21" s="2170" t="s">
        <v>616</v>
      </c>
      <c r="B21" s="2171"/>
      <c r="C21" s="1589"/>
      <c r="D21" s="1590"/>
      <c r="E21" s="1590"/>
      <c r="F21" s="1590"/>
      <c r="G21" s="1590"/>
      <c r="H21" s="1590"/>
      <c r="I21" s="1590"/>
      <c r="J21" s="1590"/>
      <c r="K21" s="1591"/>
      <c r="L21" s="524"/>
    </row>
    <row r="22" spans="1:12" ht="15.75" customHeight="1" collapsed="1" x14ac:dyDescent="0.2">
      <c r="A22" s="2164" t="s">
        <v>617</v>
      </c>
      <c r="B22" s="2165"/>
      <c r="C22" s="477"/>
      <c r="D22" s="477"/>
      <c r="E22" s="477"/>
      <c r="F22" s="477"/>
      <c r="G22" s="477"/>
      <c r="H22" s="477"/>
      <c r="I22" s="477"/>
      <c r="J22" s="477"/>
      <c r="K22" s="477"/>
      <c r="L22" s="347"/>
    </row>
    <row r="23" spans="1:12" s="485" customFormat="1" ht="15.75" customHeight="1" x14ac:dyDescent="0.2">
      <c r="A23" s="2160" t="s">
        <v>311</v>
      </c>
      <c r="B23" s="2161"/>
      <c r="C23" s="480"/>
      <c r="D23" s="477"/>
      <c r="E23" s="477"/>
      <c r="F23" s="477"/>
      <c r="G23" s="477"/>
      <c r="H23" s="477"/>
      <c r="I23" s="477"/>
      <c r="J23" s="477"/>
      <c r="K23" s="477"/>
      <c r="L23" s="524"/>
    </row>
    <row r="24" spans="1:12" s="485" customFormat="1" ht="13.5" customHeight="1" x14ac:dyDescent="0.2">
      <c r="A24" s="1508" t="s">
        <v>1754</v>
      </c>
      <c r="B24" s="525">
        <v>7110</v>
      </c>
      <c r="C24" s="467"/>
      <c r="D24" s="477"/>
      <c r="E24" s="477"/>
      <c r="F24" s="477"/>
      <c r="G24" s="477"/>
      <c r="H24" s="477"/>
      <c r="I24" s="477"/>
      <c r="J24" s="477"/>
      <c r="K24" s="477"/>
      <c r="L24" s="524"/>
    </row>
    <row r="25" spans="1:12" s="485" customFormat="1" ht="13.5" customHeight="1" x14ac:dyDescent="0.2">
      <c r="A25" s="1508" t="s">
        <v>1755</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1464</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162" t="s">
        <v>1038</v>
      </c>
      <c r="B32" s="2163"/>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1756</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266116</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2">
        <f>SUM(C24:C43)</f>
        <v>0</v>
      </c>
      <c r="D44" s="1722">
        <f t="shared" ref="D44:K44" si="6">SUM(D24:D43)</f>
        <v>0</v>
      </c>
      <c r="E44" s="1722">
        <f t="shared" si="6"/>
        <v>266116</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44" t="s">
        <v>111</v>
      </c>
      <c r="B46" s="2145"/>
      <c r="C46" s="477"/>
      <c r="D46" s="477"/>
      <c r="E46" s="477"/>
      <c r="F46" s="477"/>
      <c r="G46" s="477"/>
      <c r="H46" s="477"/>
      <c r="I46" s="480"/>
      <c r="J46" s="477"/>
      <c r="K46" s="477"/>
      <c r="L46" s="529"/>
    </row>
    <row r="47" spans="1:12" s="485" customFormat="1" ht="15" x14ac:dyDescent="0.2">
      <c r="A47" s="1509" t="s">
        <v>1757</v>
      </c>
      <c r="B47" s="483">
        <v>8110</v>
      </c>
      <c r="C47" s="477"/>
      <c r="D47" s="477"/>
      <c r="E47" s="477"/>
      <c r="F47" s="477"/>
      <c r="G47" s="477"/>
      <c r="H47" s="477"/>
      <c r="I47" s="1762">
        <f>SUM(C24,C25:H25,J25:K25)</f>
        <v>0</v>
      </c>
      <c r="J47" s="477"/>
      <c r="K47" s="477"/>
      <c r="L47" s="529"/>
    </row>
    <row r="48" spans="1:12" s="485" customFormat="1" ht="15" x14ac:dyDescent="0.2">
      <c r="A48" s="1509" t="s">
        <v>1758</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1464</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2">
        <f>D30</f>
        <v>0</v>
      </c>
      <c r="L52" s="524"/>
    </row>
    <row r="53" spans="1:12" s="485" customFormat="1" ht="26.25" x14ac:dyDescent="0.2">
      <c r="A53" s="1509" t="s">
        <v>1895</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v>266116</v>
      </c>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46" t="s">
        <v>460</v>
      </c>
      <c r="B76" s="2147"/>
      <c r="C76" s="1722">
        <f t="shared" ref="C76:K76" si="7">SUM(C47:C75)</f>
        <v>266116</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48" t="s">
        <v>1239</v>
      </c>
      <c r="B77" s="2149"/>
      <c r="C77" s="1722">
        <f t="shared" ref="C77:K77" si="8">C44-C76</f>
        <v>-266116</v>
      </c>
      <c r="D77" s="1722">
        <f t="shared" si="8"/>
        <v>0</v>
      </c>
      <c r="E77" s="1722">
        <f t="shared" si="8"/>
        <v>266116</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52" t="s">
        <v>618</v>
      </c>
      <c r="B78" s="2153"/>
      <c r="C78" s="1721">
        <f t="shared" ref="C78:K78" si="9">C20+C77</f>
        <v>1046549</v>
      </c>
      <c r="D78" s="1721">
        <f t="shared" si="9"/>
        <v>0</v>
      </c>
      <c r="E78" s="1721">
        <f t="shared" si="9"/>
        <v>-5486</v>
      </c>
      <c r="F78" s="1721">
        <f t="shared" si="9"/>
        <v>30</v>
      </c>
      <c r="G78" s="1721">
        <f t="shared" si="9"/>
        <v>-55798</v>
      </c>
      <c r="H78" s="1721">
        <f t="shared" si="9"/>
        <v>48</v>
      </c>
      <c r="I78" s="1721">
        <f t="shared" si="9"/>
        <v>66436</v>
      </c>
      <c r="J78" s="1721">
        <f t="shared" si="9"/>
        <v>67787</v>
      </c>
      <c r="K78" s="1721">
        <f t="shared" si="9"/>
        <v>0</v>
      </c>
      <c r="L78" s="533"/>
    </row>
    <row r="79" spans="1:12" ht="13.5" thickTop="1" x14ac:dyDescent="0.2">
      <c r="A79" s="1513" t="s">
        <v>2069</v>
      </c>
      <c r="B79" s="534"/>
      <c r="C79" s="478">
        <v>3737296</v>
      </c>
      <c r="D79" s="535"/>
      <c r="E79" s="535">
        <v>496776</v>
      </c>
      <c r="F79" s="535"/>
      <c r="G79" s="535">
        <v>678801</v>
      </c>
      <c r="H79" s="535"/>
      <c r="I79" s="535">
        <v>28453</v>
      </c>
      <c r="J79" s="535">
        <v>95816</v>
      </c>
      <c r="K79" s="535"/>
      <c r="L79" s="347"/>
    </row>
    <row r="80" spans="1:12" x14ac:dyDescent="0.2">
      <c r="A80" s="2158" t="s">
        <v>1894</v>
      </c>
      <c r="B80" s="2159"/>
      <c r="C80" s="467"/>
      <c r="D80" s="467"/>
      <c r="E80" s="467"/>
      <c r="F80" s="467"/>
      <c r="G80" s="467"/>
      <c r="H80" s="467"/>
      <c r="I80" s="467"/>
      <c r="J80" s="467"/>
      <c r="K80" s="467"/>
      <c r="L80" s="347"/>
    </row>
    <row r="81" spans="1:12" ht="13.5" thickBot="1" x14ac:dyDescent="0.25">
      <c r="A81" s="2150" t="s">
        <v>2070</v>
      </c>
      <c r="B81" s="2151"/>
      <c r="C81" s="1707">
        <f>(SUM(C78:C80))</f>
        <v>4783845</v>
      </c>
      <c r="D81" s="1707">
        <f>SUM(D78:D80)</f>
        <v>0</v>
      </c>
      <c r="E81" s="1707">
        <f t="shared" ref="E81:K81" si="10">SUM(E78:E80)</f>
        <v>491290</v>
      </c>
      <c r="F81" s="1707">
        <f t="shared" si="10"/>
        <v>30</v>
      </c>
      <c r="G81" s="1707">
        <f t="shared" si="10"/>
        <v>623003</v>
      </c>
      <c r="H81" s="1707">
        <f t="shared" si="10"/>
        <v>48</v>
      </c>
      <c r="I81" s="1707">
        <f t="shared" si="10"/>
        <v>94889</v>
      </c>
      <c r="J81" s="1707">
        <f t="shared" si="10"/>
        <v>163603</v>
      </c>
      <c r="K81" s="1707">
        <f t="shared" si="10"/>
        <v>0</v>
      </c>
      <c r="L81" s="347"/>
    </row>
    <row r="82" spans="1:12" ht="0.75" customHeight="1" thickTop="1" thickBot="1" x14ac:dyDescent="0.25">
      <c r="A82" s="536" t="s">
        <v>361</v>
      </c>
      <c r="B82" s="537"/>
      <c r="C82" s="538">
        <f>(C81-C79)</f>
        <v>1046549</v>
      </c>
      <c r="D82" s="538">
        <f t="shared" ref="D82:K82" si="11">(D81-D79)</f>
        <v>0</v>
      </c>
      <c r="E82" s="538">
        <f t="shared" si="11"/>
        <v>-5486</v>
      </c>
      <c r="F82" s="538">
        <f t="shared" si="11"/>
        <v>30</v>
      </c>
      <c r="G82" s="538">
        <f t="shared" si="11"/>
        <v>-55798</v>
      </c>
      <c r="H82" s="538">
        <f t="shared" si="11"/>
        <v>48</v>
      </c>
      <c r="I82" s="538">
        <f t="shared" si="11"/>
        <v>66436</v>
      </c>
      <c r="J82" s="538">
        <f t="shared" si="11"/>
        <v>67787</v>
      </c>
      <c r="K82" s="538">
        <f t="shared" si="11"/>
        <v>0</v>
      </c>
    </row>
    <row r="83" spans="1:12" ht="14.25" hidden="1" thickTop="1" thickBot="1" x14ac:dyDescent="0.25">
      <c r="A83" s="539" t="s">
        <v>362</v>
      </c>
      <c r="B83" s="464"/>
      <c r="C83" s="540">
        <f>C82/C81</f>
        <v>0.21876733046325705</v>
      </c>
      <c r="D83" s="540" t="e">
        <f t="shared" ref="D83:K83" si="12">D82/D81</f>
        <v>#DIV/0!</v>
      </c>
      <c r="E83" s="540">
        <f t="shared" si="12"/>
        <v>-1.1166520792200126E-2</v>
      </c>
      <c r="F83" s="540">
        <f t="shared" si="12"/>
        <v>1</v>
      </c>
      <c r="G83" s="540">
        <f t="shared" si="12"/>
        <v>-8.9562971606878303E-2</v>
      </c>
      <c r="H83" s="540">
        <f t="shared" si="12"/>
        <v>1</v>
      </c>
      <c r="I83" s="540">
        <f t="shared" si="12"/>
        <v>0.70014437922203843</v>
      </c>
      <c r="J83" s="540">
        <f t="shared" si="12"/>
        <v>0.41433836787833966</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5" type="noConversion"/>
  <printOptions horizontalCentered="1" heading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75" activePane="bottomLeft" state="frozen"/>
      <selection activeCell="A15" sqref="A15:F15"/>
      <selection pane="bottomLeft" activeCell="A15" sqref="A15:F1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1901</v>
      </c>
      <c r="B1" s="452"/>
      <c r="C1" s="453" t="s">
        <v>445</v>
      </c>
      <c r="D1" s="453" t="s">
        <v>446</v>
      </c>
      <c r="E1" s="453" t="s">
        <v>447</v>
      </c>
      <c r="F1" s="453" t="s">
        <v>448</v>
      </c>
      <c r="G1" s="453" t="s">
        <v>449</v>
      </c>
      <c r="H1" s="453" t="s">
        <v>450</v>
      </c>
      <c r="I1" s="453" t="s">
        <v>451</v>
      </c>
      <c r="J1" s="453" t="s">
        <v>452</v>
      </c>
      <c r="K1" s="453" t="s">
        <v>780</v>
      </c>
    </row>
    <row r="2" spans="1:12" ht="36" x14ac:dyDescent="0.2">
      <c r="A2" s="215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1759</v>
      </c>
      <c r="B5" s="547"/>
      <c r="C5" s="481">
        <v>3756658</v>
      </c>
      <c r="D5" s="481">
        <v>680764</v>
      </c>
      <c r="E5" s="466">
        <v>705783</v>
      </c>
      <c r="F5" s="548">
        <v>272306</v>
      </c>
      <c r="G5" s="466">
        <v>223363</v>
      </c>
      <c r="H5" s="466"/>
      <c r="I5" s="466">
        <v>66283</v>
      </c>
      <c r="J5" s="467">
        <v>467228</v>
      </c>
      <c r="K5" s="466"/>
    </row>
    <row r="6" spans="1:12" ht="15" x14ac:dyDescent="0.2">
      <c r="A6" s="463" t="s">
        <v>1760</v>
      </c>
      <c r="B6" s="470">
        <v>1130</v>
      </c>
      <c r="C6" s="466"/>
      <c r="D6" s="466">
        <v>68090</v>
      </c>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223363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3756658</v>
      </c>
      <c r="D12" s="1726">
        <f t="shared" si="0"/>
        <v>748854</v>
      </c>
      <c r="E12" s="1726">
        <f t="shared" si="0"/>
        <v>705783</v>
      </c>
      <c r="F12" s="1726">
        <f t="shared" si="0"/>
        <v>272306</v>
      </c>
      <c r="G12" s="1726">
        <f t="shared" si="0"/>
        <v>446726</v>
      </c>
      <c r="H12" s="1726">
        <f t="shared" si="0"/>
        <v>0</v>
      </c>
      <c r="I12" s="1726">
        <f t="shared" si="0"/>
        <v>66283</v>
      </c>
      <c r="J12" s="1726">
        <f t="shared" si="0"/>
        <v>467228</v>
      </c>
      <c r="K12" s="1707">
        <f t="shared" si="0"/>
        <v>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516522</v>
      </c>
      <c r="D16" s="466">
        <v>174822</v>
      </c>
      <c r="E16" s="466"/>
      <c r="F16" s="466"/>
      <c r="G16" s="466">
        <v>103304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516522</v>
      </c>
      <c r="D18" s="1729">
        <f t="shared" ref="D18:K18" si="1">SUM(D14:D17)</f>
        <v>174822</v>
      </c>
      <c r="E18" s="1729">
        <f t="shared" si="1"/>
        <v>0</v>
      </c>
      <c r="F18" s="1729">
        <f t="shared" si="1"/>
        <v>0</v>
      </c>
      <c r="G18" s="1729">
        <f t="shared" si="1"/>
        <v>103304</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177498</v>
      </c>
      <c r="D65" s="466">
        <v>1444</v>
      </c>
      <c r="E65" s="466">
        <v>2754</v>
      </c>
      <c r="F65" s="467">
        <v>360</v>
      </c>
      <c r="G65" s="466">
        <v>1211</v>
      </c>
      <c r="H65" s="466">
        <v>596</v>
      </c>
      <c r="I65" s="466">
        <v>153</v>
      </c>
      <c r="J65" s="467">
        <v>523</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177498</v>
      </c>
      <c r="D67" s="1707">
        <f t="shared" ref="D67:K67" si="2">SUM(D65:D66)</f>
        <v>1444</v>
      </c>
      <c r="E67" s="1707">
        <f t="shared" si="2"/>
        <v>2754</v>
      </c>
      <c r="F67" s="1707">
        <f t="shared" si="2"/>
        <v>360</v>
      </c>
      <c r="G67" s="1707">
        <f t="shared" si="2"/>
        <v>1211</v>
      </c>
      <c r="H67" s="1707">
        <f t="shared" si="2"/>
        <v>596</v>
      </c>
      <c r="I67" s="1707">
        <f t="shared" si="2"/>
        <v>153</v>
      </c>
      <c r="J67" s="1707">
        <f t="shared" si="2"/>
        <v>523</v>
      </c>
      <c r="K67" s="1707">
        <f t="shared" si="2"/>
        <v>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23127</v>
      </c>
      <c r="D69" s="468"/>
      <c r="E69" s="468"/>
      <c r="F69" s="468"/>
      <c r="G69" s="468"/>
      <c r="H69" s="468"/>
      <c r="I69" s="468"/>
      <c r="J69" s="468"/>
      <c r="K69" s="468"/>
    </row>
    <row r="70" spans="1:11" ht="12.75" customHeight="1" x14ac:dyDescent="0.2">
      <c r="A70" s="463" t="s">
        <v>1054</v>
      </c>
      <c r="B70" s="470">
        <v>1612</v>
      </c>
      <c r="C70" s="551">
        <v>128</v>
      </c>
      <c r="D70" s="468"/>
      <c r="E70" s="468"/>
      <c r="F70" s="468"/>
      <c r="G70" s="468"/>
      <c r="H70" s="468"/>
      <c r="I70" s="468"/>
      <c r="J70" s="468"/>
      <c r="K70" s="468"/>
    </row>
    <row r="71" spans="1:11" ht="12.75" customHeight="1" x14ac:dyDescent="0.2">
      <c r="A71" s="463" t="s">
        <v>291</v>
      </c>
      <c r="B71" s="470">
        <v>1613</v>
      </c>
      <c r="C71" s="551">
        <v>221083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15008</v>
      </c>
      <c r="D73" s="468"/>
      <c r="E73" s="468"/>
      <c r="F73" s="468"/>
      <c r="G73" s="468"/>
      <c r="H73" s="468"/>
      <c r="I73" s="468"/>
      <c r="J73" s="468"/>
      <c r="K73" s="468"/>
    </row>
    <row r="74" spans="1:11" ht="12.75" customHeight="1" x14ac:dyDescent="0.2">
      <c r="A74" s="463" t="s">
        <v>25</v>
      </c>
      <c r="B74" s="470">
        <v>1690</v>
      </c>
      <c r="C74" s="551">
        <v>16942</v>
      </c>
      <c r="D74" s="468"/>
      <c r="E74" s="468"/>
      <c r="F74" s="468"/>
      <c r="G74" s="468"/>
      <c r="H74" s="468"/>
      <c r="I74" s="468"/>
      <c r="J74" s="468"/>
      <c r="K74" s="468"/>
    </row>
    <row r="75" spans="1:11" ht="12.75" customHeight="1" thickBot="1" x14ac:dyDescent="0.25">
      <c r="A75" s="1727" t="s">
        <v>569</v>
      </c>
      <c r="B75" s="1728"/>
      <c r="C75" s="1707">
        <f>SUM(C69:C74)</f>
        <v>276288</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43802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43802</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20725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20725</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v>9000</v>
      </c>
      <c r="E95" s="521"/>
      <c r="F95" s="521"/>
      <c r="G95" s="521"/>
      <c r="H95" s="521"/>
      <c r="I95" s="521"/>
      <c r="J95" s="521"/>
      <c r="K95" s="521"/>
    </row>
    <row r="96" spans="1:11" ht="12.75" customHeight="1" x14ac:dyDescent="0.2">
      <c r="A96" s="463" t="s">
        <v>409</v>
      </c>
      <c r="B96" s="470">
        <v>1920</v>
      </c>
      <c r="C96" s="551">
        <v>15773</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129360</v>
      </c>
      <c r="D99" s="466"/>
      <c r="E99" s="466"/>
      <c r="F99" s="466"/>
      <c r="G99" s="466"/>
      <c r="H99" s="466"/>
      <c r="I99" s="468"/>
      <c r="J99" s="467">
        <v>12558</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81744</v>
      </c>
      <c r="D107" s="466">
        <v>207</v>
      </c>
      <c r="E107" s="466"/>
      <c r="F107" s="466">
        <v>562</v>
      </c>
      <c r="G107" s="466"/>
      <c r="H107" s="466"/>
      <c r="I107" s="466"/>
      <c r="J107" s="467"/>
      <c r="K107" s="466"/>
    </row>
    <row r="108" spans="1:12" ht="12.75" customHeight="1" thickBot="1" x14ac:dyDescent="0.25">
      <c r="A108" s="1727" t="s">
        <v>508</v>
      </c>
      <c r="B108" s="1731"/>
      <c r="C108" s="1726">
        <f>SUM(C95:C107)</f>
        <v>226877</v>
      </c>
      <c r="D108" s="1726">
        <f t="shared" ref="D108:K108" si="3">SUM(D95:D107)</f>
        <v>9207</v>
      </c>
      <c r="E108" s="1726">
        <f t="shared" si="3"/>
        <v>0</v>
      </c>
      <c r="F108" s="1726">
        <f t="shared" si="3"/>
        <v>562</v>
      </c>
      <c r="G108" s="1726">
        <f t="shared" si="3"/>
        <v>0</v>
      </c>
      <c r="H108" s="1726">
        <f t="shared" si="3"/>
        <v>0</v>
      </c>
      <c r="I108" s="1726">
        <f t="shared" si="3"/>
        <v>0</v>
      </c>
      <c r="J108" s="1726">
        <f t="shared" si="3"/>
        <v>12558</v>
      </c>
      <c r="K108" s="1707">
        <f t="shared" si="3"/>
        <v>0</v>
      </c>
    </row>
    <row r="109" spans="1:12" ht="14.25" thickTop="1" thickBot="1" x14ac:dyDescent="0.25">
      <c r="A109" s="1732" t="s">
        <v>266</v>
      </c>
      <c r="B109" s="1733" t="s">
        <v>591</v>
      </c>
      <c r="C109" s="1734">
        <f t="shared" ref="C109:K109" si="4">SUM(C12,C18,C40,C63,C67,C75,C82,C93,C108,)</f>
        <v>5018370</v>
      </c>
      <c r="D109" s="1734">
        <f t="shared" si="4"/>
        <v>934327</v>
      </c>
      <c r="E109" s="1734">
        <f t="shared" si="4"/>
        <v>708537</v>
      </c>
      <c r="F109" s="1734">
        <f t="shared" si="4"/>
        <v>273228</v>
      </c>
      <c r="G109" s="1734">
        <f t="shared" si="4"/>
        <v>551241</v>
      </c>
      <c r="H109" s="1734">
        <f t="shared" si="4"/>
        <v>596</v>
      </c>
      <c r="I109" s="1734">
        <f t="shared" si="4"/>
        <v>66436</v>
      </c>
      <c r="J109" s="1734">
        <f t="shared" si="4"/>
        <v>480309</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v>3213</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3213</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1570</v>
      </c>
      <c r="B116" s="1615"/>
      <c r="C116" s="522"/>
      <c r="D116" s="521"/>
      <c r="E116" s="561"/>
      <c r="F116" s="521"/>
      <c r="G116" s="521"/>
      <c r="H116" s="561"/>
      <c r="I116" s="468"/>
      <c r="J116" s="521"/>
      <c r="K116" s="521"/>
    </row>
    <row r="117" spans="1:11" ht="12.75" customHeight="1" x14ac:dyDescent="0.2">
      <c r="A117" s="463" t="s">
        <v>1765</v>
      </c>
      <c r="B117" s="562">
        <v>3001</v>
      </c>
      <c r="C117" s="516">
        <v>8765659</v>
      </c>
      <c r="D117" s="481">
        <v>998780</v>
      </c>
      <c r="E117" s="466">
        <v>1054</v>
      </c>
      <c r="F117" s="481">
        <v>114600</v>
      </c>
      <c r="G117" s="481"/>
      <c r="H117" s="466">
        <v>542162</v>
      </c>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8765659</v>
      </c>
      <c r="D121" s="1726">
        <f t="shared" si="5"/>
        <v>998780</v>
      </c>
      <c r="E121" s="1726">
        <f t="shared" si="5"/>
        <v>1054</v>
      </c>
      <c r="F121" s="1726">
        <f t="shared" si="5"/>
        <v>114600</v>
      </c>
      <c r="G121" s="1726">
        <f t="shared" si="5"/>
        <v>0</v>
      </c>
      <c r="H121" s="1726">
        <f t="shared" si="5"/>
        <v>542162</v>
      </c>
      <c r="I121" s="468"/>
      <c r="J121" s="1726">
        <f>SUM(J117:J120)</f>
        <v>0</v>
      </c>
      <c r="K121" s="1707">
        <f>SUM(K117:K120)</f>
        <v>0</v>
      </c>
    </row>
    <row r="122" spans="1:11" ht="15.75" customHeight="1" thickTop="1" x14ac:dyDescent="0.2">
      <c r="A122" s="1611" t="s">
        <v>1569</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13193</v>
      </c>
      <c r="D124" s="561"/>
      <c r="E124" s="468"/>
      <c r="F124" s="548"/>
      <c r="G124" s="468"/>
      <c r="H124" s="468"/>
      <c r="I124" s="468"/>
      <c r="J124" s="468"/>
      <c r="K124" s="468"/>
    </row>
    <row r="125" spans="1:11" ht="12.75" customHeight="1" x14ac:dyDescent="0.2">
      <c r="A125" s="463" t="s">
        <v>1520</v>
      </c>
      <c r="B125" s="562">
        <v>3105</v>
      </c>
      <c r="C125" s="466">
        <v>148364</v>
      </c>
      <c r="D125" s="561"/>
      <c r="E125" s="468"/>
      <c r="F125" s="466"/>
      <c r="G125" s="468"/>
      <c r="H125" s="468"/>
      <c r="I125" s="468"/>
      <c r="J125" s="468"/>
      <c r="K125" s="468"/>
    </row>
    <row r="126" spans="1:11" ht="12.75" customHeight="1" x14ac:dyDescent="0.2">
      <c r="A126" s="463" t="s">
        <v>922</v>
      </c>
      <c r="B126" s="562">
        <v>3110</v>
      </c>
      <c r="C126" s="551">
        <v>196081</v>
      </c>
      <c r="D126" s="466"/>
      <c r="E126" s="468"/>
      <c r="F126" s="466"/>
      <c r="G126" s="468"/>
      <c r="H126" s="468"/>
      <c r="I126" s="468"/>
      <c r="J126" s="468"/>
      <c r="K126" s="468"/>
    </row>
    <row r="127" spans="1:11" ht="12.75" customHeight="1" x14ac:dyDescent="0.2">
      <c r="A127" s="463" t="s">
        <v>107</v>
      </c>
      <c r="B127" s="562">
        <v>3120</v>
      </c>
      <c r="C127" s="466">
        <v>34991</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392629</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14673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14673</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11135</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23537</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1522</v>
      </c>
      <c r="B151" s="562">
        <v>3500</v>
      </c>
      <c r="C151" s="551"/>
      <c r="D151" s="466"/>
      <c r="E151" s="561"/>
      <c r="F151" s="466">
        <v>693188</v>
      </c>
      <c r="G151" s="467"/>
      <c r="H151" s="468"/>
      <c r="I151" s="468"/>
      <c r="J151" s="468"/>
      <c r="K151" s="468"/>
    </row>
    <row r="152" spans="1:11" ht="12.75" customHeight="1" x14ac:dyDescent="0.2">
      <c r="A152" s="463" t="s">
        <v>1117</v>
      </c>
      <c r="B152" s="562">
        <v>3510</v>
      </c>
      <c r="C152" s="551"/>
      <c r="D152" s="466"/>
      <c r="E152" s="561"/>
      <c r="F152" s="466">
        <v>313127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1006315</v>
      </c>
      <c r="G154" s="1726">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98620</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1523</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23540</v>
      </c>
      <c r="D171" s="580"/>
      <c r="E171" s="580"/>
      <c r="F171" s="580"/>
      <c r="G171" s="581"/>
      <c r="H171" s="582"/>
      <c r="I171" s="581"/>
      <c r="J171" s="581"/>
      <c r="K171" s="582"/>
    </row>
    <row r="172" spans="1:11" ht="12.75" customHeight="1" thickTop="1" thickBot="1" x14ac:dyDescent="0.25">
      <c r="A172" s="2174" t="s">
        <v>418</v>
      </c>
      <c r="B172" s="2175"/>
      <c r="C172" s="1741">
        <f t="shared" ref="C172:K172" si="6">SUM(C131,C140,C144,C145:C149,C154,C155:C170,C171)</f>
        <v>564134</v>
      </c>
      <c r="D172" s="1741">
        <f t="shared" si="6"/>
        <v>0</v>
      </c>
      <c r="E172" s="1741">
        <f t="shared" si="6"/>
        <v>0</v>
      </c>
      <c r="F172" s="1741">
        <f t="shared" si="6"/>
        <v>1006315</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9329793</v>
      </c>
      <c r="D173" s="1734">
        <f>SUM(D121,D172)</f>
        <v>998780</v>
      </c>
      <c r="E173" s="1734">
        <f>SUM(E121,E172)</f>
        <v>1054</v>
      </c>
      <c r="F173" s="1734">
        <f t="shared" ref="F173:K173" si="7">SUM(F121,F172)</f>
        <v>1120915</v>
      </c>
      <c r="G173" s="1734">
        <f t="shared" si="7"/>
        <v>0</v>
      </c>
      <c r="H173" s="1734">
        <f t="shared" si="7"/>
        <v>542162</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76" t="s">
        <v>1571</v>
      </c>
      <c r="B175" s="217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0" t="s">
        <v>1763</v>
      </c>
      <c r="B178" s="2181"/>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84" t="s">
        <v>1762</v>
      </c>
      <c r="B179" s="218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2" t="s">
        <v>818</v>
      </c>
      <c r="B184" s="2183"/>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78" t="s">
        <v>1902</v>
      </c>
      <c r="B185" s="2179"/>
      <c r="C185" s="584"/>
      <c r="D185" s="566"/>
      <c r="E185" s="509"/>
      <c r="F185" s="566"/>
      <c r="G185" s="566"/>
      <c r="H185" s="468"/>
      <c r="I185" s="468"/>
      <c r="J185" s="468"/>
      <c r="K185" s="468"/>
    </row>
    <row r="186" spans="1:11" ht="15.75" customHeight="1" x14ac:dyDescent="0.2">
      <c r="A186" s="1622" t="s">
        <v>1691</v>
      </c>
      <c r="B186" s="1623"/>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37915</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7" t="s">
        <v>1696</v>
      </c>
      <c r="B191" s="1728"/>
      <c r="C191" s="1726">
        <f>SUM(C187:C190)</f>
        <v>37915</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1118</v>
      </c>
      <c r="B194" s="470">
        <v>4210</v>
      </c>
      <c r="C194" s="466">
        <v>546315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223415</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769730</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568631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568631</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33266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1528</v>
      </c>
      <c r="B220" s="557">
        <v>4620</v>
      </c>
      <c r="C220" s="551">
        <v>379553</v>
      </c>
      <c r="D220" s="466"/>
      <c r="E220" s="468"/>
      <c r="F220" s="466"/>
      <c r="G220" s="466"/>
      <c r="H220" s="468"/>
      <c r="I220" s="468"/>
      <c r="J220" s="468"/>
      <c r="K220" s="468"/>
    </row>
    <row r="221" spans="1:11" ht="12.75" customHeight="1" x14ac:dyDescent="0.2">
      <c r="A221" s="463" t="s">
        <v>1114</v>
      </c>
      <c r="B221" s="470">
        <v>4625</v>
      </c>
      <c r="C221" s="551">
        <v>11182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424001</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1492</v>
      </c>
      <c r="B260" s="588">
        <v>4901</v>
      </c>
      <c r="C260" s="589"/>
      <c r="D260" s="469"/>
      <c r="E260" s="468"/>
      <c r="F260" s="468"/>
      <c r="G260" s="468"/>
      <c r="H260" s="468"/>
      <c r="I260" s="468"/>
      <c r="J260" s="468"/>
      <c r="K260" s="468"/>
    </row>
    <row r="261" spans="1:11" ht="12.75" customHeight="1" thickTop="1" thickBot="1" x14ac:dyDescent="0.25">
      <c r="A261" s="1522" t="s">
        <v>1537</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86862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33261</v>
      </c>
      <c r="D270" s="576"/>
      <c r="E270" s="468"/>
      <c r="F270" s="576"/>
      <c r="G270" s="576"/>
      <c r="H270" s="468"/>
      <c r="I270" s="468"/>
      <c r="J270" s="468"/>
      <c r="K270" s="468"/>
    </row>
    <row r="271" spans="1:11" ht="12.75" customHeight="1" thickTop="1" thickBot="1" x14ac:dyDescent="0.25">
      <c r="A271" s="463" t="s">
        <v>395</v>
      </c>
      <c r="B271" s="470">
        <v>4992</v>
      </c>
      <c r="C271" s="575">
        <v>111981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1764</v>
      </c>
      <c r="B273" s="1746"/>
      <c r="C273" s="1734">
        <f t="shared" ref="C273:H273" si="10">SUM(C191,C201,C211,C216,C224,C228,C229,C259:C272)</f>
        <v>2032381</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2032381</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16383757</v>
      </c>
      <c r="D275" s="1734">
        <f t="shared" si="12"/>
        <v>1933107</v>
      </c>
      <c r="E275" s="1734">
        <f t="shared" si="12"/>
        <v>709591</v>
      </c>
      <c r="F275" s="1734">
        <f t="shared" si="12"/>
        <v>1394143</v>
      </c>
      <c r="G275" s="1734">
        <f t="shared" si="12"/>
        <v>551241</v>
      </c>
      <c r="H275" s="1734">
        <f t="shared" si="12"/>
        <v>542758</v>
      </c>
      <c r="I275" s="1734">
        <f t="shared" si="12"/>
        <v>66436</v>
      </c>
      <c r="J275" s="1734">
        <f t="shared" si="12"/>
        <v>480309</v>
      </c>
      <c r="K275" s="1721">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6" activePane="bottomLeft" state="frozen"/>
      <selection activeCell="A15" sqref="A15:F15"/>
      <selection pane="bottomLeft" activeCell="A15" sqref="A15:F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5591092</v>
      </c>
      <c r="D5" s="466">
        <v>1332750</v>
      </c>
      <c r="E5" s="466">
        <v>8885</v>
      </c>
      <c r="F5" s="466">
        <v>41293</v>
      </c>
      <c r="G5" s="466">
        <v>17610</v>
      </c>
      <c r="H5" s="466">
        <v>2246</v>
      </c>
      <c r="I5" s="467"/>
      <c r="J5" s="467"/>
      <c r="K5" s="1690">
        <f>SUM(C5:J5)</f>
        <v>6993876</v>
      </c>
      <c r="L5" s="466">
        <v>7010184</v>
      </c>
    </row>
    <row r="6" spans="1:14" x14ac:dyDescent="0.2">
      <c r="A6" s="1523" t="s">
        <v>1507</v>
      </c>
      <c r="B6" s="615" t="s">
        <v>1505</v>
      </c>
      <c r="C6" s="477"/>
      <c r="D6" s="477"/>
      <c r="E6" s="466"/>
      <c r="F6" s="477"/>
      <c r="G6" s="477"/>
      <c r="H6" s="477"/>
      <c r="I6" s="477"/>
      <c r="J6" s="477"/>
      <c r="K6" s="1690">
        <f>SUM(C6,E6)</f>
        <v>0</v>
      </c>
      <c r="L6" s="466"/>
    </row>
    <row r="7" spans="1:14" x14ac:dyDescent="0.2">
      <c r="A7" s="1523" t="s">
        <v>165</v>
      </c>
      <c r="B7" s="615" t="s">
        <v>1024</v>
      </c>
      <c r="C7" s="467">
        <v>55111</v>
      </c>
      <c r="D7" s="467">
        <v>6880</v>
      </c>
      <c r="E7" s="467"/>
      <c r="F7" s="467">
        <v>23914</v>
      </c>
      <c r="G7" s="467">
        <v>13218</v>
      </c>
      <c r="H7" s="467"/>
      <c r="I7" s="467"/>
      <c r="J7" s="467"/>
      <c r="K7" s="1690">
        <f t="shared" ref="K7:K32" si="0">SUM(C7:J7)</f>
        <v>99123</v>
      </c>
      <c r="L7" s="466">
        <v>100086</v>
      </c>
    </row>
    <row r="8" spans="1:14" x14ac:dyDescent="0.2">
      <c r="A8" s="1523" t="s">
        <v>166</v>
      </c>
      <c r="B8" s="615">
        <v>1200</v>
      </c>
      <c r="C8" s="466">
        <v>1916622</v>
      </c>
      <c r="D8" s="466">
        <v>411245</v>
      </c>
      <c r="E8" s="466">
        <v>14508</v>
      </c>
      <c r="F8" s="466">
        <v>5464</v>
      </c>
      <c r="G8" s="466"/>
      <c r="H8" s="466"/>
      <c r="I8" s="467"/>
      <c r="J8" s="467"/>
      <c r="K8" s="1690">
        <f t="shared" si="0"/>
        <v>2347839</v>
      </c>
      <c r="L8" s="466">
        <v>2320971</v>
      </c>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v>276167</v>
      </c>
      <c r="D10" s="466">
        <v>66516</v>
      </c>
      <c r="E10" s="466">
        <v>5125</v>
      </c>
      <c r="F10" s="466">
        <v>121549</v>
      </c>
      <c r="G10" s="466">
        <v>13861</v>
      </c>
      <c r="H10" s="466"/>
      <c r="I10" s="467"/>
      <c r="J10" s="467"/>
      <c r="K10" s="1690">
        <f t="shared" si="0"/>
        <v>483218</v>
      </c>
      <c r="L10" s="466">
        <v>494184</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v>448555</v>
      </c>
      <c r="D13" s="466">
        <v>76046</v>
      </c>
      <c r="E13" s="466">
        <v>3397</v>
      </c>
      <c r="F13" s="466">
        <v>5231</v>
      </c>
      <c r="G13" s="466"/>
      <c r="H13" s="466">
        <v>90</v>
      </c>
      <c r="I13" s="467"/>
      <c r="J13" s="467"/>
      <c r="K13" s="1690">
        <f t="shared" si="0"/>
        <v>533319</v>
      </c>
      <c r="L13" s="466">
        <v>533718</v>
      </c>
    </row>
    <row r="14" spans="1:14" x14ac:dyDescent="0.2">
      <c r="A14" s="1523" t="s">
        <v>1020</v>
      </c>
      <c r="B14" s="615">
        <v>1500</v>
      </c>
      <c r="C14" s="466">
        <v>163718</v>
      </c>
      <c r="D14" s="466">
        <v>12332</v>
      </c>
      <c r="E14" s="466">
        <v>53885</v>
      </c>
      <c r="F14" s="466">
        <v>21740</v>
      </c>
      <c r="G14" s="466"/>
      <c r="H14" s="466">
        <v>9066</v>
      </c>
      <c r="I14" s="467"/>
      <c r="J14" s="467"/>
      <c r="K14" s="1690">
        <f t="shared" si="0"/>
        <v>260741</v>
      </c>
      <c r="L14" s="466">
        <v>262563</v>
      </c>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c r="D17" s="467"/>
      <c r="E17" s="467"/>
      <c r="F17" s="467"/>
      <c r="G17" s="467"/>
      <c r="H17" s="467"/>
      <c r="I17" s="467"/>
      <c r="J17" s="467"/>
      <c r="K17" s="1690">
        <f t="shared" si="0"/>
        <v>0</v>
      </c>
      <c r="L17" s="466"/>
    </row>
    <row r="18" spans="1:12" x14ac:dyDescent="0.2">
      <c r="A18" s="1523" t="s">
        <v>1148</v>
      </c>
      <c r="B18" s="615">
        <v>1800</v>
      </c>
      <c r="C18" s="466"/>
      <c r="D18" s="466"/>
      <c r="E18" s="466"/>
      <c r="F18" s="466"/>
      <c r="G18" s="466"/>
      <c r="H18" s="466"/>
      <c r="I18" s="467"/>
      <c r="J18" s="467"/>
      <c r="K18" s="1690">
        <f t="shared" si="0"/>
        <v>0</v>
      </c>
      <c r="L18" s="466"/>
    </row>
    <row r="19" spans="1:12" x14ac:dyDescent="0.2">
      <c r="A19" s="1523" t="s">
        <v>136</v>
      </c>
      <c r="B19" s="615">
        <v>1900</v>
      </c>
      <c r="C19" s="466">
        <v>43</v>
      </c>
      <c r="D19" s="466"/>
      <c r="E19" s="466"/>
      <c r="F19" s="466"/>
      <c r="G19" s="466"/>
      <c r="H19" s="466"/>
      <c r="I19" s="467"/>
      <c r="J19" s="467"/>
      <c r="K19" s="1690">
        <f t="shared" si="0"/>
        <v>43</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c r="I22" s="617"/>
      <c r="J22" s="477"/>
      <c r="K22" s="1690">
        <f t="shared" si="0"/>
        <v>0</v>
      </c>
      <c r="L22" s="471"/>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1766</v>
      </c>
      <c r="B33" s="1688" t="s">
        <v>591</v>
      </c>
      <c r="C33" s="1689">
        <f>SUM(C5:C32)</f>
        <v>8451308</v>
      </c>
      <c r="D33" s="1689">
        <f t="shared" ref="D33:L33" si="1">SUM(D5:D32)</f>
        <v>1905769</v>
      </c>
      <c r="E33" s="1689">
        <f t="shared" si="1"/>
        <v>85800</v>
      </c>
      <c r="F33" s="1689">
        <f t="shared" si="1"/>
        <v>219191</v>
      </c>
      <c r="G33" s="1689">
        <f t="shared" si="1"/>
        <v>44689</v>
      </c>
      <c r="H33" s="1689">
        <f t="shared" si="1"/>
        <v>11402</v>
      </c>
      <c r="I33" s="1689">
        <f t="shared" si="1"/>
        <v>0</v>
      </c>
      <c r="J33" s="1689">
        <f t="shared" si="1"/>
        <v>0</v>
      </c>
      <c r="K33" s="1689">
        <f t="shared" si="1"/>
        <v>10718159</v>
      </c>
      <c r="L33" s="1689">
        <f t="shared" si="1"/>
        <v>10721706</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121955</v>
      </c>
      <c r="D36" s="481">
        <v>29143</v>
      </c>
      <c r="E36" s="481">
        <v>199</v>
      </c>
      <c r="F36" s="481">
        <v>170</v>
      </c>
      <c r="G36" s="481"/>
      <c r="H36" s="481"/>
      <c r="I36" s="467"/>
      <c r="J36" s="467"/>
      <c r="K36" s="1690">
        <f t="shared" ref="K36:K41" si="2">SUM(C36:J36)</f>
        <v>151467</v>
      </c>
      <c r="L36" s="466">
        <v>152369</v>
      </c>
    </row>
    <row r="37" spans="1:14" x14ac:dyDescent="0.2">
      <c r="A37" s="1523" t="s">
        <v>1151</v>
      </c>
      <c r="B37" s="615">
        <v>2120</v>
      </c>
      <c r="C37" s="466">
        <v>127567</v>
      </c>
      <c r="D37" s="466">
        <v>27603</v>
      </c>
      <c r="E37" s="466"/>
      <c r="F37" s="466">
        <v>6143</v>
      </c>
      <c r="G37" s="466"/>
      <c r="H37" s="466"/>
      <c r="I37" s="467"/>
      <c r="J37" s="467"/>
      <c r="K37" s="1690">
        <f t="shared" si="2"/>
        <v>161313</v>
      </c>
      <c r="L37" s="466">
        <v>161943</v>
      </c>
    </row>
    <row r="38" spans="1:14" x14ac:dyDescent="0.2">
      <c r="A38" s="1523" t="s">
        <v>207</v>
      </c>
      <c r="B38" s="615">
        <v>2130</v>
      </c>
      <c r="C38" s="466">
        <v>101913</v>
      </c>
      <c r="D38" s="466">
        <v>11174</v>
      </c>
      <c r="E38" s="466">
        <v>40103</v>
      </c>
      <c r="F38" s="466">
        <v>2251</v>
      </c>
      <c r="G38" s="466"/>
      <c r="H38" s="466"/>
      <c r="I38" s="467"/>
      <c r="J38" s="467"/>
      <c r="K38" s="1690">
        <f t="shared" si="2"/>
        <v>155441</v>
      </c>
      <c r="L38" s="466">
        <v>156354</v>
      </c>
    </row>
    <row r="39" spans="1:14" x14ac:dyDescent="0.2">
      <c r="A39" s="1523" t="s">
        <v>208</v>
      </c>
      <c r="B39" s="615">
        <v>2140</v>
      </c>
      <c r="C39" s="466">
        <v>112335</v>
      </c>
      <c r="D39" s="466">
        <v>19957</v>
      </c>
      <c r="E39" s="466"/>
      <c r="F39" s="466"/>
      <c r="G39" s="466"/>
      <c r="H39" s="466"/>
      <c r="I39" s="467"/>
      <c r="J39" s="467"/>
      <c r="K39" s="1690">
        <f t="shared" si="2"/>
        <v>132292</v>
      </c>
      <c r="L39" s="466">
        <v>119800</v>
      </c>
    </row>
    <row r="40" spans="1:14" x14ac:dyDescent="0.2">
      <c r="A40" s="1523" t="s">
        <v>209</v>
      </c>
      <c r="B40" s="615">
        <v>2150</v>
      </c>
      <c r="C40" s="466">
        <v>175278</v>
      </c>
      <c r="D40" s="466">
        <v>33896</v>
      </c>
      <c r="E40" s="466">
        <v>713</v>
      </c>
      <c r="F40" s="466"/>
      <c r="G40" s="466"/>
      <c r="H40" s="466"/>
      <c r="I40" s="467"/>
      <c r="J40" s="467"/>
      <c r="K40" s="1690">
        <f t="shared" si="2"/>
        <v>209887</v>
      </c>
      <c r="L40" s="466">
        <v>211713</v>
      </c>
    </row>
    <row r="41" spans="1:14" x14ac:dyDescent="0.2">
      <c r="A41" s="1523" t="s">
        <v>1767</v>
      </c>
      <c r="B41" s="615">
        <v>2190</v>
      </c>
      <c r="C41" s="466">
        <v>44023</v>
      </c>
      <c r="D41" s="466">
        <v>4429</v>
      </c>
      <c r="E41" s="466">
        <v>14299</v>
      </c>
      <c r="F41" s="466">
        <v>5889</v>
      </c>
      <c r="G41" s="466"/>
      <c r="H41" s="466">
        <v>1159</v>
      </c>
      <c r="I41" s="467"/>
      <c r="J41" s="467"/>
      <c r="K41" s="1690">
        <f t="shared" si="2"/>
        <v>69799</v>
      </c>
      <c r="L41" s="466">
        <v>70847</v>
      </c>
    </row>
    <row r="42" spans="1:14" ht="12.75" customHeight="1" thickBot="1" x14ac:dyDescent="0.25">
      <c r="A42" s="1687" t="s">
        <v>581</v>
      </c>
      <c r="B42" s="1688" t="s">
        <v>740</v>
      </c>
      <c r="C42" s="1689">
        <f>SUM(C36:C41)</f>
        <v>683071</v>
      </c>
      <c r="D42" s="1689">
        <f t="shared" ref="D42:L42" si="3">SUM(D36:D41)</f>
        <v>126202</v>
      </c>
      <c r="E42" s="1689">
        <f t="shared" si="3"/>
        <v>55314</v>
      </c>
      <c r="F42" s="1689">
        <f t="shared" si="3"/>
        <v>14453</v>
      </c>
      <c r="G42" s="1689">
        <f t="shared" si="3"/>
        <v>0</v>
      </c>
      <c r="H42" s="1689">
        <f t="shared" si="3"/>
        <v>1159</v>
      </c>
      <c r="I42" s="1689">
        <f t="shared" si="3"/>
        <v>0</v>
      </c>
      <c r="J42" s="1689">
        <f t="shared" si="3"/>
        <v>0</v>
      </c>
      <c r="K42" s="1689">
        <f t="shared" si="3"/>
        <v>880199</v>
      </c>
      <c r="L42" s="1689">
        <f t="shared" si="3"/>
        <v>873026</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53599</v>
      </c>
      <c r="D44" s="481">
        <v>15689</v>
      </c>
      <c r="E44" s="481">
        <v>17211</v>
      </c>
      <c r="F44" s="481">
        <v>6078</v>
      </c>
      <c r="G44" s="481">
        <v>8628</v>
      </c>
      <c r="H44" s="481">
        <v>634</v>
      </c>
      <c r="I44" s="467"/>
      <c r="J44" s="467"/>
      <c r="K44" s="1691">
        <f>SUM(C44:J44)</f>
        <v>101839</v>
      </c>
      <c r="L44" s="481">
        <v>102154</v>
      </c>
    </row>
    <row r="45" spans="1:14" x14ac:dyDescent="0.2">
      <c r="A45" s="1523" t="s">
        <v>869</v>
      </c>
      <c r="B45" s="615">
        <v>2220</v>
      </c>
      <c r="C45" s="466">
        <v>133576</v>
      </c>
      <c r="D45" s="466">
        <v>38270</v>
      </c>
      <c r="E45" s="466">
        <v>17661</v>
      </c>
      <c r="F45" s="466">
        <v>4289</v>
      </c>
      <c r="G45" s="466"/>
      <c r="H45" s="466">
        <v>330</v>
      </c>
      <c r="I45" s="467"/>
      <c r="J45" s="467"/>
      <c r="K45" s="1691">
        <f>SUM(C45:J45)</f>
        <v>194126</v>
      </c>
      <c r="L45" s="466">
        <v>194980</v>
      </c>
    </row>
    <row r="46" spans="1:14" x14ac:dyDescent="0.2">
      <c r="A46" s="1523" t="s">
        <v>870</v>
      </c>
      <c r="B46" s="615">
        <v>2230</v>
      </c>
      <c r="C46" s="466"/>
      <c r="D46" s="466"/>
      <c r="E46" s="466">
        <v>50732</v>
      </c>
      <c r="F46" s="466">
        <v>3135</v>
      </c>
      <c r="G46" s="466">
        <v>1649</v>
      </c>
      <c r="H46" s="466"/>
      <c r="I46" s="467"/>
      <c r="J46" s="467"/>
      <c r="K46" s="1691">
        <f>SUM(C46:J46)</f>
        <v>55516</v>
      </c>
      <c r="L46" s="466">
        <v>55515</v>
      </c>
    </row>
    <row r="47" spans="1:14" ht="12.75" customHeight="1" thickBot="1" x14ac:dyDescent="0.25">
      <c r="A47" s="1687" t="s">
        <v>582</v>
      </c>
      <c r="B47" s="1688" t="s">
        <v>32</v>
      </c>
      <c r="C47" s="1689">
        <f>SUM(C44:C46)</f>
        <v>187175</v>
      </c>
      <c r="D47" s="1689">
        <f t="shared" ref="D47:K47" si="4">SUM(D44:D46)</f>
        <v>53959</v>
      </c>
      <c r="E47" s="1689">
        <f t="shared" si="4"/>
        <v>85604</v>
      </c>
      <c r="F47" s="1689">
        <f t="shared" si="4"/>
        <v>13502</v>
      </c>
      <c r="G47" s="1689">
        <f t="shared" si="4"/>
        <v>10277</v>
      </c>
      <c r="H47" s="1689">
        <f t="shared" si="4"/>
        <v>964</v>
      </c>
      <c r="I47" s="1689">
        <f t="shared" si="4"/>
        <v>0</v>
      </c>
      <c r="J47" s="1689">
        <f t="shared" si="4"/>
        <v>0</v>
      </c>
      <c r="K47" s="1689">
        <f t="shared" si="4"/>
        <v>351481</v>
      </c>
      <c r="L47" s="1689">
        <f>SUM(L44:L46)</f>
        <v>352649</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7995</v>
      </c>
      <c r="D49" s="481">
        <v>1537</v>
      </c>
      <c r="E49" s="481">
        <v>24626</v>
      </c>
      <c r="F49" s="481">
        <v>6815</v>
      </c>
      <c r="G49" s="481">
        <v>1913</v>
      </c>
      <c r="H49" s="481">
        <v>68562</v>
      </c>
      <c r="I49" s="467"/>
      <c r="J49" s="467"/>
      <c r="K49" s="1691">
        <f>SUM(C49:J49)</f>
        <v>111448</v>
      </c>
      <c r="L49" s="481">
        <v>100671</v>
      </c>
    </row>
    <row r="50" spans="1:14" x14ac:dyDescent="0.2">
      <c r="A50" s="1523" t="s">
        <v>872</v>
      </c>
      <c r="B50" s="615">
        <v>2320</v>
      </c>
      <c r="C50" s="466">
        <v>105000</v>
      </c>
      <c r="D50" s="466">
        <v>19099</v>
      </c>
      <c r="E50" s="466">
        <v>3250</v>
      </c>
      <c r="F50" s="466">
        <v>260</v>
      </c>
      <c r="G50" s="466"/>
      <c r="H50" s="466">
        <v>908</v>
      </c>
      <c r="I50" s="467"/>
      <c r="J50" s="467"/>
      <c r="K50" s="1691">
        <f>SUM(C50:J50)</f>
        <v>128517</v>
      </c>
      <c r="L50" s="466">
        <v>129444</v>
      </c>
    </row>
    <row r="51" spans="1:14" x14ac:dyDescent="0.2">
      <c r="A51" s="1523" t="s">
        <v>44</v>
      </c>
      <c r="B51" s="615">
        <v>2330</v>
      </c>
      <c r="C51" s="466"/>
      <c r="D51" s="466"/>
      <c r="E51" s="466">
        <v>14046</v>
      </c>
      <c r="F51" s="466"/>
      <c r="G51" s="466"/>
      <c r="H51" s="466"/>
      <c r="I51" s="467"/>
      <c r="J51" s="467"/>
      <c r="K51" s="1691">
        <f>SUM(C51:J51)</f>
        <v>14046</v>
      </c>
      <c r="L51" s="466">
        <v>14046</v>
      </c>
    </row>
    <row r="52" spans="1:14" ht="22.5" x14ac:dyDescent="0.2">
      <c r="A52" s="1524" t="s">
        <v>316</v>
      </c>
      <c r="B52" s="628" t="s">
        <v>384</v>
      </c>
      <c r="C52" s="474"/>
      <c r="D52" s="474"/>
      <c r="E52" s="474">
        <v>2062</v>
      </c>
      <c r="F52" s="474"/>
      <c r="G52" s="474"/>
      <c r="H52" s="474"/>
      <c r="I52" s="474"/>
      <c r="J52" s="474"/>
      <c r="K52" s="1691">
        <f>SUM(C52:J52)</f>
        <v>2062</v>
      </c>
      <c r="L52" s="474">
        <v>2063</v>
      </c>
    </row>
    <row r="53" spans="1:14" ht="12.75" customHeight="1" thickBot="1" x14ac:dyDescent="0.25">
      <c r="A53" s="1687" t="s">
        <v>741</v>
      </c>
      <c r="B53" s="1688" t="s">
        <v>33</v>
      </c>
      <c r="C53" s="1689">
        <f>SUM(C49:C52)</f>
        <v>112995</v>
      </c>
      <c r="D53" s="1689">
        <f t="shared" ref="D53:L53" si="5">SUM(D49:D52)</f>
        <v>20636</v>
      </c>
      <c r="E53" s="1689">
        <f t="shared" si="5"/>
        <v>43984</v>
      </c>
      <c r="F53" s="1689">
        <f t="shared" si="5"/>
        <v>7075</v>
      </c>
      <c r="G53" s="1689">
        <f t="shared" si="5"/>
        <v>1913</v>
      </c>
      <c r="H53" s="1689">
        <f t="shared" si="5"/>
        <v>69470</v>
      </c>
      <c r="I53" s="1689">
        <f t="shared" si="5"/>
        <v>0</v>
      </c>
      <c r="J53" s="1689">
        <f t="shared" si="5"/>
        <v>0</v>
      </c>
      <c r="K53" s="1689">
        <f t="shared" si="5"/>
        <v>256073</v>
      </c>
      <c r="L53" s="1689">
        <f t="shared" si="5"/>
        <v>246224</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778616</v>
      </c>
      <c r="D55" s="481">
        <v>123059</v>
      </c>
      <c r="E55" s="481">
        <v>46826</v>
      </c>
      <c r="F55" s="481">
        <v>56926</v>
      </c>
      <c r="G55" s="481"/>
      <c r="H55" s="481">
        <v>2941</v>
      </c>
      <c r="I55" s="467"/>
      <c r="J55" s="467"/>
      <c r="K55" s="1691">
        <f>SUM(C55:J55)</f>
        <v>1008368</v>
      </c>
      <c r="L55" s="481">
        <v>1007692</v>
      </c>
    </row>
    <row r="56" spans="1:14" ht="12.75" customHeight="1" x14ac:dyDescent="0.2">
      <c r="A56" s="1527" t="s">
        <v>394</v>
      </c>
      <c r="B56" s="629">
        <v>2490</v>
      </c>
      <c r="C56" s="466">
        <v>3618</v>
      </c>
      <c r="D56" s="466">
        <v>463</v>
      </c>
      <c r="E56" s="466"/>
      <c r="F56" s="466"/>
      <c r="G56" s="466"/>
      <c r="H56" s="466"/>
      <c r="I56" s="467"/>
      <c r="J56" s="467"/>
      <c r="K56" s="1691">
        <f>SUM(C56:J56)</f>
        <v>4081</v>
      </c>
      <c r="L56" s="466">
        <v>4200</v>
      </c>
    </row>
    <row r="57" spans="1:14" s="343" customFormat="1" ht="12.75" customHeight="1" thickBot="1" x14ac:dyDescent="0.25">
      <c r="A57" s="1687" t="s">
        <v>281</v>
      </c>
      <c r="B57" s="1692" t="s">
        <v>34</v>
      </c>
      <c r="C57" s="1693">
        <f>SUM(C55:C56)</f>
        <v>782234</v>
      </c>
      <c r="D57" s="1693">
        <f t="shared" ref="D57:K57" si="6">SUM(D55:D56)</f>
        <v>123522</v>
      </c>
      <c r="E57" s="1693">
        <f t="shared" si="6"/>
        <v>46826</v>
      </c>
      <c r="F57" s="1693">
        <f t="shared" si="6"/>
        <v>56926</v>
      </c>
      <c r="G57" s="1693">
        <f t="shared" si="6"/>
        <v>0</v>
      </c>
      <c r="H57" s="1693">
        <f t="shared" si="6"/>
        <v>2941</v>
      </c>
      <c r="I57" s="1693">
        <f t="shared" si="6"/>
        <v>0</v>
      </c>
      <c r="J57" s="1693">
        <f t="shared" si="6"/>
        <v>0</v>
      </c>
      <c r="K57" s="1693">
        <f t="shared" si="6"/>
        <v>1012449</v>
      </c>
      <c r="L57" s="1689">
        <f>SUM(L55:L56)</f>
        <v>1011892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3" t="s">
        <v>483</v>
      </c>
      <c r="B60" s="615">
        <v>2520</v>
      </c>
      <c r="C60" s="466">
        <v>222647</v>
      </c>
      <c r="D60" s="466">
        <v>302673</v>
      </c>
      <c r="E60" s="466">
        <v>16249</v>
      </c>
      <c r="F60" s="466">
        <v>1960</v>
      </c>
      <c r="G60" s="466"/>
      <c r="H60" s="466">
        <v>8243</v>
      </c>
      <c r="I60" s="467"/>
      <c r="J60" s="467"/>
      <c r="K60" s="1691">
        <f t="shared" si="7"/>
        <v>551772</v>
      </c>
      <c r="L60" s="466">
        <v>550855</v>
      </c>
      <c r="M60" s="610"/>
      <c r="N60" s="610"/>
    </row>
    <row r="61" spans="1:14" s="343" customFormat="1" x14ac:dyDescent="0.2">
      <c r="A61" s="1523" t="s">
        <v>206</v>
      </c>
      <c r="B61" s="615">
        <v>2540</v>
      </c>
      <c r="C61" s="466"/>
      <c r="D61" s="466"/>
      <c r="E61" s="466"/>
      <c r="F61" s="466"/>
      <c r="G61" s="466">
        <v>10978</v>
      </c>
      <c r="H61" s="466"/>
      <c r="I61" s="467"/>
      <c r="J61" s="467"/>
      <c r="K61" s="1691">
        <f t="shared" si="7"/>
        <v>10978</v>
      </c>
      <c r="L61" s="466">
        <v>10978</v>
      </c>
      <c r="M61" s="610"/>
      <c r="N61" s="610"/>
    </row>
    <row r="62" spans="1:14" s="343" customFormat="1" x14ac:dyDescent="0.2">
      <c r="A62" s="1523" t="s">
        <v>1010</v>
      </c>
      <c r="B62" s="615">
        <v>2550</v>
      </c>
      <c r="C62" s="466"/>
      <c r="D62" s="466"/>
      <c r="E62" s="466">
        <v>800</v>
      </c>
      <c r="F62" s="466"/>
      <c r="G62" s="466"/>
      <c r="H62" s="466"/>
      <c r="I62" s="467"/>
      <c r="J62" s="467"/>
      <c r="K62" s="1691">
        <f t="shared" si="7"/>
        <v>800</v>
      </c>
      <c r="L62" s="466">
        <v>800</v>
      </c>
      <c r="M62" s="610"/>
      <c r="N62" s="610"/>
    </row>
    <row r="63" spans="1:14" s="610" customFormat="1" x14ac:dyDescent="0.2">
      <c r="A63" s="1523" t="s">
        <v>102</v>
      </c>
      <c r="B63" s="615">
        <v>2560</v>
      </c>
      <c r="C63" s="466">
        <v>376756</v>
      </c>
      <c r="D63" s="466">
        <v>79335</v>
      </c>
      <c r="E63" s="466">
        <v>43802</v>
      </c>
      <c r="F63" s="466">
        <v>547154</v>
      </c>
      <c r="G63" s="466">
        <v>3435</v>
      </c>
      <c r="H63" s="466">
        <v>741</v>
      </c>
      <c r="I63" s="467"/>
      <c r="J63" s="467"/>
      <c r="K63" s="1691">
        <f t="shared" si="7"/>
        <v>1051223</v>
      </c>
      <c r="L63" s="466">
        <v>1050541</v>
      </c>
    </row>
    <row r="64" spans="1:14" s="610" customFormat="1" x14ac:dyDescent="0.2">
      <c r="A64" s="1528" t="s">
        <v>103</v>
      </c>
      <c r="B64" s="631">
        <v>2570</v>
      </c>
      <c r="C64" s="481">
        <v>5000</v>
      </c>
      <c r="D64" s="481"/>
      <c r="E64" s="481">
        <v>14000</v>
      </c>
      <c r="F64" s="481"/>
      <c r="G64" s="481"/>
      <c r="H64" s="481"/>
      <c r="I64" s="467"/>
      <c r="J64" s="467"/>
      <c r="K64" s="1691">
        <f t="shared" si="7"/>
        <v>19000</v>
      </c>
      <c r="L64" s="481">
        <v>5000</v>
      </c>
    </row>
    <row r="65" spans="1:14" s="343" customFormat="1" ht="12.75" customHeight="1" thickBot="1" x14ac:dyDescent="0.25">
      <c r="A65" s="1687" t="s">
        <v>743</v>
      </c>
      <c r="B65" s="1688" t="s">
        <v>35</v>
      </c>
      <c r="C65" s="1689">
        <f>SUM(C59:C64)</f>
        <v>604403</v>
      </c>
      <c r="D65" s="1689">
        <f t="shared" ref="D65:L65" si="8">SUM(D59:D64)</f>
        <v>382008</v>
      </c>
      <c r="E65" s="1689">
        <f t="shared" si="8"/>
        <v>74851</v>
      </c>
      <c r="F65" s="1689">
        <f t="shared" si="8"/>
        <v>549114</v>
      </c>
      <c r="G65" s="1689">
        <f t="shared" si="8"/>
        <v>14413</v>
      </c>
      <c r="H65" s="1689">
        <f t="shared" si="8"/>
        <v>8984</v>
      </c>
      <c r="I65" s="1689">
        <f t="shared" si="8"/>
        <v>0</v>
      </c>
      <c r="J65" s="1689">
        <f t="shared" si="8"/>
        <v>0</v>
      </c>
      <c r="K65" s="1689">
        <f t="shared" si="8"/>
        <v>1633773</v>
      </c>
      <c r="L65" s="1689">
        <f t="shared" si="8"/>
        <v>1618174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v>14000</v>
      </c>
      <c r="M68" s="610"/>
      <c r="N68" s="610"/>
    </row>
    <row r="69" spans="1:14" s="343" customFormat="1" x14ac:dyDescent="0.2">
      <c r="A69" s="1523" t="s">
        <v>1121</v>
      </c>
      <c r="B69" s="615">
        <v>2630</v>
      </c>
      <c r="C69" s="466"/>
      <c r="D69" s="466"/>
      <c r="E69" s="466"/>
      <c r="F69" s="466"/>
      <c r="G69" s="466"/>
      <c r="H69" s="466"/>
      <c r="I69" s="467"/>
      <c r="J69" s="467"/>
      <c r="K69" s="1691">
        <f>SUM(C69:J69)</f>
        <v>0</v>
      </c>
      <c r="L69" s="466"/>
      <c r="M69" s="610"/>
      <c r="N69" s="610"/>
    </row>
    <row r="70" spans="1:14" s="343" customFormat="1" x14ac:dyDescent="0.2">
      <c r="A70" s="1523" t="s">
        <v>423</v>
      </c>
      <c r="B70" s="615">
        <v>2640</v>
      </c>
      <c r="C70" s="466"/>
      <c r="D70" s="466"/>
      <c r="E70" s="466"/>
      <c r="F70" s="466"/>
      <c r="G70" s="466"/>
      <c r="H70" s="466"/>
      <c r="I70" s="467"/>
      <c r="J70" s="467"/>
      <c r="K70" s="1691">
        <f>SUM(C70:J70)</f>
        <v>0</v>
      </c>
      <c r="L70" s="466"/>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14000</v>
      </c>
      <c r="M72" s="610"/>
      <c r="N72" s="610"/>
    </row>
    <row r="73" spans="1:14" s="343" customFormat="1" ht="14.25" thickTop="1" thickBot="1" x14ac:dyDescent="0.25">
      <c r="A73" s="1529" t="s">
        <v>1037</v>
      </c>
      <c r="B73" s="633" t="s">
        <v>595</v>
      </c>
      <c r="C73" s="573"/>
      <c r="D73" s="573"/>
      <c r="E73" s="573">
        <v>24218</v>
      </c>
      <c r="F73" s="573"/>
      <c r="G73" s="573"/>
      <c r="H73" s="573"/>
      <c r="I73" s="531"/>
      <c r="J73" s="531"/>
      <c r="K73" s="1689">
        <f>SUM(C73:J73)</f>
        <v>24218</v>
      </c>
      <c r="L73" s="576">
        <v>24218</v>
      </c>
      <c r="M73" s="610"/>
      <c r="N73" s="610"/>
    </row>
    <row r="74" spans="1:14" ht="12.75" customHeight="1" thickTop="1" thickBot="1" x14ac:dyDescent="0.25">
      <c r="A74" s="1687" t="s">
        <v>865</v>
      </c>
      <c r="B74" s="1695">
        <v>2000</v>
      </c>
      <c r="C74" s="1696">
        <f>SUM(C42,C47,C53,C57,C65,C72,C73)</f>
        <v>2369878</v>
      </c>
      <c r="D74" s="1696">
        <f t="shared" ref="D74:K74" si="10">SUM(D42,D47,D53,D57,D65,D72,D73)</f>
        <v>706327</v>
      </c>
      <c r="E74" s="1696">
        <f t="shared" si="10"/>
        <v>330797</v>
      </c>
      <c r="F74" s="1696">
        <f t="shared" si="10"/>
        <v>641070</v>
      </c>
      <c r="G74" s="1696">
        <f t="shared" si="10"/>
        <v>26603</v>
      </c>
      <c r="H74" s="1696">
        <f t="shared" si="10"/>
        <v>83518</v>
      </c>
      <c r="I74" s="1696">
        <f t="shared" si="10"/>
        <v>0</v>
      </c>
      <c r="J74" s="1696">
        <f t="shared" si="10"/>
        <v>0</v>
      </c>
      <c r="K74" s="1696">
        <f t="shared" si="10"/>
        <v>4158193</v>
      </c>
      <c r="L74" s="1696">
        <f>SUM(L42,L47,L53,L57,L65,L72,L73)</f>
        <v>4140183</v>
      </c>
    </row>
    <row r="75" spans="1:14" s="259" customFormat="1" ht="15.75" customHeight="1" thickTop="1" thickBot="1" x14ac:dyDescent="0.25">
      <c r="A75" s="1629" t="s">
        <v>49</v>
      </c>
      <c r="B75" s="1630" t="s">
        <v>596</v>
      </c>
      <c r="C75" s="573"/>
      <c r="D75" s="573"/>
      <c r="E75" s="573">
        <v>9794</v>
      </c>
      <c r="F75" s="573">
        <v>6870</v>
      </c>
      <c r="G75" s="573">
        <v>4652</v>
      </c>
      <c r="H75" s="573"/>
      <c r="I75" s="531"/>
      <c r="J75" s="531"/>
      <c r="K75" s="1689">
        <f>SUM(C75:J75)</f>
        <v>21316</v>
      </c>
      <c r="L75" s="576">
        <v>21315</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v>2966</v>
      </c>
      <c r="I78" s="477"/>
      <c r="J78" s="477"/>
      <c r="K78" s="1690">
        <f t="shared" ref="K78:K83" si="11">SUM(C78:J78)</f>
        <v>2966</v>
      </c>
      <c r="L78" s="481">
        <v>2966</v>
      </c>
    </row>
    <row r="79" spans="1:14" x14ac:dyDescent="0.2">
      <c r="A79" s="1523" t="s">
        <v>322</v>
      </c>
      <c r="B79" s="615">
        <v>4120</v>
      </c>
      <c r="C79" s="617"/>
      <c r="D79" s="617"/>
      <c r="E79" s="466"/>
      <c r="F79" s="617"/>
      <c r="G79" s="617"/>
      <c r="H79" s="466">
        <v>3572</v>
      </c>
      <c r="I79" s="477"/>
      <c r="J79" s="477"/>
      <c r="K79" s="1690">
        <f t="shared" si="11"/>
        <v>3572</v>
      </c>
      <c r="L79" s="466">
        <v>3572</v>
      </c>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v>95682</v>
      </c>
      <c r="I81" s="477"/>
      <c r="J81" s="477"/>
      <c r="K81" s="1690">
        <f t="shared" si="11"/>
        <v>95682</v>
      </c>
      <c r="L81" s="466">
        <v>95682</v>
      </c>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c r="F83" s="617"/>
      <c r="G83" s="617"/>
      <c r="H83" s="466">
        <v>2041</v>
      </c>
      <c r="I83" s="477"/>
      <c r="J83" s="477"/>
      <c r="K83" s="1690">
        <f t="shared" si="11"/>
        <v>2041</v>
      </c>
      <c r="L83" s="466">
        <v>2041</v>
      </c>
    </row>
    <row r="84" spans="1:12" ht="13.5" thickBot="1" x14ac:dyDescent="0.25">
      <c r="A84" s="1687" t="s">
        <v>1564</v>
      </c>
      <c r="B84" s="1697">
        <v>4100</v>
      </c>
      <c r="C84" s="617"/>
      <c r="D84" s="617"/>
      <c r="E84" s="1689">
        <f>SUM(E78:E83)</f>
        <v>0</v>
      </c>
      <c r="F84" s="617"/>
      <c r="G84" s="617"/>
      <c r="H84" s="1689">
        <f>SUM(H78:H83)</f>
        <v>104261</v>
      </c>
      <c r="I84" s="477"/>
      <c r="J84" s="477"/>
      <c r="K84" s="1689">
        <f>SUM(K78:K83)</f>
        <v>104261</v>
      </c>
      <c r="L84" s="1689">
        <f>SUM(L78:L83)</f>
        <v>104261</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v>69163</v>
      </c>
      <c r="I86" s="477"/>
      <c r="J86" s="477"/>
      <c r="K86" s="1696">
        <f t="shared" ref="K86:K98" si="12">H86</f>
        <v>69163</v>
      </c>
      <c r="L86" s="530">
        <v>69163</v>
      </c>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1640</v>
      </c>
      <c r="B92" s="1697">
        <v>4200</v>
      </c>
      <c r="C92" s="617"/>
      <c r="D92" s="617"/>
      <c r="E92" s="639"/>
      <c r="F92" s="617"/>
      <c r="G92" s="617"/>
      <c r="H92" s="1689">
        <f>SUM(H85:H91)</f>
        <v>69163</v>
      </c>
      <c r="I92" s="477"/>
      <c r="J92" s="477"/>
      <c r="K92" s="1696">
        <f t="shared" si="12"/>
        <v>69163</v>
      </c>
      <c r="L92" s="1689">
        <f>SUM(L85:L91)</f>
        <v>69163</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1567</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1565</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1568</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1566</v>
      </c>
      <c r="B102" s="1697">
        <v>4000</v>
      </c>
      <c r="C102" s="617"/>
      <c r="D102" s="617"/>
      <c r="E102" s="1696">
        <f>SUM(E84,E92,E100,E101)</f>
        <v>0</v>
      </c>
      <c r="F102" s="617"/>
      <c r="G102" s="617"/>
      <c r="H102" s="1696">
        <f>SUM(H84,H92,H100,H101)</f>
        <v>173424</v>
      </c>
      <c r="I102" s="477"/>
      <c r="J102" s="477"/>
      <c r="K102" s="1696">
        <f>SUM(K84,K92,K100,K101)</f>
        <v>173424</v>
      </c>
      <c r="L102" s="1696">
        <f>SUM(L84,L92,L100,L101)</f>
        <v>173424</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10821186</v>
      </c>
      <c r="D114" s="1689">
        <f t="shared" ref="D114:K114" si="13">SUM(D33,D74,D75,D102,D112,D113)</f>
        <v>2612096</v>
      </c>
      <c r="E114" s="1689">
        <f t="shared" si="13"/>
        <v>426391</v>
      </c>
      <c r="F114" s="1689">
        <f t="shared" si="13"/>
        <v>867131</v>
      </c>
      <c r="G114" s="1689">
        <f t="shared" si="13"/>
        <v>75944</v>
      </c>
      <c r="H114" s="1689">
        <f>SUM(H33,H74,H75,H102,H112,H113)</f>
        <v>268344</v>
      </c>
      <c r="I114" s="1689">
        <f t="shared" si="13"/>
        <v>0</v>
      </c>
      <c r="J114" s="1689">
        <f t="shared" si="13"/>
        <v>0</v>
      </c>
      <c r="K114" s="1689">
        <f t="shared" si="13"/>
        <v>15071092</v>
      </c>
      <c r="L114" s="1689">
        <f>SUM(L33,L74,L75,L102,L112,L113)</f>
        <v>15056628</v>
      </c>
    </row>
    <row r="115" spans="1:14" ht="13.5" thickTop="1" x14ac:dyDescent="0.2">
      <c r="A115" s="2186" t="s">
        <v>1053</v>
      </c>
      <c r="B115" s="2187"/>
      <c r="C115" s="619"/>
      <c r="D115" s="619"/>
      <c r="E115" s="619"/>
      <c r="F115" s="619"/>
      <c r="G115" s="619"/>
      <c r="H115" s="619"/>
      <c r="I115" s="619"/>
      <c r="J115" s="619"/>
      <c r="K115" s="1703">
        <f>'Revenues 9-14'!C275-'Expenditures 15-22'!K114</f>
        <v>1312665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v>728</v>
      </c>
      <c r="F123" s="466"/>
      <c r="G123" s="466"/>
      <c r="H123" s="466"/>
      <c r="I123" s="467"/>
      <c r="J123" s="467"/>
      <c r="K123" s="1689">
        <f>SUM(C123:J123)</f>
        <v>728</v>
      </c>
      <c r="L123" s="466">
        <v>728</v>
      </c>
    </row>
    <row r="124" spans="1:14" ht="14.25" thickTop="1" thickBot="1" x14ac:dyDescent="0.25">
      <c r="A124" s="1523" t="s">
        <v>206</v>
      </c>
      <c r="B124" s="615">
        <v>2540</v>
      </c>
      <c r="C124" s="466">
        <v>759759</v>
      </c>
      <c r="D124" s="466">
        <v>88028</v>
      </c>
      <c r="E124" s="466">
        <v>390777</v>
      </c>
      <c r="F124" s="466">
        <v>659361</v>
      </c>
      <c r="G124" s="466">
        <v>34454</v>
      </c>
      <c r="H124" s="466"/>
      <c r="I124" s="467"/>
      <c r="J124" s="467"/>
      <c r="K124" s="1689">
        <f>SUM(C124:J124)</f>
        <v>1932379</v>
      </c>
      <c r="L124" s="466">
        <v>1939053</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759759</v>
      </c>
      <c r="D127" s="1689">
        <f t="shared" ref="D127:L127" si="14">SUM(D122:D126)</f>
        <v>88028</v>
      </c>
      <c r="E127" s="1689">
        <f t="shared" si="14"/>
        <v>391505</v>
      </c>
      <c r="F127" s="1689">
        <f t="shared" si="14"/>
        <v>659361</v>
      </c>
      <c r="G127" s="1689">
        <f t="shared" si="14"/>
        <v>34454</v>
      </c>
      <c r="H127" s="1689">
        <f t="shared" si="14"/>
        <v>0</v>
      </c>
      <c r="I127" s="1689">
        <f t="shared" si="14"/>
        <v>0</v>
      </c>
      <c r="J127" s="1689">
        <f t="shared" si="14"/>
        <v>0</v>
      </c>
      <c r="K127" s="1689">
        <f t="shared" si="14"/>
        <v>1933107</v>
      </c>
      <c r="L127" s="1689">
        <f t="shared" si="14"/>
        <v>1939781</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759759</v>
      </c>
      <c r="D129" s="1696">
        <f t="shared" ref="D129:L129" si="15">SUM(D120,D127,D128)</f>
        <v>88028</v>
      </c>
      <c r="E129" s="1696">
        <f t="shared" si="15"/>
        <v>391505</v>
      </c>
      <c r="F129" s="1696">
        <f t="shared" si="15"/>
        <v>659361</v>
      </c>
      <c r="G129" s="1696">
        <f t="shared" si="15"/>
        <v>34454</v>
      </c>
      <c r="H129" s="1696">
        <f t="shared" si="15"/>
        <v>0</v>
      </c>
      <c r="I129" s="1696">
        <f t="shared" si="15"/>
        <v>0</v>
      </c>
      <c r="J129" s="1696">
        <f t="shared" si="15"/>
        <v>0</v>
      </c>
      <c r="K129" s="1696">
        <f t="shared" si="15"/>
        <v>1933107</v>
      </c>
      <c r="L129" s="1696">
        <f t="shared" si="15"/>
        <v>1939781</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1953</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1566</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03" t="s">
        <v>641</v>
      </c>
      <c r="B151" s="2183"/>
      <c r="C151" s="1689">
        <f>SUM(C129,C130,C139,C149,C150)</f>
        <v>759759</v>
      </c>
      <c r="D151" s="1689">
        <f t="shared" ref="D151:K151" si="16">SUM(D129,D130,D139,D149,D150)</f>
        <v>88028</v>
      </c>
      <c r="E151" s="1689">
        <f t="shared" si="16"/>
        <v>391505</v>
      </c>
      <c r="F151" s="1689">
        <f t="shared" si="16"/>
        <v>659361</v>
      </c>
      <c r="G151" s="1689">
        <f t="shared" si="16"/>
        <v>34454</v>
      </c>
      <c r="H151" s="1689">
        <f t="shared" si="16"/>
        <v>0</v>
      </c>
      <c r="I151" s="1689">
        <f t="shared" si="16"/>
        <v>0</v>
      </c>
      <c r="J151" s="1689">
        <f t="shared" si="16"/>
        <v>0</v>
      </c>
      <c r="K151" s="1689">
        <f t="shared" si="16"/>
        <v>1933107</v>
      </c>
      <c r="L151" s="1689">
        <f>SUM(L129,L130,L139,L149,L150)</f>
        <v>1939781</v>
      </c>
    </row>
    <row r="152" spans="1:14" ht="12.75" customHeight="1" thickTop="1" x14ac:dyDescent="0.2">
      <c r="A152" s="2206" t="s">
        <v>1240</v>
      </c>
      <c r="B152" s="2207"/>
      <c r="C152" s="619"/>
      <c r="D152" s="619"/>
      <c r="E152" s="619"/>
      <c r="F152" s="619"/>
      <c r="G152" s="619"/>
      <c r="H152" s="619"/>
      <c r="I152" s="619"/>
      <c r="J152" s="617"/>
      <c r="K152" s="1703">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1954</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1953</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1955</v>
      </c>
      <c r="C158" s="617"/>
      <c r="D158" s="617"/>
      <c r="E158" s="617"/>
      <c r="F158" s="617"/>
      <c r="G158" s="617"/>
      <c r="H158" s="467"/>
      <c r="I158" s="617"/>
      <c r="J158" s="617"/>
      <c r="K158" s="1690">
        <f>H158</f>
        <v>0</v>
      </c>
      <c r="L158" s="467"/>
      <c r="M158" s="620"/>
      <c r="N158" s="620"/>
    </row>
    <row r="159" spans="1:14" s="621" customFormat="1" ht="12" x14ac:dyDescent="0.2">
      <c r="A159" s="1846" t="s">
        <v>1956</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1957</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81590</v>
      </c>
      <c r="I169" s="617"/>
      <c r="J169" s="617"/>
      <c r="K169" s="1690">
        <f>SUM(C169:H169)</f>
        <v>81590</v>
      </c>
      <c r="L169" s="657">
        <v>81590</v>
      </c>
    </row>
    <row r="170" spans="1:14" ht="33.75" customHeight="1" x14ac:dyDescent="0.2">
      <c r="A170" s="670" t="s">
        <v>1768</v>
      </c>
      <c r="B170" s="672" t="s">
        <v>31</v>
      </c>
      <c r="C170" s="617"/>
      <c r="D170" s="617"/>
      <c r="E170" s="617"/>
      <c r="F170" s="617"/>
      <c r="G170" s="617"/>
      <c r="H170" s="569">
        <v>890116</v>
      </c>
      <c r="I170" s="617"/>
      <c r="J170" s="617"/>
      <c r="K170" s="1690">
        <f>SUM(C170:J170)</f>
        <v>890116</v>
      </c>
      <c r="L170" s="569">
        <v>890116</v>
      </c>
    </row>
    <row r="171" spans="1:14" ht="15.75" customHeight="1" x14ac:dyDescent="0.2">
      <c r="A171" s="622" t="s">
        <v>790</v>
      </c>
      <c r="B171" s="673" t="s">
        <v>86</v>
      </c>
      <c r="C171" s="617"/>
      <c r="D171" s="617"/>
      <c r="E171" s="466"/>
      <c r="F171" s="617"/>
      <c r="G171" s="617"/>
      <c r="H171" s="569">
        <v>9487</v>
      </c>
      <c r="I171" s="477"/>
      <c r="J171" s="617"/>
      <c r="K171" s="1690">
        <f>SUM(C171:J171)</f>
        <v>9487</v>
      </c>
      <c r="L171" s="569">
        <v>9487</v>
      </c>
    </row>
    <row r="172" spans="1:14" ht="12.75" customHeight="1" thickBot="1" x14ac:dyDescent="0.25">
      <c r="A172" s="1687" t="s">
        <v>659</v>
      </c>
      <c r="B172" s="1688" t="s">
        <v>513</v>
      </c>
      <c r="C172" s="617"/>
      <c r="D172" s="617"/>
      <c r="E172" s="1696">
        <f>SUM(E168,E169,E170,E171)</f>
        <v>0</v>
      </c>
      <c r="F172" s="617"/>
      <c r="G172" s="617"/>
      <c r="H172" s="1696">
        <f>SUM(H168,H169,H170,H171)</f>
        <v>981193</v>
      </c>
      <c r="I172" s="639"/>
      <c r="J172" s="617"/>
      <c r="K172" s="1696">
        <f>SUM(K168,K169,K170,K171)</f>
        <v>981193</v>
      </c>
      <c r="L172" s="1696">
        <f>SUM(L168,L169,L170,L171)</f>
        <v>981193</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981193</v>
      </c>
      <c r="I174" s="639"/>
      <c r="J174" s="617"/>
      <c r="K174" s="1696">
        <f>SUM(K160,K172,K173)</f>
        <v>981193</v>
      </c>
      <c r="L174" s="1696">
        <f>SUM(L160,L172,L173)</f>
        <v>981193</v>
      </c>
    </row>
    <row r="175" spans="1:14" ht="13.5" thickTop="1" x14ac:dyDescent="0.2">
      <c r="A175" s="2186" t="s">
        <v>1053</v>
      </c>
      <c r="B175" s="2187"/>
      <c r="C175" s="617"/>
      <c r="D175" s="617"/>
      <c r="E175" s="617"/>
      <c r="F175" s="617"/>
      <c r="G175" s="617"/>
      <c r="H175" s="619"/>
      <c r="I175" s="617"/>
      <c r="J175" s="617"/>
      <c r="K175" s="1703">
        <f>'Revenues 9-14'!E275-'Expenditures 15-22'!K174</f>
        <v>-271602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c r="D182" s="466"/>
      <c r="E182" s="466">
        <v>1394113</v>
      </c>
      <c r="F182" s="466"/>
      <c r="G182" s="466"/>
      <c r="H182" s="466"/>
      <c r="I182" s="467"/>
      <c r="J182" s="467"/>
      <c r="K182" s="1690">
        <f>SUM(C182:J182)</f>
        <v>1394113</v>
      </c>
      <c r="L182" s="466">
        <v>1394113</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0</v>
      </c>
      <c r="D184" s="1696">
        <f t="shared" ref="D184:J184" si="17">SUM(D180,D182,D183)</f>
        <v>0</v>
      </c>
      <c r="E184" s="1696">
        <f t="shared" si="17"/>
        <v>1394113</v>
      </c>
      <c r="F184" s="1696">
        <f t="shared" si="17"/>
        <v>0</v>
      </c>
      <c r="G184" s="1696">
        <f t="shared" si="17"/>
        <v>0</v>
      </c>
      <c r="H184" s="1696">
        <f t="shared" si="17"/>
        <v>0</v>
      </c>
      <c r="I184" s="1696">
        <f t="shared" si="17"/>
        <v>0</v>
      </c>
      <c r="J184" s="1696">
        <f t="shared" si="17"/>
        <v>0</v>
      </c>
      <c r="K184" s="1696">
        <f>SUM(K180,K182,K183)</f>
        <v>1394113</v>
      </c>
      <c r="L184" s="1696">
        <f>SUM(L180, L182:L183)</f>
        <v>1394113</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1566</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1769</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0</v>
      </c>
      <c r="D210" s="1689">
        <f>SUM(D184,D185)</f>
        <v>0</v>
      </c>
      <c r="E210" s="1689">
        <f>SUM(E184,E185,E196)</f>
        <v>1394113</v>
      </c>
      <c r="F210" s="1689">
        <f>SUM(F184,F185)</f>
        <v>0</v>
      </c>
      <c r="G210" s="1689">
        <f>SUM(G184,G185)</f>
        <v>0</v>
      </c>
      <c r="H210" s="1689">
        <f>SUM(H184,H185,H196,H208,H209)</f>
        <v>0</v>
      </c>
      <c r="I210" s="1689">
        <f>SUM(I184,I185)</f>
        <v>0</v>
      </c>
      <c r="J210" s="1689">
        <f>SUM(J184,J185)</f>
        <v>0</v>
      </c>
      <c r="K210" s="1690">
        <f>SUM(K184,K185,K196,K208,K209)</f>
        <v>1394113</v>
      </c>
      <c r="L210" s="1689">
        <f>SUM(L184,L185,L196,L208,L209)</f>
        <v>1394113</v>
      </c>
    </row>
    <row r="211" spans="1:14" ht="13.5" thickTop="1" x14ac:dyDescent="0.2">
      <c r="A211" s="2186" t="s">
        <v>1053</v>
      </c>
      <c r="B211" s="2187"/>
      <c r="C211" s="619"/>
      <c r="D211" s="619"/>
      <c r="E211" s="619"/>
      <c r="F211" s="619"/>
      <c r="G211" s="619"/>
      <c r="H211" s="619"/>
      <c r="I211" s="617"/>
      <c r="J211" s="617"/>
      <c r="K211" s="1703">
        <f>'Revenues 9-14'!F275-'Expenditures 15-22'!K210</f>
        <v>30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108215</v>
      </c>
      <c r="E215" s="617"/>
      <c r="F215" s="617"/>
      <c r="G215" s="617"/>
      <c r="H215" s="617"/>
      <c r="I215" s="617"/>
      <c r="J215" s="617"/>
      <c r="K215" s="1690">
        <f>D215</f>
        <v>108215</v>
      </c>
      <c r="L215" s="466">
        <v>109900</v>
      </c>
    </row>
    <row r="216" spans="1:14" x14ac:dyDescent="0.2">
      <c r="A216" s="1523" t="s">
        <v>165</v>
      </c>
      <c r="B216" s="615" t="s">
        <v>1024</v>
      </c>
      <c r="C216" s="617"/>
      <c r="D216" s="467">
        <v>3011</v>
      </c>
      <c r="E216" s="617"/>
      <c r="F216" s="617"/>
      <c r="G216" s="617"/>
      <c r="H216" s="617"/>
      <c r="I216" s="617"/>
      <c r="J216" s="617"/>
      <c r="K216" s="1690">
        <f t="shared" ref="K216:K228" si="19">D216</f>
        <v>3011</v>
      </c>
      <c r="L216" s="466">
        <v>3150</v>
      </c>
    </row>
    <row r="217" spans="1:14" x14ac:dyDescent="0.2">
      <c r="A217" s="1523" t="s">
        <v>166</v>
      </c>
      <c r="B217" s="615">
        <v>1200</v>
      </c>
      <c r="C217" s="617"/>
      <c r="D217" s="466">
        <v>117173</v>
      </c>
      <c r="E217" s="617"/>
      <c r="F217" s="617"/>
      <c r="G217" s="617"/>
      <c r="H217" s="617"/>
      <c r="I217" s="617"/>
      <c r="J217" s="617"/>
      <c r="K217" s="1690">
        <f t="shared" si="19"/>
        <v>117173</v>
      </c>
      <c r="L217" s="466">
        <v>119000</v>
      </c>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v>45641</v>
      </c>
      <c r="E219" s="617"/>
      <c r="F219" s="617"/>
      <c r="G219" s="617"/>
      <c r="H219" s="617"/>
      <c r="I219" s="617"/>
      <c r="J219" s="617"/>
      <c r="K219" s="1690">
        <f t="shared" si="19"/>
        <v>45641</v>
      </c>
      <c r="L219" s="466">
        <v>47300</v>
      </c>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v>6340</v>
      </c>
      <c r="E222" s="617"/>
      <c r="F222" s="617"/>
      <c r="G222" s="617"/>
      <c r="H222" s="617"/>
      <c r="I222" s="617"/>
      <c r="J222" s="617"/>
      <c r="K222" s="1690">
        <f t="shared" si="19"/>
        <v>6340</v>
      </c>
      <c r="L222" s="466">
        <v>6400</v>
      </c>
    </row>
    <row r="223" spans="1:14" x14ac:dyDescent="0.2">
      <c r="A223" s="1523" t="s">
        <v>1020</v>
      </c>
      <c r="B223" s="615">
        <v>1500</v>
      </c>
      <c r="C223" s="617"/>
      <c r="D223" s="466">
        <v>8793</v>
      </c>
      <c r="E223" s="617"/>
      <c r="F223" s="617"/>
      <c r="G223" s="617"/>
      <c r="H223" s="617"/>
      <c r="I223" s="617"/>
      <c r="J223" s="617"/>
      <c r="K223" s="1690">
        <f t="shared" si="19"/>
        <v>8793</v>
      </c>
      <c r="L223" s="466">
        <v>8900</v>
      </c>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c r="E226" s="617"/>
      <c r="F226" s="617"/>
      <c r="G226" s="617"/>
      <c r="H226" s="617"/>
      <c r="I226" s="617"/>
      <c r="J226" s="617"/>
      <c r="K226" s="1690">
        <f t="shared" si="19"/>
        <v>0</v>
      </c>
      <c r="L226" s="466"/>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v>1</v>
      </c>
      <c r="E228" s="617"/>
      <c r="F228" s="617"/>
      <c r="G228" s="617"/>
      <c r="H228" s="617"/>
      <c r="I228" s="617"/>
      <c r="J228" s="617"/>
      <c r="K228" s="1690">
        <f t="shared" si="19"/>
        <v>1</v>
      </c>
      <c r="L228" s="466"/>
    </row>
    <row r="229" spans="1:12" ht="12.75" customHeight="1" thickBot="1" x14ac:dyDescent="0.25">
      <c r="A229" s="1687" t="s">
        <v>739</v>
      </c>
      <c r="B229" s="1694" t="s">
        <v>591</v>
      </c>
      <c r="C229" s="617"/>
      <c r="D229" s="1689">
        <f>SUM(D215:D228)</f>
        <v>289174</v>
      </c>
      <c r="E229" s="617"/>
      <c r="F229" s="617"/>
      <c r="G229" s="617"/>
      <c r="H229" s="617"/>
      <c r="I229" s="617"/>
      <c r="J229" s="617"/>
      <c r="K229" s="1689">
        <f>SUM(K215:K228)</f>
        <v>289174</v>
      </c>
      <c r="L229" s="1689">
        <f>SUM(L215:L228)</f>
        <v>294650</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1679</v>
      </c>
      <c r="E232" s="617"/>
      <c r="F232" s="617"/>
      <c r="G232" s="617"/>
      <c r="H232" s="617"/>
      <c r="I232" s="617"/>
      <c r="J232" s="617"/>
      <c r="K232" s="1690">
        <f t="shared" ref="K232:K237" si="20">D232</f>
        <v>1679</v>
      </c>
      <c r="L232" s="466">
        <v>1700</v>
      </c>
    </row>
    <row r="233" spans="1:12" x14ac:dyDescent="0.2">
      <c r="A233" s="1523" t="s">
        <v>1151</v>
      </c>
      <c r="B233" s="615">
        <v>2120</v>
      </c>
      <c r="C233" s="617"/>
      <c r="D233" s="466">
        <v>1755</v>
      </c>
      <c r="E233" s="617"/>
      <c r="F233" s="617"/>
      <c r="G233" s="617"/>
      <c r="H233" s="617"/>
      <c r="I233" s="617"/>
      <c r="J233" s="617"/>
      <c r="K233" s="1690">
        <f t="shared" si="20"/>
        <v>1755</v>
      </c>
      <c r="L233" s="466">
        <v>1800</v>
      </c>
    </row>
    <row r="234" spans="1:12" x14ac:dyDescent="0.2">
      <c r="A234" s="1523" t="s">
        <v>207</v>
      </c>
      <c r="B234" s="615">
        <v>2130</v>
      </c>
      <c r="C234" s="617"/>
      <c r="D234" s="466">
        <v>16372</v>
      </c>
      <c r="E234" s="617"/>
      <c r="F234" s="617"/>
      <c r="G234" s="617"/>
      <c r="H234" s="617"/>
      <c r="I234" s="617"/>
      <c r="J234" s="617"/>
      <c r="K234" s="1690">
        <f t="shared" si="20"/>
        <v>16372</v>
      </c>
      <c r="L234" s="466">
        <v>17000</v>
      </c>
    </row>
    <row r="235" spans="1:12" x14ac:dyDescent="0.2">
      <c r="A235" s="1523" t="s">
        <v>208</v>
      </c>
      <c r="B235" s="615">
        <v>2140</v>
      </c>
      <c r="C235" s="617"/>
      <c r="D235" s="466">
        <v>1608</v>
      </c>
      <c r="E235" s="617"/>
      <c r="F235" s="617"/>
      <c r="G235" s="617"/>
      <c r="H235" s="617"/>
      <c r="I235" s="617"/>
      <c r="J235" s="617"/>
      <c r="K235" s="1690">
        <f t="shared" si="20"/>
        <v>1608</v>
      </c>
      <c r="L235" s="466">
        <v>1900</v>
      </c>
    </row>
    <row r="236" spans="1:12" x14ac:dyDescent="0.2">
      <c r="A236" s="1523" t="s">
        <v>209</v>
      </c>
      <c r="B236" s="615">
        <v>2150</v>
      </c>
      <c r="C236" s="617"/>
      <c r="D236" s="466">
        <v>2455</v>
      </c>
      <c r="E236" s="617"/>
      <c r="F236" s="617"/>
      <c r="G236" s="617"/>
      <c r="H236" s="617"/>
      <c r="I236" s="617"/>
      <c r="J236" s="617"/>
      <c r="K236" s="1690">
        <f t="shared" si="20"/>
        <v>2455</v>
      </c>
      <c r="L236" s="466">
        <v>2500</v>
      </c>
    </row>
    <row r="237" spans="1:12" x14ac:dyDescent="0.2">
      <c r="A237" s="1523" t="s">
        <v>167</v>
      </c>
      <c r="B237" s="615">
        <v>2190</v>
      </c>
      <c r="C237" s="617"/>
      <c r="D237" s="466">
        <v>2078</v>
      </c>
      <c r="E237" s="617"/>
      <c r="F237" s="617"/>
      <c r="G237" s="617"/>
      <c r="H237" s="617"/>
      <c r="I237" s="617"/>
      <c r="J237" s="617"/>
      <c r="K237" s="1690">
        <f t="shared" si="20"/>
        <v>2078</v>
      </c>
      <c r="L237" s="466">
        <v>2200</v>
      </c>
    </row>
    <row r="238" spans="1:12" ht="12.75" customHeight="1" thickBot="1" x14ac:dyDescent="0.25">
      <c r="A238" s="1687" t="s">
        <v>581</v>
      </c>
      <c r="B238" s="1694" t="s">
        <v>740</v>
      </c>
      <c r="C238" s="617"/>
      <c r="D238" s="1689">
        <f>SUM(D232:D237)</f>
        <v>25947</v>
      </c>
      <c r="E238" s="617"/>
      <c r="F238" s="617"/>
      <c r="G238" s="617"/>
      <c r="H238" s="617"/>
      <c r="I238" s="617"/>
      <c r="J238" s="617"/>
      <c r="K238" s="1689">
        <f>SUM(K232:K237)</f>
        <v>25947</v>
      </c>
      <c r="L238" s="1689">
        <f>SUM(L232:L237)</f>
        <v>27100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766</v>
      </c>
      <c r="E240" s="617"/>
      <c r="F240" s="617"/>
      <c r="G240" s="617"/>
      <c r="H240" s="617"/>
      <c r="I240" s="617"/>
      <c r="J240" s="617"/>
      <c r="K240" s="1691">
        <f>D240</f>
        <v>766</v>
      </c>
      <c r="L240" s="481">
        <v>800</v>
      </c>
    </row>
    <row r="241" spans="1:12" x14ac:dyDescent="0.2">
      <c r="A241" s="1523" t="s">
        <v>869</v>
      </c>
      <c r="B241" s="615">
        <v>2220</v>
      </c>
      <c r="C241" s="617"/>
      <c r="D241" s="466">
        <v>1746</v>
      </c>
      <c r="E241" s="617"/>
      <c r="F241" s="617"/>
      <c r="G241" s="617"/>
      <c r="H241" s="617"/>
      <c r="I241" s="617"/>
      <c r="J241" s="617"/>
      <c r="K241" s="1691">
        <f>D241</f>
        <v>1746</v>
      </c>
      <c r="L241" s="466">
        <v>1800</v>
      </c>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2512</v>
      </c>
      <c r="E243" s="617"/>
      <c r="F243" s="617"/>
      <c r="G243" s="617"/>
      <c r="H243" s="617"/>
      <c r="I243" s="617"/>
      <c r="J243" s="617"/>
      <c r="K243" s="1689">
        <f>SUM(K240:K242)</f>
        <v>2512</v>
      </c>
      <c r="L243" s="1689">
        <f>SUM(L240:L242)</f>
        <v>2600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1349</v>
      </c>
      <c r="E245" s="617"/>
      <c r="F245" s="617"/>
      <c r="G245" s="617"/>
      <c r="H245" s="617"/>
      <c r="I245" s="617"/>
      <c r="J245" s="617"/>
      <c r="K245" s="1691">
        <f>D245</f>
        <v>1349</v>
      </c>
      <c r="L245" s="481">
        <v>1400</v>
      </c>
    </row>
    <row r="246" spans="1:12" x14ac:dyDescent="0.2">
      <c r="A246" s="1523" t="s">
        <v>872</v>
      </c>
      <c r="B246" s="615">
        <v>2320</v>
      </c>
      <c r="C246" s="617"/>
      <c r="D246" s="466">
        <v>1453</v>
      </c>
      <c r="E246" s="617"/>
      <c r="F246" s="617"/>
      <c r="G246" s="617"/>
      <c r="H246" s="617"/>
      <c r="I246" s="617"/>
      <c r="J246" s="617"/>
      <c r="K246" s="1691">
        <f t="shared" ref="K246:K256" si="21">D246</f>
        <v>1453</v>
      </c>
      <c r="L246" s="466">
        <v>1500</v>
      </c>
    </row>
    <row r="247" spans="1:12" x14ac:dyDescent="0.2">
      <c r="A247" s="1523" t="s">
        <v>873</v>
      </c>
      <c r="B247" s="615">
        <v>2330</v>
      </c>
      <c r="C247" s="617"/>
      <c r="D247" s="466"/>
      <c r="E247" s="617"/>
      <c r="F247" s="617"/>
      <c r="G247" s="617"/>
      <c r="H247" s="617"/>
      <c r="I247" s="617"/>
      <c r="J247" s="617"/>
      <c r="K247" s="1691">
        <f t="shared" si="21"/>
        <v>0</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1904</v>
      </c>
      <c r="B249" s="684" t="s">
        <v>300</v>
      </c>
      <c r="C249" s="617"/>
      <c r="D249" s="474"/>
      <c r="E249" s="617"/>
      <c r="F249" s="617"/>
      <c r="G249" s="617"/>
      <c r="H249" s="617"/>
      <c r="I249" s="617"/>
      <c r="J249" s="617"/>
      <c r="K249" s="1691">
        <f t="shared" si="21"/>
        <v>0</v>
      </c>
      <c r="L249" s="466"/>
    </row>
    <row r="250" spans="1:12" x14ac:dyDescent="0.2">
      <c r="A250" s="1524" t="s">
        <v>1905</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2802</v>
      </c>
      <c r="E257" s="617"/>
      <c r="F257" s="617"/>
      <c r="G257" s="617"/>
      <c r="H257" s="617"/>
      <c r="I257" s="617"/>
      <c r="J257" s="617"/>
      <c r="K257" s="1689">
        <f>SUM(K245:K256)</f>
        <v>2802</v>
      </c>
      <c r="L257" s="1689">
        <f>SUM(L245:L256)</f>
        <v>2900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58522</v>
      </c>
      <c r="E259" s="617"/>
      <c r="F259" s="617"/>
      <c r="G259" s="617"/>
      <c r="H259" s="617"/>
      <c r="I259" s="617"/>
      <c r="J259" s="617"/>
      <c r="K259" s="1691">
        <f>D259</f>
        <v>58522</v>
      </c>
      <c r="L259" s="481">
        <v>60000</v>
      </c>
    </row>
    <row r="260" spans="1:14" s="598" customFormat="1" x14ac:dyDescent="0.2">
      <c r="A260" s="1541" t="s">
        <v>1903</v>
      </c>
      <c r="B260" s="629">
        <v>2490</v>
      </c>
      <c r="C260" s="617"/>
      <c r="D260" s="466">
        <v>53</v>
      </c>
      <c r="E260" s="617"/>
      <c r="F260" s="617"/>
      <c r="G260" s="617"/>
      <c r="H260" s="617"/>
      <c r="I260" s="617"/>
      <c r="J260" s="617"/>
      <c r="K260" s="1691">
        <f>D260</f>
        <v>53</v>
      </c>
      <c r="L260" s="466">
        <v>55</v>
      </c>
      <c r="M260" s="210"/>
      <c r="N260" s="210"/>
    </row>
    <row r="261" spans="1:14" ht="12.75" customHeight="1" thickBot="1" x14ac:dyDescent="0.25">
      <c r="A261" s="1711" t="s">
        <v>281</v>
      </c>
      <c r="B261" s="1716" t="s">
        <v>34</v>
      </c>
      <c r="C261" s="617"/>
      <c r="D261" s="1689">
        <f>SUM(D259:D260)</f>
        <v>58575</v>
      </c>
      <c r="E261" s="617"/>
      <c r="F261" s="617"/>
      <c r="G261" s="617"/>
      <c r="H261" s="617"/>
      <c r="I261" s="617"/>
      <c r="J261" s="617"/>
      <c r="K261" s="1689">
        <f>SUM(K259:K260)</f>
        <v>58575</v>
      </c>
      <c r="L261" s="1689">
        <f>SUM(L259:L260)</f>
        <v>60055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1">
        <f>D263</f>
        <v>0</v>
      </c>
      <c r="L263" s="481"/>
    </row>
    <row r="264" spans="1:14" x14ac:dyDescent="0.2">
      <c r="A264" s="1523" t="s">
        <v>483</v>
      </c>
      <c r="B264" s="686">
        <v>2520</v>
      </c>
      <c r="C264" s="617"/>
      <c r="D264" s="466">
        <v>37696</v>
      </c>
      <c r="E264" s="617"/>
      <c r="F264" s="617"/>
      <c r="G264" s="617"/>
      <c r="H264" s="617"/>
      <c r="I264" s="617"/>
      <c r="J264" s="617"/>
      <c r="K264" s="1691">
        <f t="shared" ref="K264:K269" si="22">D264</f>
        <v>37696</v>
      </c>
      <c r="L264" s="466">
        <v>38400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v>127056</v>
      </c>
      <c r="E266" s="617"/>
      <c r="F266" s="617"/>
      <c r="G266" s="617"/>
      <c r="H266" s="617"/>
      <c r="I266" s="617"/>
      <c r="J266" s="617"/>
      <c r="K266" s="1691">
        <f t="shared" si="22"/>
        <v>127056</v>
      </c>
      <c r="L266" s="466">
        <v>129000</v>
      </c>
    </row>
    <row r="267" spans="1:14" x14ac:dyDescent="0.2">
      <c r="A267" s="1523" t="s">
        <v>1010</v>
      </c>
      <c r="B267" s="615">
        <v>2550</v>
      </c>
      <c r="C267" s="617"/>
      <c r="D267" s="466"/>
      <c r="E267" s="617"/>
      <c r="F267" s="617"/>
      <c r="G267" s="617"/>
      <c r="H267" s="617"/>
      <c r="I267" s="617"/>
      <c r="J267" s="617"/>
      <c r="K267" s="1691">
        <f t="shared" si="22"/>
        <v>0</v>
      </c>
      <c r="L267" s="466"/>
    </row>
    <row r="268" spans="1:14" x14ac:dyDescent="0.2">
      <c r="A268" s="1523" t="s">
        <v>102</v>
      </c>
      <c r="B268" s="615">
        <v>2560</v>
      </c>
      <c r="C268" s="617"/>
      <c r="D268" s="466">
        <v>62409</v>
      </c>
      <c r="E268" s="617"/>
      <c r="F268" s="617"/>
      <c r="G268" s="617"/>
      <c r="H268" s="617"/>
      <c r="I268" s="617"/>
      <c r="J268" s="617"/>
      <c r="K268" s="1691">
        <f t="shared" si="22"/>
        <v>62409</v>
      </c>
      <c r="L268" s="466">
        <v>63100</v>
      </c>
    </row>
    <row r="269" spans="1:14" x14ac:dyDescent="0.2">
      <c r="A269" s="1523" t="s">
        <v>103</v>
      </c>
      <c r="B269" s="615">
        <v>2570</v>
      </c>
      <c r="C269" s="617"/>
      <c r="D269" s="466">
        <v>868</v>
      </c>
      <c r="E269" s="617"/>
      <c r="F269" s="617"/>
      <c r="G269" s="617"/>
      <c r="H269" s="617"/>
      <c r="I269" s="617"/>
      <c r="J269" s="617"/>
      <c r="K269" s="1691">
        <f t="shared" si="22"/>
        <v>868</v>
      </c>
      <c r="L269" s="466">
        <v>900</v>
      </c>
    </row>
    <row r="270" spans="1:14" ht="12.75" customHeight="1" thickBot="1" x14ac:dyDescent="0.25">
      <c r="A270" s="1687" t="s">
        <v>743</v>
      </c>
      <c r="B270" s="1694" t="s">
        <v>35</v>
      </c>
      <c r="C270" s="617"/>
      <c r="D270" s="1689">
        <f>SUM(D263:D269)</f>
        <v>228029</v>
      </c>
      <c r="E270" s="617"/>
      <c r="F270" s="617"/>
      <c r="G270" s="617"/>
      <c r="H270" s="617"/>
      <c r="I270" s="617"/>
      <c r="J270" s="617"/>
      <c r="K270" s="1689">
        <f>SUM(K263:K269)</f>
        <v>228029</v>
      </c>
      <c r="L270" s="1689">
        <f>SUM(L263:L269)</f>
        <v>231400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c r="E275" s="617"/>
      <c r="F275" s="617"/>
      <c r="G275" s="617"/>
      <c r="H275" s="617"/>
      <c r="I275" s="617"/>
      <c r="J275" s="617"/>
      <c r="K275" s="1691">
        <f>D275</f>
        <v>0</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317865</v>
      </c>
      <c r="E279" s="617"/>
      <c r="F279" s="617"/>
      <c r="G279" s="617"/>
      <c r="H279" s="617"/>
      <c r="I279" s="617"/>
      <c r="J279" s="617"/>
      <c r="K279" s="1696">
        <f>SUM(K238,K243,K257,K261,K270,K277,K278)</f>
        <v>317865</v>
      </c>
      <c r="L279" s="1696">
        <f>SUM(L238,L243,L257,L261,L270,L277,L278)</f>
        <v>324055</v>
      </c>
    </row>
    <row r="280" spans="1:12" ht="15.75" customHeight="1" thickTop="1" thickBot="1" x14ac:dyDescent="0.25">
      <c r="A280" s="1643" t="s">
        <v>930</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1953</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1566</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89">
        <f>SUM(D229,D279,D280,D285)</f>
        <v>607039</v>
      </c>
      <c r="E295" s="617"/>
      <c r="F295" s="617"/>
      <c r="G295" s="617"/>
      <c r="H295" s="1689">
        <f>H293</f>
        <v>0</v>
      </c>
      <c r="I295" s="617"/>
      <c r="J295" s="617"/>
      <c r="K295" s="1689">
        <f>SUM(K229,K279,K280,K285,K293,K294)</f>
        <v>607039</v>
      </c>
      <c r="L295" s="1689">
        <f>SUM(L229,L279,L280,L285,L293,L294)</f>
        <v>618705</v>
      </c>
    </row>
    <row r="296" spans="1:14" ht="13.5" thickTop="1" x14ac:dyDescent="0.2">
      <c r="A296" s="2186" t="s">
        <v>1053</v>
      </c>
      <c r="B296" s="2187"/>
      <c r="C296" s="617"/>
      <c r="D296" s="619"/>
      <c r="E296" s="617"/>
      <c r="F296" s="617"/>
      <c r="G296" s="617"/>
      <c r="H296" s="688"/>
      <c r="I296" s="617"/>
      <c r="J296" s="617"/>
      <c r="K296" s="1703">
        <f>'Revenues 9-14'!G275-'Expenditures 15-22'!K295</f>
        <v>-55798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v>542710</v>
      </c>
      <c r="H301" s="466"/>
      <c r="I301" s="467"/>
      <c r="J301" s="467"/>
      <c r="K301" s="1690">
        <f>SUM(C301:J301)</f>
        <v>542710</v>
      </c>
      <c r="L301" s="467">
        <v>542710</v>
      </c>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542710</v>
      </c>
      <c r="H303" s="1696">
        <f t="shared" si="23"/>
        <v>0</v>
      </c>
      <c r="I303" s="1696">
        <f t="shared" si="23"/>
        <v>0</v>
      </c>
      <c r="J303" s="1696">
        <f t="shared" si="23"/>
        <v>0</v>
      </c>
      <c r="K303" s="1696">
        <f t="shared" si="23"/>
        <v>542710</v>
      </c>
      <c r="L303" s="1696">
        <f t="shared" si="23"/>
        <v>542710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1958</v>
      </c>
      <c r="B306" s="691" t="s">
        <v>1953</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1566</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89">
        <f>SUM(C303)</f>
        <v>0</v>
      </c>
      <c r="D312" s="1689">
        <f>SUM(D303)</f>
        <v>0</v>
      </c>
      <c r="E312" s="1689">
        <f>SUM(E303,E310)</f>
        <v>0</v>
      </c>
      <c r="F312" s="1689">
        <f>SUM(F303)</f>
        <v>0</v>
      </c>
      <c r="G312" s="1689">
        <f>SUM(G303)</f>
        <v>542710</v>
      </c>
      <c r="H312" s="1689">
        <f>SUM(H303,H310)</f>
        <v>0</v>
      </c>
      <c r="I312" s="1689">
        <f>SUM(I303)</f>
        <v>0</v>
      </c>
      <c r="J312" s="1689">
        <f>SUM(J303)</f>
        <v>0</v>
      </c>
      <c r="K312" s="1689">
        <f>SUM(K303,K310,K311)</f>
        <v>542710</v>
      </c>
      <c r="L312" s="1689">
        <f>SUM(L303,L310,L311)</f>
        <v>542710</v>
      </c>
      <c r="M312" s="666"/>
      <c r="N312" s="666"/>
    </row>
    <row r="313" spans="1:14" ht="13.5" thickTop="1" x14ac:dyDescent="0.2">
      <c r="A313" s="2197" t="s">
        <v>1053</v>
      </c>
      <c r="B313" s="2198"/>
      <c r="C313" s="627"/>
      <c r="D313" s="627"/>
      <c r="E313" s="627"/>
      <c r="F313" s="627"/>
      <c r="G313" s="627"/>
      <c r="H313" s="627"/>
      <c r="I313" s="627"/>
      <c r="J313" s="627"/>
      <c r="K313" s="1704">
        <f>'Revenues 9-14'!H275-'Expenditures 15-22'!K312</f>
        <v>48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1904</v>
      </c>
      <c r="B320" s="699" t="s">
        <v>300</v>
      </c>
      <c r="C320" s="467"/>
      <c r="D320" s="467"/>
      <c r="E320" s="467">
        <v>223519</v>
      </c>
      <c r="F320" s="467"/>
      <c r="G320" s="467"/>
      <c r="H320" s="467"/>
      <c r="I320" s="467"/>
      <c r="J320" s="467"/>
      <c r="K320" s="1690">
        <f t="shared" ref="K320:K327" si="24">SUM(C320:J320)</f>
        <v>223519</v>
      </c>
      <c r="L320" s="467">
        <v>223519</v>
      </c>
      <c r="M320" s="666"/>
      <c r="N320" s="666"/>
    </row>
    <row r="321" spans="1:14" s="675" customFormat="1" x14ac:dyDescent="0.2">
      <c r="A321" s="1538" t="s">
        <v>318</v>
      </c>
      <c r="B321" s="698" t="s">
        <v>301</v>
      </c>
      <c r="C321" s="467"/>
      <c r="D321" s="467"/>
      <c r="E321" s="467">
        <v>690</v>
      </c>
      <c r="F321" s="467"/>
      <c r="G321" s="467"/>
      <c r="H321" s="467"/>
      <c r="I321" s="467"/>
      <c r="J321" s="467"/>
      <c r="K321" s="1690">
        <f t="shared" si="24"/>
        <v>690</v>
      </c>
      <c r="L321" s="467">
        <v>690</v>
      </c>
      <c r="M321" s="666"/>
      <c r="N321" s="666"/>
    </row>
    <row r="322" spans="1:14" s="675" customFormat="1" x14ac:dyDescent="0.2">
      <c r="A322" s="1538" t="s">
        <v>256</v>
      </c>
      <c r="B322" s="698" t="s">
        <v>302</v>
      </c>
      <c r="C322" s="467"/>
      <c r="D322" s="467"/>
      <c r="E322" s="467">
        <v>152099</v>
      </c>
      <c r="F322" s="467"/>
      <c r="G322" s="467"/>
      <c r="H322" s="467"/>
      <c r="I322" s="467"/>
      <c r="J322" s="467"/>
      <c r="K322" s="1690">
        <f t="shared" si="24"/>
        <v>152099</v>
      </c>
      <c r="L322" s="467">
        <v>152099</v>
      </c>
      <c r="M322" s="666"/>
      <c r="N322" s="666"/>
    </row>
    <row r="323" spans="1:14" s="675" customFormat="1" x14ac:dyDescent="0.2">
      <c r="A323" s="1538"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v>36214</v>
      </c>
      <c r="F327" s="467"/>
      <c r="G327" s="467"/>
      <c r="H327" s="467"/>
      <c r="I327" s="467"/>
      <c r="J327" s="467"/>
      <c r="K327" s="1690">
        <f t="shared" si="24"/>
        <v>36214</v>
      </c>
      <c r="L327" s="467">
        <v>36214</v>
      </c>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412522</v>
      </c>
      <c r="F330" s="1689">
        <f t="shared" si="25"/>
        <v>0</v>
      </c>
      <c r="G330" s="1689">
        <f t="shared" si="25"/>
        <v>0</v>
      </c>
      <c r="H330" s="1689">
        <f t="shared" si="25"/>
        <v>0</v>
      </c>
      <c r="I330" s="1689">
        <f t="shared" si="25"/>
        <v>0</v>
      </c>
      <c r="J330" s="1689">
        <f t="shared" si="25"/>
        <v>0</v>
      </c>
      <c r="K330" s="1689">
        <f>SUM(K319:K329)</f>
        <v>412522</v>
      </c>
      <c r="L330" s="1689">
        <f>SUM(L319:L329)</f>
        <v>412522</v>
      </c>
      <c r="M330" s="666"/>
      <c r="N330" s="666"/>
    </row>
    <row r="331" spans="1:14" s="675" customFormat="1" ht="12.75" customHeight="1" thickTop="1" x14ac:dyDescent="0.2">
      <c r="A331" s="1851" t="s">
        <v>1959</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1953</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1955</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1960</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412522</v>
      </c>
      <c r="F342" s="1689">
        <f>SUM(F330)</f>
        <v>0</v>
      </c>
      <c r="G342" s="1689">
        <f>SUM(G330)</f>
        <v>0</v>
      </c>
      <c r="H342" s="1689">
        <f>SUM(H330,H334,H340)</f>
        <v>0</v>
      </c>
      <c r="I342" s="1689">
        <f>SUM(I330)</f>
        <v>0</v>
      </c>
      <c r="J342" s="1689">
        <f>SUM(J330)</f>
        <v>0</v>
      </c>
      <c r="K342" s="1689">
        <f>SUM(K330,K334,K340)</f>
        <v>412522</v>
      </c>
      <c r="L342" s="1696">
        <f>SUM(L330,L340,L341)</f>
        <v>412522</v>
      </c>
    </row>
    <row r="343" spans="1:14" ht="12.75" customHeight="1" thickTop="1" x14ac:dyDescent="0.2">
      <c r="A343" s="2199" t="s">
        <v>1053</v>
      </c>
      <c r="B343" s="2200"/>
      <c r="C343" s="617"/>
      <c r="D343" s="617"/>
      <c r="E343" s="617"/>
      <c r="F343" s="617"/>
      <c r="G343" s="617"/>
      <c r="H343" s="617"/>
      <c r="I343" s="617"/>
      <c r="J343" s="617"/>
      <c r="K343" s="1703">
        <f>'Revenues 9-14'!J275-'Expenditures 15-22'!K342</f>
        <v>67787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1961</v>
      </c>
      <c r="B354" s="684" t="s">
        <v>1953</v>
      </c>
      <c r="C354" s="617"/>
      <c r="D354" s="617"/>
      <c r="E354" s="617"/>
      <c r="F354" s="617"/>
      <c r="G354" s="617"/>
      <c r="H354" s="474"/>
      <c r="I354" s="702"/>
      <c r="J354" s="617"/>
      <c r="K354" s="1718">
        <f>H354</f>
        <v>0</v>
      </c>
      <c r="L354" s="471"/>
    </row>
    <row r="355" spans="1:14" ht="12.75" customHeight="1" x14ac:dyDescent="0.2">
      <c r="A355" s="1532" t="s">
        <v>1962</v>
      </c>
      <c r="B355" s="691" t="s">
        <v>1955</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1566</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86" t="s">
        <v>1053</v>
      </c>
      <c r="B368" s="2187"/>
      <c r="C368" s="655"/>
      <c r="D368" s="655"/>
      <c r="E368" s="627"/>
      <c r="F368" s="627"/>
      <c r="G368" s="627"/>
      <c r="H368" s="627"/>
      <c r="I368" s="627"/>
      <c r="J368" s="624"/>
      <c r="K368" s="1690">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(2)</vt:lpstr>
      <vt:lpstr>SEFA (3)</vt:lpstr>
      <vt:lpstr>SEFA (4)</vt:lpstr>
      <vt:lpstr>SEFA NOTES</vt:lpstr>
      <vt:lpstr>SF&amp;QC Sec-1</vt:lpstr>
      <vt:lpstr>SF&amp;QC Sec-2</vt:lpstr>
      <vt:lpstr>SF&amp;QC Sec-3</vt:lpstr>
      <vt:lpstr>Sheet5</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2018-11-05T19:42:03Z</cp:lastPrinted>
  <dcterms:created xsi:type="dcterms:W3CDTF">2003-10-29T19:06:34Z</dcterms:created>
  <dcterms:modified xsi:type="dcterms:W3CDTF">2018-12-21T19:27:31Z</dcterms:modified>
</cp:coreProperties>
</file>