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SD_Files\"/>
    </mc:Choice>
  </mc:AlternateContent>
  <bookViews>
    <workbookView xWindow="0" yWindow="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65" i="127" l="1"/>
  <c r="I58" i="127" l="1"/>
  <c r="I28" i="127"/>
  <c r="I10"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A2" i="170" l="1"/>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c r="B6343" i="106"/>
  <c r="D6343" i="106" s="1"/>
  <c r="B6344" i="106"/>
  <c r="D6344" i="106" s="1"/>
  <c r="B6345" i="106"/>
  <c r="D6345" i="106" s="1"/>
  <c r="B6346" i="106"/>
  <c r="D6346" i="106"/>
  <c r="B6347" i="106"/>
  <c r="D6347" i="106" s="1"/>
  <c r="B6348" i="106"/>
  <c r="D6348" i="106" s="1"/>
  <c r="B6349" i="106"/>
  <c r="D6349" i="106" s="1"/>
  <c r="B6350" i="106"/>
  <c r="D6350" i="106"/>
  <c r="B6353" i="106"/>
  <c r="D6353" i="106" s="1"/>
  <c r="B6354" i="106"/>
  <c r="D6354" i="106" s="1"/>
  <c r="B6355" i="106"/>
  <c r="D6355" i="106" s="1"/>
  <c r="B6356" i="106"/>
  <c r="D6356" i="106"/>
  <c r="B6358" i="106"/>
  <c r="D6358" i="106" s="1"/>
  <c r="B6359" i="106"/>
  <c r="D6359" i="106" s="1"/>
  <c r="B6360" i="106"/>
  <c r="D6360" i="106" s="1"/>
  <c r="B6361" i="106"/>
  <c r="D6361" i="106"/>
  <c r="B6362" i="106"/>
  <c r="D6362" i="106" s="1"/>
  <c r="B6363" i="106"/>
  <c r="D6363" i="106" s="1"/>
  <c r="B6364" i="106"/>
  <c r="D6364" i="106" s="1"/>
  <c r="B6365" i="106"/>
  <c r="D6365" i="106"/>
  <c r="B6366" i="106"/>
  <c r="D6366" i="106" s="1"/>
  <c r="B6367" i="106"/>
  <c r="D6367" i="106" s="1"/>
  <c r="B6368" i="106"/>
  <c r="D6368" i="106" s="1"/>
  <c r="B6369" i="106"/>
  <c r="D6369" i="106"/>
  <c r="B6370" i="106"/>
  <c r="D6370" i="106" s="1"/>
  <c r="B6371" i="106"/>
  <c r="D6371" i="106" s="1"/>
  <c r="B6372" i="106"/>
  <c r="D6372" i="106" s="1"/>
  <c r="B6373" i="106"/>
  <c r="D6373" i="106"/>
  <c r="B6374" i="106"/>
  <c r="D6374" i="106" s="1"/>
  <c r="B6375" i="106"/>
  <c r="D6375" i="106" s="1"/>
  <c r="B6376" i="106"/>
  <c r="D6376" i="106" s="1"/>
  <c r="B6377" i="106"/>
  <c r="D6377" i="106" s="1"/>
  <c r="B6378" i="106"/>
  <c r="D6378" i="106" s="1"/>
  <c r="B6379" i="106"/>
  <c r="D6379" i="106" s="1"/>
  <c r="B6380" i="106"/>
  <c r="D6380" i="106" s="1"/>
  <c r="B6381" i="106"/>
  <c r="D6381" i="106"/>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s="1"/>
  <c r="B6394" i="106"/>
  <c r="D6394" i="106" s="1"/>
  <c r="B6395" i="106"/>
  <c r="D6395" i="106" s="1"/>
  <c r="B6398" i="106"/>
  <c r="D6398" i="106" s="1"/>
  <c r="B6399" i="106"/>
  <c r="D6399" i="106"/>
  <c r="B6401" i="106"/>
  <c r="D6401" i="106" s="1"/>
  <c r="B6402" i="106"/>
  <c r="D6402" i="106" s="1"/>
  <c r="B6403" i="106"/>
  <c r="D6403" i="106" s="1"/>
  <c r="B6404" i="106"/>
  <c r="D6404" i="106" s="1"/>
  <c r="B6405" i="106"/>
  <c r="D6405" i="106" s="1"/>
  <c r="B6406" i="106"/>
  <c r="D6406" i="106" s="1"/>
  <c r="B6407" i="106"/>
  <c r="D6407" i="106" s="1"/>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s="1"/>
  <c r="B6641" i="106"/>
  <c r="D6641" i="106" s="1"/>
  <c r="B6642" i="106"/>
  <c r="D6642" i="106" s="1"/>
  <c r="B6643" i="106"/>
  <c r="D6643" i="106" s="1"/>
  <c r="B6644" i="106"/>
  <c r="D6644" i="106"/>
  <c r="B6645" i="106"/>
  <c r="D6645" i="106" s="1"/>
  <c r="B6646" i="106"/>
  <c r="D6646" i="106" s="1"/>
  <c r="B6647" i="106"/>
  <c r="D6647" i="106" s="1"/>
  <c r="B6648" i="106"/>
  <c r="D6648" i="106" s="1"/>
  <c r="B6649" i="106"/>
  <c r="D6649" i="106" s="1"/>
  <c r="B6650" i="106"/>
  <c r="D6650" i="106" s="1"/>
  <c r="B6651" i="106"/>
  <c r="D6651" i="106" s="1"/>
  <c r="B6652" i="106"/>
  <c r="D6652" i="106"/>
  <c r="B6653" i="106"/>
  <c r="D6653" i="106" s="1"/>
  <c r="B6654" i="106"/>
  <c r="D6654" i="106" s="1"/>
  <c r="B6655" i="106"/>
  <c r="D6655" i="106" s="1"/>
  <c r="B6656" i="106"/>
  <c r="D6656" i="106" s="1"/>
  <c r="B6657" i="106"/>
  <c r="D6657" i="106" s="1"/>
  <c r="B6658" i="106"/>
  <c r="D6658" i="106" s="1"/>
  <c r="B6659" i="106"/>
  <c r="D6659" i="106" s="1"/>
  <c r="B6660" i="106"/>
  <c r="D6660" i="106"/>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s="1"/>
  <c r="B6673" i="106"/>
  <c r="D6673" i="106" s="1"/>
  <c r="B6674" i="106"/>
  <c r="D6674" i="106" s="1"/>
  <c r="B6675" i="106"/>
  <c r="D6675" i="106" s="1"/>
  <c r="B6676" i="106"/>
  <c r="D6676" i="106"/>
  <c r="B6677" i="106"/>
  <c r="D6677" i="106" s="1"/>
  <c r="B6678" i="106"/>
  <c r="D6678" i="106" s="1"/>
  <c r="B6679" i="106"/>
  <c r="D6679" i="106" s="1"/>
  <c r="B6680" i="106"/>
  <c r="D6680" i="106" s="1"/>
  <c r="B6681" i="106"/>
  <c r="D6681" i="106" s="1"/>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9" i="36"/>
  <c r="D71" i="36"/>
  <c r="D72" i="36"/>
  <c r="D79" i="36"/>
  <c r="B67" i="127"/>
  <c r="B68" i="127"/>
  <c r="E26" i="108"/>
  <c r="F26" i="108"/>
  <c r="G26" i="108"/>
  <c r="D27" i="108"/>
  <c r="E27" i="108"/>
  <c r="F27" i="108"/>
  <c r="G27" i="108"/>
  <c r="F31" i="108"/>
  <c r="F36" i="108"/>
  <c r="F37" i="108"/>
  <c r="G28" i="108"/>
  <c r="E30" i="108"/>
  <c r="D31" i="108"/>
  <c r="D36" i="108"/>
  <c r="D37" i="108"/>
  <c r="E31" i="108"/>
  <c r="G31" i="108"/>
  <c r="E33" i="108"/>
  <c r="G33" i="108"/>
  <c r="E34" i="108"/>
  <c r="G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F127" i="34"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D11" i="37"/>
  <c r="D22" i="37"/>
  <c r="J22" i="37"/>
  <c r="L22" i="37"/>
  <c r="D24" i="37"/>
  <c r="B4270" i="106" s="1"/>
  <c r="D4270" i="106" s="1"/>
  <c r="D13" i="7"/>
  <c r="B3726" i="106" s="1"/>
  <c r="D3726" i="106" s="1"/>
  <c r="B5847" i="106"/>
  <c r="D5847" i="106" s="1"/>
  <c r="D11" i="7"/>
  <c r="B1768" i="106" s="1"/>
  <c r="D1768" i="106" s="1"/>
  <c r="D15" i="7"/>
  <c r="B1772" i="106" s="1"/>
  <c r="D1772" i="106" s="1"/>
  <c r="D12" i="7" l="1"/>
  <c r="B1769" i="106" s="1"/>
  <c r="D1769" i="106" s="1"/>
  <c r="L5" i="11"/>
  <c r="B2056" i="106" s="1"/>
  <c r="D2056" i="106" s="1"/>
  <c r="H173" i="5"/>
  <c r="B5906" i="106" s="1"/>
  <c r="D5906" i="106" s="1"/>
  <c r="G5" i="4"/>
  <c r="B3409" i="106" s="1"/>
  <c r="D3409" i="106" s="1"/>
  <c r="H342" i="29"/>
  <c r="F21" i="8"/>
  <c r="K24" i="12"/>
  <c r="L367" i="29"/>
  <c r="B3619" i="106"/>
  <c r="D3619" i="106" s="1"/>
  <c r="C352" i="29"/>
  <c r="F131" i="34"/>
  <c r="E109" i="5"/>
  <c r="E4" i="4" s="1"/>
  <c r="B2630" i="106" s="1"/>
  <c r="D2630" i="106" s="1"/>
  <c r="J352" i="29"/>
  <c r="J367" i="29" s="1"/>
  <c r="B7245" i="106" s="1"/>
  <c r="D7245" i="106" s="1"/>
  <c r="J77" i="4"/>
  <c r="B6262" i="106" s="1"/>
  <c r="D6262" i="106" s="1"/>
  <c r="I173" i="5"/>
  <c r="B4216" i="106" s="1"/>
  <c r="D4216" i="106" s="1"/>
  <c r="G172" i="5"/>
  <c r="B1746" i="106"/>
  <c r="D1746" i="106" s="1"/>
  <c r="K274" i="5"/>
  <c r="F111" i="34"/>
  <c r="B3565" i="106"/>
  <c r="D3565" i="106" s="1"/>
  <c r="K41" i="3"/>
  <c r="B1124" i="106"/>
  <c r="D1124" i="106" s="1"/>
  <c r="G15" i="145"/>
  <c r="D6103" i="106"/>
  <c r="G352" i="29"/>
  <c r="F77" i="4"/>
  <c r="B3255" i="106" s="1"/>
  <c r="D3255" i="106" s="1"/>
  <c r="B1274" i="106"/>
  <c r="D1274" i="106" s="1"/>
  <c r="F19" i="7"/>
  <c r="B1807" i="106" s="1"/>
  <c r="D1807" i="106" s="1"/>
  <c r="L15" i="11"/>
  <c r="B3459" i="106" s="1"/>
  <c r="D3459" i="106" s="1"/>
  <c r="L13" i="11"/>
  <c r="B2060" i="106" s="1"/>
  <c r="D2060" i="106" s="1"/>
  <c r="N22" i="3"/>
  <c r="B283" i="106" s="1"/>
  <c r="D283" i="106" s="1"/>
  <c r="D68" i="36"/>
  <c r="E28" i="108"/>
  <c r="G29" i="108"/>
  <c r="E29" i="108"/>
  <c r="F28" i="108"/>
  <c r="G38" i="108"/>
  <c r="G30" i="108"/>
  <c r="D26" i="108"/>
  <c r="B5096" i="106"/>
  <c r="D5096" i="106" s="1"/>
  <c r="H109" i="5"/>
  <c r="B6025" i="106" s="1"/>
  <c r="D6025" i="106" s="1"/>
  <c r="C109" i="5"/>
  <c r="B5121" i="106" s="1"/>
  <c r="D5121" i="106" s="1"/>
  <c r="D4" i="7"/>
  <c r="B1760" i="106" s="1"/>
  <c r="D1760" i="106" s="1"/>
  <c r="G173" i="5"/>
  <c r="B5778" i="106" s="1"/>
  <c r="D5778" i="106" s="1"/>
  <c r="B5770" i="106"/>
  <c r="D5770" i="106" s="1"/>
  <c r="D17" i="7"/>
  <c r="B4104" i="106" s="1"/>
  <c r="D4104" i="106" s="1"/>
  <c r="F106" i="34"/>
  <c r="B5752" i="106"/>
  <c r="D5752" i="106" s="1"/>
  <c r="F128" i="34"/>
  <c r="H33" i="118"/>
  <c r="J274" i="5"/>
  <c r="B7054" i="106" s="1"/>
  <c r="D7054" i="106" s="1"/>
  <c r="I342" i="29"/>
  <c r="B7222" i="106" s="1"/>
  <c r="D7222" i="106" s="1"/>
  <c r="B3621" i="106"/>
  <c r="D3621" i="106" s="1"/>
  <c r="C367" i="29"/>
  <c r="C129" i="29"/>
  <c r="B1225" i="106" s="1"/>
  <c r="D1225" i="106" s="1"/>
  <c r="B1223" i="106"/>
  <c r="D1223" i="106" s="1"/>
  <c r="B1053" i="106"/>
  <c r="D1053" i="106" s="1"/>
  <c r="H112" i="29"/>
  <c r="B7018" i="106" s="1"/>
  <c r="D7018" i="106" s="1"/>
  <c r="D109" i="5"/>
  <c r="F130" i="34"/>
  <c r="D9" i="7"/>
  <c r="B1767" i="106" s="1"/>
  <c r="D1767" i="106" s="1"/>
  <c r="K28" i="118"/>
  <c r="O27" i="118" s="1"/>
  <c r="O29" i="118" s="1"/>
  <c r="B5232" i="106"/>
  <c r="D5232" i="106" s="1"/>
  <c r="G109" i="5"/>
  <c r="B5066" i="106"/>
  <c r="D5066" i="106" s="1"/>
  <c r="L342" i="29"/>
  <c r="F34" i="34"/>
  <c r="B7235" i="106"/>
  <c r="D7235" i="106" s="1"/>
  <c r="J41" i="3"/>
  <c r="B3669" i="106"/>
  <c r="D3669" i="106" s="1"/>
  <c r="K350" i="29"/>
  <c r="H6" i="4"/>
  <c r="B2656" i="106" s="1"/>
  <c r="D2656" i="106" s="1"/>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D7255" i="106" l="1"/>
  <c r="D7252" i="106"/>
  <c r="B7733" i="106"/>
  <c r="D7733" i="106" s="1"/>
  <c r="K26" i="12"/>
  <c r="B7743" i="106" s="1"/>
  <c r="D7743" i="106" s="1"/>
  <c r="B1879" i="106"/>
  <c r="D1879" i="106" s="1"/>
  <c r="H22" i="37"/>
  <c r="B3568" i="106"/>
  <c r="D3568" i="106" s="1"/>
  <c r="D52" i="36"/>
  <c r="L114" i="29"/>
  <c r="D44" i="36"/>
  <c r="C114" i="29"/>
  <c r="B757" i="106" s="1"/>
  <c r="D757" i="106" s="1"/>
  <c r="H275" i="5"/>
  <c r="C4" i="4"/>
  <c r="B2551" i="106" s="1"/>
  <c r="D2551" i="106" s="1"/>
  <c r="H4" i="4"/>
  <c r="D19" i="7"/>
  <c r="B1775" i="106" s="1"/>
  <c r="D1775" i="106" s="1"/>
  <c r="I26" i="12"/>
  <c r="B7741" i="106" s="1"/>
  <c r="D7741" i="106" s="1"/>
  <c r="B1996" i="106"/>
  <c r="D1996" i="106" s="1"/>
  <c r="B5214" i="106"/>
  <c r="D5214" i="106" s="1"/>
  <c r="C173" i="5"/>
  <c r="B3628" i="106"/>
  <c r="D3628" i="106" s="1"/>
  <c r="C151" i="29"/>
  <c r="B1226" i="106" s="1"/>
  <c r="D1226" i="106" s="1"/>
  <c r="B1317" i="106"/>
  <c r="D1317" i="106" s="1"/>
  <c r="F274" i="5"/>
  <c r="F7" i="4" s="1"/>
  <c r="B2594" i="106" s="1"/>
  <c r="D2594" i="106" s="1"/>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6222" i="106"/>
  <c r="D6222" i="106" s="1"/>
  <c r="J8" i="4"/>
  <c r="D7" i="4"/>
  <c r="D275" i="5"/>
  <c r="B5507" i="106"/>
  <c r="D5507" i="106" s="1"/>
  <c r="B7298" i="106"/>
  <c r="B7299" i="106"/>
  <c r="B1145" i="106" l="1"/>
  <c r="D1145" i="106" s="1"/>
  <c r="G41" i="108"/>
  <c r="G44" i="108" s="1"/>
  <c r="G45" i="108" s="1"/>
  <c r="B2655" i="106"/>
  <c r="D2655" i="106" s="1"/>
  <c r="H8" i="4"/>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B2593" i="106"/>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20" i="4" l="1"/>
  <c r="K19" i="4"/>
  <c r="B4144" i="106" s="1"/>
  <c r="D4144" i="106" s="1"/>
  <c r="H13" i="118"/>
  <c r="F10" i="4"/>
  <c r="B4125" i="106" s="1"/>
  <c r="D4125" i="106" s="1"/>
  <c r="B2595" i="106"/>
  <c r="D259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<sst xmlns="http://schemas.openxmlformats.org/spreadsheetml/2006/main" count="5081" uniqueCount="2141">
  <si>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</si>
  <si>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</si>
  <si>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</si>
  <si>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</si>
  <si>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</si>
  <si>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</si>
  <si>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</si>
  <si>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</si>
  <si>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</si>
  <si>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</si>
  <si>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</si>
  <si>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</si>
  <si>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</si>
  <si>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</si>
  <si>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</si>
  <si>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</si>
  <si>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</si>
  <si>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</si>
  <si>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</si>
  <si>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</si>
  <si>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</si>
  <si>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</si>
  <si>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</si>
  <si>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</si>
  <si>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</si>
  <si>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</si>
  <si>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</si>
  <si>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</si>
  <si>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</si>
  <si>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</si>
  <si>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</si>
  <si>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</si>
  <si>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</si>
  <si>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</si>
  <si>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</si>
  <si>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</si>
  <si>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</si>
  <si>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</si>
  <si>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</si>
  <si>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</si>
  <si>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</si>
  <si>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</si>
  <si>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</si>
  <si>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</si>
  <si>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</si>
  <si>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</si>
  <si>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</si>
  <si>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</si>
  <si>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</si>
  <si>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</si>
  <si>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</si>
  <si>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</si>
  <si>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</si>
  <si>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</si>
  <si>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</si>
  <si>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</si>
  <si>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</si>
  <si>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</si>
  <si>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</si>
  <si>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</si>
  <si>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</si>
  <si>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</si>
  <si>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</si>
  <si>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</si>
  <si>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</si>
  <si>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</si>
  <si>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</si>
  <si>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</si>
  <si>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</si>
  <si>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</si>
  <si>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</si>
  <si>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</si>
  <si>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</si>
  <si>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</si>
  <si>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</si>
  <si>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</si>
  <si>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</si>
  <si>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</si>
  <si>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</si>
  <si>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</si>
  <si>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</si>
  <si>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</si>
  <si>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</si>
  <si>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</si>
  <si>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</si>
  <si>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</si>
  <si>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</si>
  <si>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</si>
  <si>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</si>
  <si>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</si>
  <si>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</si>
  <si>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</si>
  <si>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</si>
  <si>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</si>
  <si>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</si>
  <si>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</si>
  <si>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</si>
  <si>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</si>
  <si>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</si>
  <si>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</si>
  <si>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</si>
  <si>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</si>
  <si>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</si>
  <si>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</si>
  <si>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</si>
  <si>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</si>
  <si>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</si>
  <si>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</si>
  <si>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</si>
  <si>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</si>
  <si>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</si>
  <si>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</si>
  <si>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</si>
  <si>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</si>
  <si>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</si>
  <si>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</si>
  <si>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</si>
  <si>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</si>
  <si>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</si>
  <si>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</si>
  <si>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</si>
  <si>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</si>
  <si>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</si>
  <si>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</si>
  <si>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</si>
  <si>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</si>
  <si>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</si>
  <si>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</si>
  <si>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</si>
  <si>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</si>
  <si>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</si>
  <si>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</si>
  <si>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</si>
  <si>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</si>
  <si>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</si>
  <si>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</si>
  <si>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</si>
  <si>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</si>
  <si>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</si>
  <si>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</si>
  <si>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</si>
  <si>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</si>
  <si>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</si>
  <si>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</si>
  <si>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</si>
  <si>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</si>
  <si>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</si>
  <si>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</si>
  <si>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</si>
  <si>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</si>
  <si>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</si>
  <si>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</si>
  <si>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</si>
  <si>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</si>
  <si>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</si>
  <si>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</si>
  <si>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</si>
  <si>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</si>
  <si>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</si>
  <si>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</si>
  <si>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</si>
  <si>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</si>
  <si>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</si>
  <si>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</si>
  <si>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</si>
  <si>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</si>
  <si>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</si>
  <si>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</si>
  <si>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</si>
  <si>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</si>
  <si>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</si>
  <si>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</si>
  <si>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</si>
  <si>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</si>
  <si>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</si>
  <si>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</si>
  <si>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</si>
  <si>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</si>
  <si>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</si>
  <si>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</si>
  <si>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</si>
  <si>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</si>
  <si>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</si>
  <si>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</si>
  <si>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</si>
  <si>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</si>
  <si>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</si>
  <si>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</si>
  <si>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</si>
  <si>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</si>
  <si>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</si>
  <si>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</si>
  <si>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</si>
  <si>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</si>
  <si>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</si>
  <si>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</si>
  <si>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</si>
  <si>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</si>
  <si>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</si>
  <si>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</si>
  <si>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</si>
  <si>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</si>
  <si>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</si>
  <si>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</si>
  <si>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</si>
  <si>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</si>
  <si>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</si>
  <si>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</si>
  <si>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</si>
  <si>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</si>
  <si>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</si>
  <si>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</si>
  <si>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</si>
  <si>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</si>
  <si>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</si>
  <si>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</si>
  <si>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</si>
  <si>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</si>
  <si>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</si>
  <si>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</si>
  <si>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</si>
  <si>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</si>
  <si>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</si>
  <si>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</si>
  <si>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</si>
  <si>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</si>
  <si>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</si>
  <si>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</si>
  <si>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</si>
  <si>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</si>
  <si>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</si>
  <si>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</si>
  <si>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</si>
  <si>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</si>
  <si>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</si>
  <si>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</si>
  <si>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</si>
  <si>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</si>
  <si>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</si>
  <si>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</si>
  <si>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</si>
  <si>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</si>
  <si>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</si>
  <si>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</si>
  <si>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</si>
  <si>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</si>
  <si>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</si>
  <si>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</si>
  <si>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</si>
  <si>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</si>
  <si>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</si>
  <si>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</si>
  <si>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</si>
  <si>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</si>
  <si>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</si>
  <si>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</si>
  <si>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</si>
  <si>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</si>
  <si>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</si>
  <si>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</si>
  <si>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</si>
  <si>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</si>
  <si>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</si>
  <si>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</si>
  <si>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</si>
  <si>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</si>
  <si>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</si>
  <si>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</si>
  <si>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</si>
  <si>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</si>
  <si>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</si>
  <si>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</si>
  <si>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</si>
  <si>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</si>
  <si>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</si>
  <si>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</si>
  <si>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</si>
  <si>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</si>
  <si>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</si>
  <si>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</si>
  <si>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</si>
  <si>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</si>
  <si>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</si>
  <si>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</si>
  <si>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</si>
  <si>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</si>
  <si>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</si>
  <si>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</si>
  <si>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</si>
  <si>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</si>
  <si>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</si>
  <si>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</si>
  <si>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</si>
  <si>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</si>
  <si>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</si>
  <si>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</si>
  <si>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</si>
  <si>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</si>
  <si>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</si>
  <si>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</si>
  <si>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</si>
  <si>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</si>
  <si>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</si>
  <si>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</si>
  <si>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</si>
  <si>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</si>
  <si>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</si>
  <si>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</si>
  <si>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</si>
  <si>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</si>
  <si>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</si>
  <si>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</si>
  <si>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</si>
  <si>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</si>
  <si>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</si>
  <si>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</si>
  <si>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</si>
  <si>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</si>
  <si>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</si>
  <si>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</si>
  <si>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</si>
  <si>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</si>
  <si>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</si>
  <si>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</si>
  <si>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</si>
  <si>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</si>
  <si>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</si>
  <si>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</si>
  <si>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</si>
  <si>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</si>
  <si>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</si>
  <si>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</si>
  <si>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</si>
  <si>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</si>
  <si>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</si>
  <si>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</si>
  <si>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</si>
  <si>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</si>
  <si>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</si>
  <si>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</si>
  <si>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</si>
  <si>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</si>
  <si>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</si>
  <si>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</si>
  <si>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</si>
  <si>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</si>
  <si>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</si>
  <si>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</si>
  <si>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</si>
  <si>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</si>
  <si>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</si>
  <si>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</si>
  <si>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</si>
  <si>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</si>
  <si>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</si>
  <si>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</si>
  <si>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</si>
  <si>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</si>
  <si>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</si>
  <si>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</si>
  <si>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</si>
  <si>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</si>
  <si>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</si>
  <si>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</si>
  <si>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</si>
  <si>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</si>
  <si>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</si>
  <si>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</si>
  <si>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</si>
  <si>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</si>
  <si>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</si>
  <si>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</si>
  <si>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</si>
  <si>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</si>
  <si>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</si>
  <si>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</si>
  <si>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</si>
  <si>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</si>
  <si>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</si>
  <si>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</si>
  <si>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</si>
  <si>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</si>
  <si>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</si>
  <si>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</si>
  <si>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</si>
  <si>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</si>
  <si>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</si>
  <si>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</si>
  <si>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</si>
  <si>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</si>
  <si>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</si>
  <si>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</si>
  <si>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</si>
  <si>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</si>
  <si>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</si>
  <si>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</si>
  <si>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</si>
  <si>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</si>
  <si>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</si>
  <si>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</si>
  <si>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</si>
  <si>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</si>
  <si>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</si>
  <si>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</si>
  <si>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</si>
  <si>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</si>
  <si>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</si>
  <si>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</si>
  <si>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</si>
  <si>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</si>
  <si>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</si>
  <si>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</si>
  <si>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</si>
  <si>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</si>
  <si>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</si>
  <si>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</si>
  <si>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</si>
  <si>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</si>
  <si>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</si>
  <si>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</si>
  <si>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</si>
  <si>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</si>
  <si>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</si>
  <si>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</si>
  <si>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</si>
  <si>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</si>
  <si>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</si>
  <si>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</si>
  <si>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</si>
  <si>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</si>
  <si>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</si>
  <si>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</si>
  <si>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</si>
  <si>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</si>
  <si>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</si>
  <si>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</si>
  <si>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</si>
  <si>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</si>
  <si>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</si>
  <si>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</si>
  <si>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</si>
  <si>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</si>
  <si>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</si>
  <si>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</si>
  <si>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</si>
  <si>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</si>
  <si>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</si>
  <si>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</si>
  <si>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</si>
  <si>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</si>
  <si>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</si>
  <si>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</si>
  <si>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</si>
  <si>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</si>
  <si>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</si>
  <si>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</si>
  <si>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</si>
  <si>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</si>
  <si>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</si>
  <si>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</si>
  <si>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</si>
  <si>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</si>
  <si>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</si>
  <si>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</si>
  <si>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</si>
  <si>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</si>
  <si>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</si>
  <si>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</si>
  <si>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</si>
  <si>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</si>
  <si>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</si>
  <si>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</si>
  <si>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</si>
  <si>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</si>
  <si>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</si>
  <si>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</si>
  <si>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</si>
  <si>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</si>
  <si>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</si>
  <si>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</si>
  <si>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</si>
  <si>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</si>
  <si>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</si>
  <si>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</si>
  <si>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</si>
  <si>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</si>
  <si>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</si>
  <si>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</si>
  <si>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</si>
  <si>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</si>
  <si>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</si>
  <si>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</si>
  <si>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</si>
  <si>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</si>
  <si>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</si>
  <si>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</si>
  <si>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</si>
  <si>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</si>
  <si>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</si>
  <si>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</si>
  <si>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</si>
  <si>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</si>
  <si>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</si>
  <si>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</si>
  <si>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</si>
  <si>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</si>
  <si>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</si>
  <si>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</si>
  <si>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</si>
  <si>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</si>
  <si>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</si>
  <si>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</si>
  <si>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</si>
  <si>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</si>
  <si>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</si>
  <si>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</si>
  <si>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</si>
  <si>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</si>
  <si>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</si>
  <si>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</si>
  <si>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</si>
  <si>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</si>
  <si>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</si>
  <si>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</si>
  <si>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</si>
  <si>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</si>
  <si>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</si>
  <si>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</si>
  <si>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</si>
  <si>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</si>
  <si>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</si>
  <si>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</si>
  <si>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</si>
  <si>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</si>
  <si>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</si>
  <si>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</si>
  <si>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</si>
  <si>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</si>
  <si>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</si>
  <si>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</si>
  <si>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</si>
  <si>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</si>
  <si>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</si>
  <si>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</si>
  <si>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</si>
  <si>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</si>
  <si>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</si>
  <si>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</si>
  <si>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</si>
  <si>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</si>
  <si>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</si>
  <si>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</si>
  <si>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</si>
  <si>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</si>
  <si>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</si>
  <si>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</si>
  <si>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</si>
  <si>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</si>
  <si>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</si>
  <si>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</si>
  <si>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</si>
  <si>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</si>
  <si>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</si>
  <si>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</si>
  <si>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</si>
  <si>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</si>
  <si>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</si>
  <si>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</si>
  <si>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</si>
  <si>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</si>
  <si>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</si>
  <si>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</si>
  <si>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</si>
  <si>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</si>
  <si>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</si>
  <si>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</si>
  <si>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</si>
  <si>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</si>
  <si>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</si>
  <si>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</si>
  <si>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</si>
  <si>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</si>
  <si>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</si>
  <si>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</si>
  <si>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</si>
  <si>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</si>
  <si>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</si>
  <si>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</si>
  <si>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</si>
  <si>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</si>
  <si>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</si>
  <si>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</si>
  <si>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</si>
  <si>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</si>
  <si>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</si>
  <si>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</si>
  <si>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</si>
  <si>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</si>
  <si>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</si>
  <si>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</si>
  <si>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</si>
  <si>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</si>
  <si>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</si>
  <si>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</si>
  <si>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</si>
  <si>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</si>
  <si>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</si>
  <si>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</si>
  <si>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</si>
  <si>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</si>
  <si>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</si>
  <si>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</si>
  <si>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</si>
  <si>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</si>
  <si>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</si>
  <si>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</si>
  <si>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</si>
  <si>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</si>
  <si>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</si>
  <si>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</si>
  <si>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</si>
  <si>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</si>
  <si>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</si>
  <si>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</si>
  <si>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</si>
  <si>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</si>
  <si>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</si>
  <si>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</si>
  <si>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</si>
  <si>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</si>
  <si>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</si>
  <si>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</si>
  <si>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</si>
  <si>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</si>
  <si>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</si>
  <si>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</si>
  <si>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</si>
  <si>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</si>
  <si>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</si>
  <si>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</si>
  <si>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</si>
  <si>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</si>
  <si>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</si>
  <si>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</si>
  <si>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</si>
  <si>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</si>
  <si>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</si>
  <si>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</si>
  <si>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</si>
  <si>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</si>
  <si>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</si>
  <si>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</si>
  <si>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</si>
  <si>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</si>
  <si>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</si>
  <si>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</si>
  <si>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</si>
  <si>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</si>
  <si>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</si>
  <si>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</si>
  <si>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</si>
  <si>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</si>
  <si>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</si>
  <si>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</si>
  <si>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</si>
  <si>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</si>
  <si>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</si>
  <si>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</si>
  <si>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</si>
  <si>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</si>
  <si>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</si>
  <si>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</si>
  <si>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</si>
  <si>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</si>
  <si>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</si>
  <si>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</si>
  <si>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</si>
  <si>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</si>
  <si>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</si>
  <si>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</si>
  <si>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</si>
  <si>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</si>
  <si>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</si>
  <si>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</si>
  <si>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</si>
  <si>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</si>
  <si>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</si>
  <si>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</si>
  <si>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</si>
  <si>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</si>
  <si>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</si>
  <si>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</si>
  <si>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</si>
  <si>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</si>
  <si>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</si>
  <si>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</si>
  <si>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</si>
  <si>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</si>
  <si>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</si>
  <si>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</si>
  <si>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</si>
  <si>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</si>
  <si>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</si>
  <si>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</si>
  <si>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</si>
  <si>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</si>
  <si>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</si>
  <si>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</si>
  <si>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</si>
  <si>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</si>
  <si>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</si>
  <si>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</si>
  <si>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</si>
  <si>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</si>
  <si>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</si>
  <si>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</si>
  <si>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</si>
  <si>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</si>
  <si>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</si>
  <si>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</si>
  <si>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</si>
  <si>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</si>
  <si>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</si>
  <si>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</si>
  <si>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</si>
  <si>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</si>
  <si>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</si>
  <si>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</si>
  <si>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</si>
  <si>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</si>
  <si>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</si>
  <si>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</si>
  <si>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</si>
  <si>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</si>
  <si>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</si>
  <si>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</si>
  <si>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</si>
  <si>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</si>
  <si>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</si>
  <si>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</si>
  <si>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</si>
  <si>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</si>
  <si>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</si>
  <si>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</si>
  <si>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</si>
  <si>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</si>
  <si>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</si>
  <si>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</si>
  <si>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</si>
  <si>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</si>
  <si>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</si>
  <si>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</si>
  <si>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</si>
  <si>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</si>
  <si>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</si>
  <si>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</si>
  <si>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</si>
  <si>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</si>
  <si>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</si>
  <si>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</si>
  <si>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</si>
  <si>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</si>
  <si>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</si>
  <si>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</si>
  <si>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</si>
  <si>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</si>
  <si>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</si>
  <si>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</si>
  <si>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</si>
  <si>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</si>
  <si>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</si>
  <si>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</si>
  <si>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</si>
  <si>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</si>
  <si>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</si>
  <si>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</si>
  <si>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</si>
  <si>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</si>
  <si>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</si>
  <si>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</si>
  <si>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</si>
  <si>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</si>
  <si>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</si>
  <si>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</si>
  <si>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</si>
  <si>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</si>
  <si>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</si>
  <si>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</si>
  <si>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</si>
  <si>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</si>
  <si>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</si>
  <si>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</si>
  <si>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</si>
  <si>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</si>
  <si>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</si>
  <si>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</si>
  <si>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</si>
  <si>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</si>
  <si>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</si>
  <si>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</si>
  <si>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</si>
  <si>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</si>
  <si>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</si>
  <si>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</si>
  <si>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</si>
  <si>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</si>
  <si>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</si>
  <si>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</si>
  <si>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</si>
  <si>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</si>
  <si>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</si>
  <si>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</si>
  <si>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</si>
  <si>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</si>
  <si>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</si>
  <si>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</si>
  <si>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</si>
  <si>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</si>
  <si>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</si>
  <si>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</si>
  <si>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</si>
  <si>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</si>
  <si>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</si>
  <si>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</si>
  <si>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</si>
  <si>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</si>
  <si>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</si>
  <si>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</si>
  <si>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</si>
  <si>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</si>
  <si>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</si>
  <si>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</si>
  <si>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</si>
  <si>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</si>
  <si>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</si>
  <si>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</si>
  <si>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</si>
  <si>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</si>
  <si>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</si>
  <si>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</si>
  <si>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</si>
  <si>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</si>
  <si>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</si>
  <si>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</si>
  <si>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</si>
  <si>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</si>
  <si>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</si>
  <si>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</si>
  <si>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</si>
  <si>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</si>
  <si>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</si>
  <si>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</si>
  <si>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</si>
  <si>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</si>
  <si>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</si>
  <si>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</si>
  <si>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</si>
  <si>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</si>
  <si>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</si>
  <si>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</si>
  <si>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</si>
  <si>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</si>
  <si>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</si>
  <si>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</si>
  <si>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</si>
  <si>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</si>
  <si>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</si>
  <si>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</si>
  <si>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</si>
  <si>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</si>
  <si>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</si>
  <si>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</si>
  <si>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</si>
  <si>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</si>
  <si>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</si>
  <si>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</si>
  <si>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</si>
  <si>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</si>
  <si>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</si>
  <si>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</si>
  <si>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</si>
  <si>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</si>
  <si>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</si>
  <si>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</si>
  <si>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</si>
  <si>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</si>
  <si>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</si>
  <si>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</si>
  <si>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</si>
  <si>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</si>
  <si>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</si>
  <si>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</si>
  <si>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</si>
  <si>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</si>
  <si>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</si>
  <si>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</si>
  <si>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</si>
  <si>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</si>
  <si>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</si>
  <si>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</si>
  <si>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</si>
  <si>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</si>
  <si>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</si>
  <si>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</si>
  <si>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</si>
  <si>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</si>
  <si>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</si>
  <si>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</si>
  <si>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</si>
  <si>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</si>
  <si>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</si>
  <si>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</si>
  <si>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</si>
  <si>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</si>
  <si>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</si>
  <si>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</si>
  <si>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</si>
  <si>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</si>
  <si>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</si>
  <si>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</si>
  <si>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</si>
  <si>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</si>
  <si>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</si>
  <si>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</si>
  <si>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</si>
  <si>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</si>
  <si>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</si>
  <si>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</si>
  <si>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</si>
  <si>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</si>
  <si>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</si>
  <si>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</si>
  <si>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</si>
  <si>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</si>
  <si>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</si>
  <si>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</si>
  <si>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</si>
  <si>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</si>
  <si>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</si>
  <si>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</si>
  <si>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</si>
  <si>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</si>
  <si>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</si>
  <si>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</si>
  <si>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</si>
  <si>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</si>
  <si>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</si>
  <si>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</si>
  <si>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</si>
  <si>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</si>
  <si>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</si>
  <si>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</si>
  <si>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</si>
  <si>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</si>
  <si>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</si>
  <si>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</si>
  <si>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</si>
  <si>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</si>
  <si>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</si>
  <si>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</si>
  <si>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</si>
  <si>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</si>
  <si>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</si>
  <si>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</si>
  <si>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</si>
  <si>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</si>
  <si>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</si>
  <si>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</si>
  <si>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</si>
  <si>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</si>
  <si>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</si>
  <si>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</si>
  <si>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</si>
  <si>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</si>
  <si>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</si>
  <si>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</si>
  <si>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</si>
  <si>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</si>
  <si>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</si>
  <si>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</si>
  <si>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</si>
  <si>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</si>
  <si>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</si>
  <si>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</si>
  <si>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</si>
  <si>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</si>
  <si>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</si>
  <si>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</si>
  <si>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</si>
  <si>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</si>
  <si>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</si>
  <si>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</si>
  <si>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</si>
  <si>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</si>
  <si>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</si>
  <si>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</si>
  <si>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</si>
  <si>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</si>
  <si>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</si>
  <si>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</si>
  <si>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</si>
  <si>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</si>
  <si>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</si>
  <si>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</si>
  <si>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</si>
  <si>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</si>
  <si>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</si>
  <si>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</si>
  <si>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</si>
  <si>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</si>
  <si>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</si>
  <si>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</si>
  <si>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</si>
  <si>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</si>
  <si>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</si>
  <si>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</si>
  <si>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</si>
  <si>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</si>
  <si>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</si>
  <si>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</si>
  <si>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</si>
  <si>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</si>
  <si>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</si>
  <si>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</si>
  <si>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</si>
  <si>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</si>
  <si>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</si>
  <si>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</si>
  <si>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</si>
  <si>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</si>
  <si>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</si>
  <si>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</si>
  <si>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</si>
  <si>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</si>
  <si>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</si>
  <si>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</si>
  <si>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</si>
  <si>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</si>
  <si>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</si>
  <si>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</si>
  <si>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</si>
  <si>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</si>
  <si>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</si>
  <si>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</si>
  <si>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</si>
  <si>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</si>
  <si>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</si>
  <si>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</si>
  <si>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</si>
  <si>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</si>
  <si>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</si>
  <si>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</si>
  <si>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</si>
  <si>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</si>
  <si>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</si>
  <si>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</si>
  <si>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</si>
  <si>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</si>
  <si>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</si>
  <si>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</si>
  <si>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</si>
  <si>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</si>
  <si>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</si>
  <si>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</si>
  <si>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</si>
  <si>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</si>
  <si>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</si>
  <si>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</si>
  <si>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</si>
  <si>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</si>
  <si>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</si>
  <si>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</si>
  <si>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</si>
  <si>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</si>
  <si>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</si>
  <si>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</si>
  <si>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</si>
  <si>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</si>
  <si>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</si>
  <si>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</si>
  <si>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</si>
  <si>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</si>
  <si>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</si>
  <si>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</si>
  <si>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</si>
  <si>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</si>
  <si>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</si>
  <si>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</si>
  <si>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</si>
  <si>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</si>
  <si>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</si>
  <si>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</si>
  <si>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</si>
  <si>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</si>
  <si>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</si>
  <si>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</si>
  <si>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</si>
  <si>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</si>
  <si>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</si>
  <si>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</si>
  <si>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</si>
  <si>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</si>
  <si>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</si>
  <si>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</si>
  <si>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</si>
  <si>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</si>
  <si>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</si>
  <si>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</si>
  <si>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</si>
  <si>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</si>
  <si>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</si>
  <si>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</si>
  <si>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</si>
  <si>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</si>
  <si>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</si>
  <si>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</si>
  <si>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</si>
  <si>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</si>
  <si>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</si>
  <si>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</si>
  <si>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</si>
  <si>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</si>
  <si>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</si>
  <si>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</si>
  <si>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</si>
  <si>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</si>
  <si>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</si>
  <si>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</si>
  <si>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</si>
  <si>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</si>
  <si>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</si>
  <si>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</si>
  <si>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</si>
  <si>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</si>
  <si>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</si>
  <si>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</si>
  <si>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</si>
  <si>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</si>
  <si>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</si>
  <si>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</si>
  <si>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</si>
  <si>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</si>
  <si>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</si>
  <si>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</si>
  <si>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</si>
  <si>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</si>
  <si>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</si>
  <si>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</si>
  <si>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</si>
  <si>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</si>
  <si>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</si>
  <si>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</si>
  <si>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</si>
  <si>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</si>
  <si>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</si>
  <si>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</si>
  <si>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</si>
  <si>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</si>
  <si>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</si>
  <si>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</si>
  <si>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</si>
  <si>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</si>
  <si>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</si>
  <si>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</si>
  <si>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</si>
  <si>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</si>
  <si>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</si>
  <si>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</si>
  <si>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</si>
  <si>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</si>
  <si>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</si>
  <si>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</si>
  <si>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</si>
  <si>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</si>
  <si>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</si>
  <si>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</si>
  <si>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</si>
  <si>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</si>
  <si>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</si>
  <si>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</si>
  <si>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</si>
  <si>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</si>
  <si>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</si>
  <si>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</si>
  <si>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</si>
  <si>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</si>
  <si>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</si>
  <si>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</si>
  <si>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</si>
  <si>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</si>
  <si>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</si>
  <si>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</si>
  <si>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</si>
  <si>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</si>
  <si>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</si>
  <si>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</si>
  <si>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</si>
  <si>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</si>
  <si>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</si>
  <si>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</si>
  <si>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</si>
  <si>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</si>
  <si>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</si>
  <si>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</si>
  <si>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</si>
  <si>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</si>
  <si>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</si>
  <si>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</si>
  <si>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</si>
  <si>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</si>
  <si>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</si>
  <si>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</si>
  <si>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</si>
  <si>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</si>
  <si>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</si>
  <si>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</si>
  <si>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</si>
  <si>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</si>
  <si>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</si>
  <si>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</si>
  <si>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</si>
  <si>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</si>
  <si>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</si>
  <si>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</si>
  <si>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</si>
  <si>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</si>
  <si>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</si>
  <si>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</si>
  <si>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</si>
  <si>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</si>
  <si>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</si>
  <si>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</si>
  <si>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</si>
  <si>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</si>
  <si>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</si>
  <si>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</si>
  <si>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</si>
  <si>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</si>
  <si>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</si>
  <si>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</si>
  <si>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</si>
  <si>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</si>
  <si>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</si>
  <si>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</si>
  <si>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</si>
  <si>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</si>
  <si>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</si>
  <si>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</si>
  <si>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</si>
  <si>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</si>
  <si>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</si>
  <si>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</si>
  <si>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</si>
  <si>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</si>
  <si>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</si>
  <si>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</si>
  <si>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</si>
  <si>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</si>
  <si>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</si>
  <si>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</si>
  <si>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</si>
  <si>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</si>
  <si>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</si>
  <si>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</si>
  <si>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</si>
  <si>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</si>
  <si>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</si>
  <si>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</si>
  <si>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</si>
  <si>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</si>
  <si>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</si>
  <si>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</si>
  <si>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</si>
  <si>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</si>
  <si>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</si>
  <si>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</si>
  <si>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</si>
  <si>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</si>
  <si>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</si>
  <si>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</si>
  <si>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</si>
  <si>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</si>
  <si>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</si>
  <si>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</si>
  <si>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</si>
  <si>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</si>
  <si>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</si>
  <si>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</si>
  <si>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</si>
  <si>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</si>
  <si>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</si>
  <si>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</si>
  <si>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</si>
  <si>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</si>
  <si>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</si>
  <si>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</si>
  <si>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</si>
  <si>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</si>
  <si>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</si>
  <si>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</si>
  <si>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</si>
  <si>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</si>
  <si>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</si>
  <si>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</si>
  <si>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</si>
  <si>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</si>
  <si>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</si>
  <si>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</si>
  <si>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</si>
  <si>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</si>
  <si>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</si>
  <si>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</si>
  <si>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</si>
  <si>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</si>
  <si>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</si>
  <si>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</si>
  <si>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</si>
  <si>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</si>
  <si>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</si>
  <si>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</si>
  <si>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</si>
  <si>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</si>
  <si>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</si>
  <si>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</si>
  <si>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</si>
  <si>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</si>
  <si>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</si>
  <si>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</si>
  <si>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</si>
  <si>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</si>
  <si>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</si>
  <si>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</si>
  <si>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</si>
  <si>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</si>
  <si>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</si>
  <si>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</si>
  <si>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</si>
  <si>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</si>
  <si>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</si>
  <si>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</si>
  <si>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</si>
  <si>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</si>
  <si>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</si>
  <si>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</si>
  <si>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</si>
  <si>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</si>
  <si>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</si>
  <si>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</si>
  <si>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</si>
  <si>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</si>
  <si>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</si>
  <si>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</si>
  <si>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</si>
  <si>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</si>
  <si>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</si>
  <si>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</si>
  <si>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</si>
  <si>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</si>
  <si>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</si>
  <si>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</si>
  <si>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</si>
  <si>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</si>
  <si>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</si>
  <si>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</si>
  <si>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</si>
  <si>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</si>
  <si>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</si>
  <si>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</si>
  <si>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</si>
  <si>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</si>
  <si>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</si>
  <si>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</si>
  <si>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</si>
  <si>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</si>
  <si>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</si>
  <si>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</si>
  <si>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</si>
  <si>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</si>
  <si>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</si>
  <si>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</si>
  <si>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</si>
  <si>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</si>
  <si>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</si>
  <si>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</si>
  <si>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</si>
  <si>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</si>
  <si>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</si>
  <si>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</si>
  <si>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</si>
  <si>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</si>
  <si>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</si>
  <si>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</si>
  <si>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</si>
  <si>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</si>
  <si>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</si>
  <si>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</si>
  <si>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</si>
  <si>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</si>
  <si>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</si>
  <si>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</si>
  <si>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</si>
  <si>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</si>
  <si>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</si>
  <si>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</si>
  <si>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</si>
  <si>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</si>
  <si>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</si>
  <si>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</si>
  <si>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</si>
  <si>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</si>
  <si>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</si>
  <si>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</si>
  <si>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</si>
  <si>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</si>
  <si>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</si>
  <si>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</si>
  <si>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</si>
  <si>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</si>
  <si>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</si>
  <si>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</si>
  <si>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</si>
  <si>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</si>
  <si>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</si>
  <si>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</si>
  <si>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</si>
  <si>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</si>
  <si>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</si>
  <si>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</si>
  <si>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</si>
  <si>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</si>
  <si>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</si>
  <si>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</si>
  <si>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</si>
  <si>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</si>
  <si>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</si>
  <si>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</si>
  <si>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</si>
  <si>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</si>
  <si>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</si>
  <si>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</si>
  <si>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</si>
  <si>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</si>
  <si>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</si>
  <si>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</si>
  <si>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</si>
  <si>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</si>
  <si>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</si>
  <si>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</si>
  <si>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</si>
  <si>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</si>
  <si>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</si>
  <si>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</si>
  <si>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</si>
  <si>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</si>
  <si>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</si>
  <si>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</si>
  <si>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</si>
  <si>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</si>
  <si>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</si>
  <si>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</si>
  <si>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</si>
  <si>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</si>
  <si>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</si>
  <si>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</si>
  <si>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</si>
  <si>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</si>
  <si>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</si>
  <si>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</si>
  <si>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</si>
  <si>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</si>
  <si>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</si>
  <si>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</si>
  <si>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</si>
  <si>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</si>
  <si>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</si>
  <si>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</si>
  <si>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</si>
  <si>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</si>
  <si>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</si>
  <si>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</si>
  <si>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</si>
  <si>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</si>
  <si>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</si>
  <si>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</si>
  <si>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</si>
  <si>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</si>
  <si>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</si>
  <si>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</si>
  <si>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</si>
  <si>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</si>
  <si>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</si>
  <si>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</si>
  <si>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</si>
  <si>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</si>
  <si>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</si>
  <si>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</si>
  <si>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</si>
  <si>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</si>
  <si>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</si>
  <si>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</si>
  <si>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</si>
  <si>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</si>
  <si>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</si>
  <si>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</si>
  <si>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</si>
  <si>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</si>
  <si>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</si>
  <si>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</si>
  <si>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</si>
  <si>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</si>
  <si>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</si>
  <si>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</si>
  <si>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</si>
  <si>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</si>
  <si>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</si>
  <si>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</si>
  <si>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</si>
  <si>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</si>
  <si>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</si>
  <si>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</si>
  <si>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</si>
  <si>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</si>
  <si>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</si>
  <si>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</si>
  <si>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</si>
  <si>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</si>
  <si>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</si>
  <si>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</si>
  <si>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</si>
  <si>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</si>
  <si>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</si>
  <si>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</si>
  <si>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</si>
  <si>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</si>
  <si>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</si>
  <si>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</si>
  <si>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</si>
  <si>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</si>
  <si>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</si>
  <si>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</si>
  <si>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</si>
  <si>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</si>
  <si>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</si>
  <si>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</si>
  <si>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</si>
  <si>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</si>
  <si>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</si>
  <si>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</si>
  <si>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</si>
  <si>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</si>
  <si>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</si>
  <si>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</si>
  <si>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</si>
  <si>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</si>
  <si>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</si>
  <si>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</si>
  <si>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</si>
  <si>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</si>
  <si>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</si>
  <si>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</si>
  <si>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</si>
  <si>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</si>
  <si>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</si>
  <si>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</si>
  <si>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</si>
  <si>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</si>
  <si>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</si>
  <si>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</si>
  <si>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</si>
  <si>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</si>
  <si>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</si>
  <si>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</si>
  <si>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</si>
  <si>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</si>
  <si>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</si>
  <si>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</si>
  <si>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</si>
  <si>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</si>
  <si>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</si>
  <si>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</si>
  <si>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</si>
  <si>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</si>
  <si>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</si>
  <si>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</si>
  <si>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</si>
  <si>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</si>
  <si>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</si>
  <si>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</si>
  <si>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</si>
  <si>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</si>
  <si>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</si>
  <si>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</si>
  <si>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</si>
  <si>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</si>
  <si>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</si>
  <si>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</si>
  <si>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</si>
  <si>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</si>
  <si>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</si>
  <si>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</si>
  <si>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</si>
  <si>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</si>
  <si>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</si>
  <si>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</si>
  <si>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</si>
  <si>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</si>
  <si>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</si>
  <si>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</si>
  <si>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</si>
  <si>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</si>
  <si>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</si>
  <si>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</si>
  <si>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</si>
  <si>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</si>
  <si>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</si>
  <si>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</si>
  <si>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</si>
  <si>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</si>
  <si>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</si>
  <si>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</si>
  <si>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</si>
  <si>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</si>
  <si>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</si>
  <si>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</si>
  <si>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</si>
  <si>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</si>
  <si>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</si>
  <si>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</si>
  <si>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</si>
  <si>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</si>
  <si>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</si>
  <si>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</si>
  <si>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</si>
  <si>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</si>
  <si>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</si>
  <si>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</si>
  <si>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</si>
  <si>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</si>
  <si>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</si>
  <si>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</si>
  <si>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</si>
  <si>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</si>
  <si>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</si>
  <si>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</si>
  <si>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</si>
  <si>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</si>
  <si>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</si>
  <si>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</si>
  <si>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</si>
  <si>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</si>
  <si>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</si>
  <si>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</si>
  <si>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</si>
  <si>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</si>
  <si>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</si>
  <si>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</si>
  <si>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</si>
  <si>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</si>
  <si>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</si>
  <si>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</si>
  <si>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</si>
  <si>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</si>
  <si>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</si>
  <si>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</si>
  <si>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</si>
  <si>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</si>
  <si>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</si>
  <si>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</si>
  <si>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</si>
  <si>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</si>
  <si>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</si>
  <si>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</si>
  <si>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</si>
  <si>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</si>
  <si>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</si>
  <si>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</si>
  <si>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</si>
  <si>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</si>
  <si>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</si>
  <si>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</si>
  <si>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</si>
  <si>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</si>
  <si>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</si>
  <si>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</si>
  <si>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</si>
  <si>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</si>
  <si>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</si>
  <si>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</si>
  <si>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</si>
  <si>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</si>
  <si>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</si>
  <si>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</si>
  <si>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</si>
  <si>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</si>
  <si>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</si>
  <si>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</si>
  <si>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</si>
  <si>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</si>
  <si>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</si>
  <si>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</si>
  <si>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</si>
  <si>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</si>
  <si>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</si>
  <si>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</si>
  <si>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</si>
  <si>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</si>
  <si>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</si>
  <si>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</si>
  <si>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</si>
  <si>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</si>
  <si>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</si>
  <si>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</si>
  <si>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</si>
  <si>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</si>
  <si>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</si>
  <si>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</si>
  <si>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</si>
  <si>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</si>
  <si>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</si>
  <si>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</si>
  <si>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</si>
  <si>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</si>
  <si>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</si>
  <si>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</si>
  <si>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</si>
  <si>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</si>
  <si>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</si>
  <si>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</si>
  <si>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</si>
  <si>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</si>
  <si>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</si>
  <si>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</si>
  <si>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</si>
  <si>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</si>
  <si>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</si>
  <si>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</si>
  <si>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</si>
  <si>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</si>
  <si>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</si>
  <si>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</si>
  <si>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</si>
  <si>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</si>
  <si>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</si>
  <si>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</si>
  <si>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</si>
  <si>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</si>
  <si>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</si>
  <si>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</si>
  <si>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</si>
  <si>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</si>
  <si>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</si>
  <si>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</si>
  <si>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</si>
  <si>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</si>
  <si>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</si>
  <si>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</si>
  <si>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</si>
  <si>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</si>
  <si>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</si>
  <si>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</si>
  <si>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</si>
  <si>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</si>
  <si>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</si>
  <si>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</si>
  <si>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</si>
  <si>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</si>
  <si>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</si>
  <si>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</si>
  <si>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</si>
  <si>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</si>
  <si>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</si>
  <si>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</si>
  <si>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</si>
  <si>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</si>
  <si>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</si>
  <si>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</si>
  <si>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</si>
  <si>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</si>
  <si>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</si>
  <si>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</si>
  <si>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</si>
  <si>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</si>
  <si>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</si>
  <si>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</si>
  <si>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</si>
  <si>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</si>
  <si>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</si>
  <si>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</si>
  <si>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</si>
  <si>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</si>
  <si>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</si>
  <si>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</si>
  <si>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</si>
  <si>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</si>
  <si>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</si>
  <si>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</si>
  <si>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</si>
  <si>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</si>
  <si>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</si>
  <si>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</si>
  <si>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</si>
  <si>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</si>
  <si>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</si>
  <si>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</si>
  <si>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</si>
  <si>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</si>
  <si>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</si>
  <si>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</si>
  <si>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</si>
  <si>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</si>
  <si>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</si>
  <si>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</si>
  <si>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</si>
  <si>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</si>
  <si>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</si>
  <si>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</si>
  <si>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</si>
  <si>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</si>
  <si>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</si>
  <si>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</si>
  <si>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</si>
  <si>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</si>
  <si>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</si>
  <si>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</si>
  <si>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</si>
  <si>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</si>
  <si>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</si>
  <si>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</si>
  <si>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</si>
  <si>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</si>
  <si>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</si>
  <si>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</si>
  <si>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</si>
  <si>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</si>
  <si>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</si>
  <si>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</si>
  <si>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</si>
  <si>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</si>
  <si>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</si>
  <si>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</si>
  <si>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</si>
  <si>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</si>
  <si>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</si>
  <si>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</si>
  <si>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</si>
  <si>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</si>
  <si>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</si>
  <si>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</si>
  <si>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</si>
  <si>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</si>
  <si>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</si>
  <si>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</si>
  <si>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</si>
  <si>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</si>
  <si>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</si>
  <si>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</si>
  <si>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</si>
  <si>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</si>
  <si>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</si>
  <si>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</si>
  <si>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</si>
  <si>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</si>
  <si>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</si>
  <si>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</si>
  <si>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</si>
  <si>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</si>
  <si>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</si>
  <si>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</si>
  <si>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</si>
  <si>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</si>
  <si>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</si>
  <si>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</si>
  <si>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</si>
  <si>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</si>
  <si>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</si>
  <si>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</si>
  <si>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</si>
  <si>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</si>
  <si>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</si>
  <si>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</si>
  <si>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</si>
  <si>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</si>
  <si>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</si>
  <si>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</si>
  <si>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</si>
  <si>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</si>
  <si>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</si>
  <si>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</si>
  <si>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</si>
  <si>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</si>
  <si>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</si>
  <si>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</si>
  <si>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</si>
  <si>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</si>
  <si>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</si>
  <si>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</si>
  <si>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</si>
  <si>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</si>
  <si>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</si>
  <si>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</si>
  <si>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</si>
  <si>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</si>
  <si>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</si>
  <si>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</si>
  <si>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</si>
  <si>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</si>
  <si>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</si>
  <si>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</si>
  <si>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</si>
  <si>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</si>
  <si>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</si>
  <si>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</si>
  <si>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</si>
  <si>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</si>
  <si>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</si>
  <si>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</si>
  <si>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</si>
  <si>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</si>
  <si>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</si>
  <si>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</si>
  <si>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</si>
  <si>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</si>
  <si>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</si>
  <si>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</si>
  <si>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</si>
  <si>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</si>
  <si>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</si>
  <si>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</si>
  <si>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</si>
  <si>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</si>
  <si>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</si>
  <si>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</si>
  <si>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</si>
  <si>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</si>
  <si>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</si>
  <si>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</si>
  <si>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</si>
  <si>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</si>
  <si>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</si>
  <si>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</si>
  <si>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</si>
  <si>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</si>
  <si>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</si>
  <si>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</si>
  <si>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</si>
  <si>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</si>
  <si>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</si>
  <si>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</si>
  <si>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</si>
  <si>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</si>
  <si>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</si>
  <si>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</si>
  <si>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</si>
  <si>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</si>
  <si>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</si>
  <si>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</si>
  <si>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</si>
  <si>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</si>
  <si>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</si>
  <si>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</si>
  <si>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</si>
  <si>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</si>
  <si>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</si>
  <si>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</si>
  <si>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</si>
  <si>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</si>
  <si>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</si>
  <si>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</si>
  <si>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</si>
  <si>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</si>
  <si>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</si>
  <si>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</si>
  <si>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</si>
  <si>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</si>
  <si>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</si>
  <si>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</si>
  <si>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</si>
  <si>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</si>
  <si>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</si>
  <si>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</si>
  <si>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</si>
  <si>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</si>
  <si>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</si>
  <si>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</si>
  <si>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</si>
  <si>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</si>
  <si>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</si>
  <si>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</si>
  <si>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</si>
  <si>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</si>
  <si>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</si>
  <si>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</si>
  <si>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</si>
  <si>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</si>
  <si>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</si>
  <si>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</si>
  <si>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</si>
  <si>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</si>
  <si>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</si>
  <si>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</si>
  <si>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</si>
  <si>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</si>
  <si>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</si>
  <si>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</si>
  <si>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</si>
  <si>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</si>
  <si>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</si>
  <si>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</si>
  <si>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</si>
  <si>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</si>
  <si>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</si>
  <si>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</si>
  <si>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</si>
  <si>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</si>
  <si>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</si>
  <si>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</si>
  <si>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</si>
  <si>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</si>
  <si>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</si>
  <si>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</si>
  <si>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</si>
  <si>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</si>
  <si>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</si>
  <si>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</si>
  <si>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</si>
  <si>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</si>
  <si>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</si>
  <si>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</si>
  <si>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</si>
  <si>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</si>
  <si>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</si>
  <si>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</si>
  <si>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</si>
  <si>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</si>
  <si>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</si>
  <si>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</si>
  <si>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</si>
  <si>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</si>
  <si>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</si>
  <si>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</si>
  <si>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</si>
  <si>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</si>
  <si>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</si>
  <si>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</si>
  <si>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</si>
  <si>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</si>
  <si>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</si>
  <si>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</si>
  <si>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</si>
  <si>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</si>
  <si>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</si>
  <si>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</si>
  <si>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</si>
  <si>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</si>
  <si>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</si>
  <si>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</si>
  <si>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</si>
  <si>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</si>
  <si>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</si>
  <si>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</si>
  <si>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</si>
  <si>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</si>
  <si>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</si>
  <si>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</si>
  <si>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</si>
  <si>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</si>
  <si>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</si>
  <si>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</si>
  <si>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</si>
  <si>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</si>
  <si>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</si>
  <si>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</si>
  <si>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</si>
  <si>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</si>
  <si>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</si>
  <si>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</si>
  <si>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</si>
  <si>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</si>
  <si>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Johnson</t>
  </si>
  <si>
    <t>601 N. First Street</t>
  </si>
  <si>
    <t xml:space="preserve">Vienna </t>
  </si>
  <si>
    <t>Beussink, Hey, Roe &amp; Stroder, LLC</t>
  </si>
  <si>
    <t>Jeffrey C. Stroder, CPA</t>
  </si>
  <si>
    <t>16 South Silver Springs Road</t>
  </si>
  <si>
    <t>Cape Girardeau</t>
  </si>
  <si>
    <t>MO</t>
  </si>
  <si>
    <t>573-334-7971</t>
  </si>
  <si>
    <t>573-334-8875</t>
  </si>
  <si>
    <t>066-003889</t>
  </si>
  <si>
    <t>jstroder@bhrcpas.com</t>
  </si>
  <si>
    <t>Mr. Joshua Stafford</t>
  </si>
  <si>
    <t>618-658-4461</t>
  </si>
  <si>
    <t>618-658-8165</t>
  </si>
  <si>
    <t>The financial statements are presented in a format that complies with regulatory provisions prescribed by the Illinois State Board of Education, which practices differ from accounting principles generally accepted in the United States of America.</t>
  </si>
  <si>
    <t>General Obligation</t>
  </si>
  <si>
    <t>QZAB Bonds</t>
  </si>
  <si>
    <t>Qualifed Zone Academy Bond</t>
  </si>
  <si>
    <t>Shared Service- JAMP Special Education Services</t>
  </si>
  <si>
    <t>Shared Service - Five County Regional Vocational System</t>
  </si>
  <si>
    <t>No contracts over $25,000</t>
  </si>
  <si>
    <t>joshuastafford@viennahighschool.com</t>
  </si>
  <si>
    <t>Page 5, Line 12</t>
  </si>
  <si>
    <t>Fund 10, Account 190 - Other Current Assets</t>
  </si>
  <si>
    <t>Prepaid Payroll Taxes</t>
  </si>
  <si>
    <t>Prepaid JAMP Fees</t>
  </si>
  <si>
    <t>Activity Fund Credit Card Payment</t>
  </si>
  <si>
    <t>Fund 20, Account 190 - Other Current Assets</t>
  </si>
  <si>
    <t>Fund 40, Account 190 - Other Current Assets</t>
  </si>
  <si>
    <t>Page 10, Line 71</t>
  </si>
  <si>
    <t>Fund 10, Account 1614 - Sales to Pupils - Other</t>
  </si>
  <si>
    <t>Healthy Choices Vending Income</t>
  </si>
  <si>
    <t>5.</t>
  </si>
  <si>
    <t>Fund 10, Account 1999 - Other Local Revenues</t>
  </si>
  <si>
    <t>Union County Reach Program</t>
  </si>
  <si>
    <t>Fund 20, Account 1999 - Other Local Revenues</t>
  </si>
  <si>
    <t>6.</t>
  </si>
  <si>
    <t>8.</t>
  </si>
  <si>
    <t>Fund 10, Account 4999 - Food Service - Other</t>
  </si>
  <si>
    <t>Miscellaneous Local Revenues</t>
  </si>
  <si>
    <t>NSLP Equipment Assistance Grant</t>
  </si>
  <si>
    <t>Page 13, Line 200</t>
  </si>
  <si>
    <t>Page 14, Line 272</t>
  </si>
  <si>
    <t>Fund 10, Account 4999 - Other Restricted Revenues from Federal Sources</t>
  </si>
  <si>
    <t>Library Grant</t>
  </si>
  <si>
    <t>Page 16, Line 73</t>
  </si>
  <si>
    <t>Fund 10, Account 2900 - Other Support Services</t>
  </si>
  <si>
    <t>Title I Home School Services</t>
  </si>
  <si>
    <t>Page 18, Line 165</t>
  </si>
  <si>
    <t>Fund 30, Account 5400 - Debt Services - Other</t>
  </si>
  <si>
    <t>Page 16, Line 83</t>
  </si>
  <si>
    <t>Fund 10, Account 4190 - Other Payments to In State Gov't Units</t>
  </si>
  <si>
    <t>TAMES/Claim Processing</t>
  </si>
  <si>
    <t>Bond Issuance Costs</t>
  </si>
  <si>
    <t>Bond Fees</t>
  </si>
  <si>
    <t>Page 12, Line 171</t>
  </si>
  <si>
    <t>Fund 10, Account 3999 - Other Restricted Revenues from State Sources</t>
  </si>
  <si>
    <t>State Library Grant</t>
  </si>
  <si>
    <t>Agriculture Supplemental Grant</t>
  </si>
  <si>
    <t>Other State Grants</t>
  </si>
  <si>
    <t>Page 10, Line 107</t>
  </si>
  <si>
    <t>Vienna HSD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</si>
</sst>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singleAccounting"/>
      <sz val="10"/>
      <name val="Calibri"/>
      <family val="2"/>
      <scheme val="minor"/>
    </font>
    <font>
      <u val="doubleAccounting"/>
      <sz val="10"/>
      <name val="Calibri"/>
      <family val="2"/>
      <scheme val="minor"/>
    </font>
    <font>
      <u val="double"/>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1" fillId="0" borderId="158" xfId="17" applyFont="1" applyBorder="1" applyAlignment="1" applyProtection="1">
      <alignment horizontal="left" vertical="top" wrapText="1"/>
      <protection locked="0"/>
    </xf>
    <xf numFmtId="181" fontId="55" fillId="0" borderId="0" xfId="1" applyNumberFormat="1" applyFont="1"/>
    <xf numFmtId="181" fontId="137" fillId="0" borderId="0" xfId="1" applyNumberFormat="1" applyFont="1"/>
    <xf numFmtId="182" fontId="55" fillId="0" borderId="0" xfId="19" applyNumberFormat="1" applyFont="1"/>
    <xf numFmtId="182" fontId="138" fillId="0" borderId="0" xfId="19" applyNumberFormat="1" applyFont="1"/>
    <xf numFmtId="182" fontId="138" fillId="0" borderId="0" xfId="0" applyNumberFormat="1" applyFont="1"/>
    <xf numFmtId="0" fontId="139" fillId="0" borderId="0" xfId="0" applyFont="1"/>
    <xf numFmtId="182" fontId="139" fillId="0" borderId="0" xfId="19" applyNumberFormat="1" applyFont="1"/>
    <xf numFmtId="164" fontId="60" fillId="0" borderId="0" xfId="0" applyNumberFormat="1" applyFont="1" applyAlignment="1">
      <alignment horizontal="right"/>
    </xf>
    <xf numFmtId="164" fontId="60" fillId="0" borderId="0" xfId="0" quotePrefix="1" applyNumberFormat="1" applyFont="1" applyAlignment="1">
      <alignment horizontal="right"/>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2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2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2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2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2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0D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D850B036-4C41-4874-9DD7-2D2FCFF88F0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5" sqref="A15:H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9" t="s">
        <v>425</v>
      </c>
      <c r="J1" s="2040"/>
      <c r="K1" s="2040"/>
      <c r="L1" s="2040"/>
      <c r="M1" s="2040"/>
      <c r="N1" s="2040"/>
      <c r="O1" s="2040"/>
      <c r="P1" s="2040"/>
      <c r="Q1" s="2040"/>
      <c r="R1" s="2040"/>
      <c r="S1" s="2040"/>
    </row>
    <row r="2" spans="1:28" ht="12" customHeight="1" x14ac:dyDescent="0.2">
      <c r="A2" s="47" t="s">
        <v>1684</v>
      </c>
      <c r="D2" s="48"/>
      <c r="I2" s="2041" t="s">
        <v>1036</v>
      </c>
      <c r="J2" s="2040"/>
      <c r="K2" s="2040"/>
      <c r="L2" s="2040"/>
      <c r="M2" s="2040"/>
      <c r="N2" s="2040"/>
      <c r="O2" s="2040"/>
      <c r="P2" s="2040"/>
      <c r="Q2" s="2040"/>
      <c r="R2" s="2040"/>
      <c r="S2" s="2040"/>
    </row>
    <row r="3" spans="1:28" ht="12" customHeight="1" x14ac:dyDescent="0.2">
      <c r="A3" s="155" t="s">
        <v>1685</v>
      </c>
      <c r="B3" s="156"/>
      <c r="C3" s="156"/>
      <c r="D3" s="157"/>
      <c r="I3" s="2041" t="s">
        <v>54</v>
      </c>
      <c r="J3" s="2040"/>
      <c r="K3" s="2040"/>
      <c r="L3" s="2040"/>
      <c r="M3" s="2040"/>
      <c r="N3" s="2040"/>
      <c r="O3" s="2040"/>
      <c r="P3" s="2040"/>
      <c r="Q3" s="2040"/>
      <c r="R3" s="2040"/>
      <c r="S3" s="2040"/>
    </row>
    <row r="4" spans="1:28" ht="12" customHeight="1" x14ac:dyDescent="0.2">
      <c r="A4" s="37"/>
      <c r="I4" s="2041" t="s">
        <v>545</v>
      </c>
      <c r="J4" s="2040"/>
      <c r="K4" s="2040"/>
      <c r="L4" s="2040"/>
      <c r="M4" s="2040"/>
      <c r="N4" s="2040"/>
      <c r="O4" s="2040"/>
      <c r="P4" s="2040"/>
      <c r="Q4" s="2040"/>
      <c r="R4" s="2040"/>
      <c r="S4" s="2040"/>
    </row>
    <row r="5" spans="1:28" ht="14.1" customHeight="1" x14ac:dyDescent="0.2">
      <c r="B5" s="104" t="s">
        <v>2077</v>
      </c>
      <c r="C5" s="26" t="s">
        <v>966</v>
      </c>
      <c r="D5" s="84"/>
      <c r="E5" s="84"/>
      <c r="H5" s="38"/>
      <c r="I5" s="2048" t="s">
        <v>701</v>
      </c>
      <c r="J5" s="1993"/>
      <c r="K5" s="1993"/>
      <c r="L5" s="1993"/>
      <c r="M5" s="1993"/>
      <c r="N5" s="1993"/>
      <c r="O5" s="1993"/>
      <c r="P5" s="1993"/>
      <c r="Q5" s="1993"/>
      <c r="R5" s="1993"/>
      <c r="S5" s="1993"/>
    </row>
    <row r="6" spans="1:28" ht="14.1" customHeight="1" x14ac:dyDescent="0.2">
      <c r="B6" s="104"/>
      <c r="C6" s="26" t="s">
        <v>967</v>
      </c>
      <c r="D6" s="84"/>
      <c r="E6" s="84"/>
      <c r="I6" s="2047" t="s">
        <v>938</v>
      </c>
      <c r="J6" s="1993"/>
      <c r="K6" s="1993"/>
      <c r="L6" s="1993"/>
      <c r="M6" s="1993"/>
      <c r="N6" s="1993"/>
      <c r="O6" s="1993"/>
      <c r="P6" s="1993"/>
      <c r="Q6" s="1993"/>
      <c r="R6" s="1993"/>
      <c r="S6" s="1993"/>
    </row>
    <row r="7" spans="1:28" ht="12.2" customHeight="1" x14ac:dyDescent="0.2">
      <c r="I7" s="2042">
        <v>43281</v>
      </c>
      <c r="J7" s="2043"/>
      <c r="K7" s="2043"/>
      <c r="L7" s="2043"/>
      <c r="M7" s="2043"/>
      <c r="N7" s="2043"/>
      <c r="O7" s="2043"/>
      <c r="P7" s="2043"/>
      <c r="Q7" s="2043"/>
      <c r="R7" s="2043"/>
      <c r="S7" s="204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695</v>
      </c>
      <c r="J9" s="2045"/>
      <c r="K9" s="2045"/>
      <c r="L9" s="2045"/>
      <c r="M9" s="2045"/>
      <c r="N9" s="2045"/>
      <c r="O9" s="2045"/>
      <c r="P9" s="2045"/>
      <c r="Q9" s="2045"/>
      <c r="R9" s="2045"/>
      <c r="S9" s="2046"/>
      <c r="T9" s="1989" t="s">
        <v>554</v>
      </c>
      <c r="U9" s="1990"/>
      <c r="V9" s="1990"/>
      <c r="W9" s="1990"/>
      <c r="X9" s="1990"/>
      <c r="Y9" s="1990"/>
      <c r="Z9" s="1990"/>
      <c r="AA9" s="1991"/>
    </row>
    <row r="10" spans="1:28" ht="13.5" customHeight="1" x14ac:dyDescent="0.2">
      <c r="A10" s="1998" t="s">
        <v>696</v>
      </c>
      <c r="B10" s="1999"/>
      <c r="C10" s="1999"/>
      <c r="D10" s="1999"/>
      <c r="E10" s="1999"/>
      <c r="F10" s="1999"/>
      <c r="G10" s="1999"/>
      <c r="H10" s="2000"/>
      <c r="I10" s="29"/>
      <c r="J10" s="30"/>
      <c r="K10" s="28"/>
      <c r="R10" s="30"/>
      <c r="S10" s="30"/>
      <c r="T10" s="1992"/>
      <c r="U10" s="1993"/>
      <c r="V10" s="1993"/>
      <c r="W10" s="1993"/>
      <c r="X10" s="1993"/>
      <c r="Y10" s="1993"/>
      <c r="Z10" s="1993"/>
      <c r="AA10" s="1994"/>
    </row>
    <row r="11" spans="1:28" ht="14.25" customHeight="1" x14ac:dyDescent="0.2">
      <c r="A11" s="2001" t="s">
        <v>1012</v>
      </c>
      <c r="B11" s="2002"/>
      <c r="C11" s="2002"/>
      <c r="D11" s="2002"/>
      <c r="E11" s="2002"/>
      <c r="F11" s="2002"/>
      <c r="G11" s="2002"/>
      <c r="H11" s="2003"/>
      <c r="I11" s="27"/>
      <c r="J11" s="74"/>
      <c r="K11" s="27"/>
      <c r="O11" s="148" t="s">
        <v>2077</v>
      </c>
      <c r="P11" s="100" t="s">
        <v>210</v>
      </c>
      <c r="Q11" s="30"/>
      <c r="R11" s="28"/>
      <c r="S11" s="27"/>
      <c r="T11" s="1995"/>
      <c r="U11" s="1996"/>
      <c r="V11" s="1996"/>
      <c r="W11" s="1996"/>
      <c r="X11" s="1996"/>
      <c r="Y11" s="1996"/>
      <c r="Z11" s="1996"/>
      <c r="AA11" s="199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9">
        <v>21044013317</v>
      </c>
      <c r="B13" s="2010"/>
      <c r="C13" s="2010"/>
      <c r="D13" s="2010"/>
      <c r="E13" s="2010"/>
      <c r="F13" s="2010"/>
      <c r="G13" s="2010"/>
      <c r="H13" s="2011"/>
      <c r="I13" s="31"/>
      <c r="J13" s="30"/>
      <c r="K13" s="28"/>
      <c r="L13" s="30"/>
      <c r="M13" s="30"/>
      <c r="N13" s="30"/>
      <c r="O13" s="30"/>
      <c r="P13" s="30"/>
      <c r="Q13" s="30"/>
      <c r="R13" s="30"/>
      <c r="S13" s="30"/>
      <c r="T13" s="2014" t="s">
        <v>2081</v>
      </c>
      <c r="U13" s="2015"/>
      <c r="V13" s="2015"/>
      <c r="W13" s="2015"/>
      <c r="X13" s="2015"/>
      <c r="Y13" s="2016"/>
      <c r="Z13" s="2016"/>
      <c r="AA13" s="201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7" t="s">
        <v>2078</v>
      </c>
      <c r="B15" s="2012"/>
      <c r="C15" s="2012"/>
      <c r="D15" s="2012"/>
      <c r="E15" s="2012"/>
      <c r="F15" s="2012"/>
      <c r="G15" s="2012"/>
      <c r="H15" s="2013"/>
      <c r="T15" s="1975" t="s">
        <v>2082</v>
      </c>
      <c r="U15" s="1976"/>
      <c r="V15" s="1976"/>
      <c r="W15" s="1976"/>
      <c r="X15" s="1976"/>
      <c r="Y15" s="2018"/>
      <c r="Z15" s="2018"/>
      <c r="AA15" s="201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7" t="s">
        <v>2140</v>
      </c>
      <c r="B17" s="2037"/>
      <c r="C17" s="2037"/>
      <c r="D17" s="2037"/>
      <c r="E17" s="2037"/>
      <c r="F17" s="2037"/>
      <c r="G17" s="2037"/>
      <c r="H17" s="2038"/>
      <c r="T17" s="2024" t="s">
        <v>2083</v>
      </c>
      <c r="U17" s="2025"/>
      <c r="V17" s="2025"/>
      <c r="W17" s="2025"/>
      <c r="X17" s="2025"/>
      <c r="Y17" s="2025"/>
      <c r="Z17" s="2025"/>
      <c r="AA17" s="2026"/>
    </row>
    <row r="18" spans="1:27" ht="13.5" customHeight="1" x14ac:dyDescent="0.2">
      <c r="A18" s="85" t="s">
        <v>551</v>
      </c>
      <c r="B18" s="76"/>
      <c r="C18" s="72"/>
      <c r="D18" s="76"/>
      <c r="E18" s="76"/>
      <c r="F18" s="76"/>
      <c r="G18" s="76"/>
      <c r="H18" s="56"/>
      <c r="I18" s="2034" t="s">
        <v>697</v>
      </c>
      <c r="J18" s="2035"/>
      <c r="K18" s="2035"/>
      <c r="L18" s="2035"/>
      <c r="M18" s="2035"/>
      <c r="N18" s="2035"/>
      <c r="O18" s="2035"/>
      <c r="P18" s="2035"/>
      <c r="Q18" s="2035"/>
      <c r="R18" s="2035"/>
      <c r="S18" s="2036"/>
      <c r="T18" s="85" t="s">
        <v>735</v>
      </c>
      <c r="U18" s="51"/>
      <c r="V18" s="72"/>
      <c r="W18" s="50"/>
      <c r="X18" s="85" t="s">
        <v>284</v>
      </c>
      <c r="Y18" s="81"/>
      <c r="Z18" s="159" t="s">
        <v>698</v>
      </c>
      <c r="AA18" s="46"/>
    </row>
    <row r="19" spans="1:27" ht="13.5" customHeight="1" x14ac:dyDescent="0.2">
      <c r="A19" s="2007" t="s">
        <v>2079</v>
      </c>
      <c r="B19" s="2008"/>
      <c r="C19" s="2008"/>
      <c r="D19" s="2008"/>
      <c r="E19" s="2008"/>
      <c r="F19" s="2008"/>
      <c r="G19" s="2008"/>
      <c r="H19" s="2006"/>
      <c r="I19" s="30"/>
      <c r="J19" s="99"/>
      <c r="K19" s="40"/>
      <c r="L19" s="38"/>
      <c r="M19" s="112" t="s">
        <v>333</v>
      </c>
      <c r="P19" s="27"/>
      <c r="Q19" s="27"/>
      <c r="R19" s="27"/>
      <c r="S19" s="31"/>
      <c r="T19" s="2007" t="s">
        <v>2084</v>
      </c>
      <c r="U19" s="2005"/>
      <c r="V19" s="2005"/>
      <c r="W19" s="2006"/>
      <c r="X19" s="2022" t="s">
        <v>2085</v>
      </c>
      <c r="Y19" s="2023"/>
      <c r="Z19" s="2020">
        <v>63703</v>
      </c>
      <c r="AA19" s="202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4" t="s">
        <v>2080</v>
      </c>
      <c r="B21" s="2005"/>
      <c r="C21" s="2005"/>
      <c r="D21" s="2005"/>
      <c r="E21" s="2005"/>
      <c r="F21" s="2005"/>
      <c r="G21" s="2005"/>
      <c r="H21" s="2006"/>
      <c r="I21" s="2030" t="s">
        <v>699</v>
      </c>
      <c r="J21" s="1993"/>
      <c r="K21" s="1993"/>
      <c r="L21" s="1993"/>
      <c r="M21" s="1993"/>
      <c r="N21" s="1993"/>
      <c r="O21" s="1993"/>
      <c r="P21" s="1993"/>
      <c r="Q21" s="1993"/>
      <c r="R21" s="1993"/>
      <c r="S21" s="1994"/>
      <c r="T21" s="1972" t="s">
        <v>2086</v>
      </c>
      <c r="U21" s="1973"/>
      <c r="V21" s="1973"/>
      <c r="W21" s="1973"/>
      <c r="X21" s="1986" t="s">
        <v>2087</v>
      </c>
      <c r="Y21" s="1987"/>
      <c r="Z21" s="1987"/>
      <c r="AA21" s="1988"/>
    </row>
    <row r="22" spans="1:27" ht="13.5" customHeight="1" x14ac:dyDescent="0.2">
      <c r="A22" s="87" t="s">
        <v>552</v>
      </c>
      <c r="B22" s="59"/>
      <c r="C22" s="59"/>
      <c r="D22" s="59"/>
      <c r="E22" s="59"/>
      <c r="F22" s="59"/>
      <c r="G22" s="59"/>
      <c r="H22" s="60"/>
      <c r="I22" s="2031" t="s">
        <v>1504</v>
      </c>
      <c r="J22" s="2032"/>
      <c r="K22" s="2032"/>
      <c r="L22" s="2032"/>
      <c r="M22" s="2032"/>
      <c r="N22" s="2032"/>
      <c r="O22" s="2032"/>
      <c r="P22" s="2032"/>
      <c r="Q22" s="2032"/>
      <c r="R22" s="2032"/>
      <c r="S22" s="2033"/>
      <c r="T22" s="85" t="s">
        <v>1596</v>
      </c>
      <c r="U22" s="51"/>
      <c r="V22" s="72"/>
      <c r="W22" s="51"/>
      <c r="X22" s="160" t="s">
        <v>1385</v>
      </c>
      <c r="Z22" s="45"/>
      <c r="AA22" s="46"/>
    </row>
    <row r="23" spans="1:27" ht="13.5" customHeight="1" x14ac:dyDescent="0.2">
      <c r="A23" s="2027" t="s">
        <v>2100</v>
      </c>
      <c r="B23" s="2028"/>
      <c r="C23" s="2028"/>
      <c r="D23" s="2028"/>
      <c r="E23" s="2028"/>
      <c r="F23" s="2028"/>
      <c r="G23" s="2028"/>
      <c r="H23" s="2029"/>
      <c r="T23" s="1967" t="s">
        <v>2088</v>
      </c>
      <c r="U23" s="1968"/>
      <c r="V23" s="1968"/>
      <c r="W23" s="1968"/>
      <c r="X23" s="1983">
        <v>43434</v>
      </c>
      <c r="Y23" s="1984"/>
      <c r="Z23" s="1984"/>
      <c r="AA23" s="1985"/>
    </row>
    <row r="24" spans="1:27" ht="14.1" customHeight="1" x14ac:dyDescent="0.2">
      <c r="A24" s="88" t="s">
        <v>698</v>
      </c>
      <c r="B24" s="49"/>
      <c r="C24" s="49"/>
      <c r="D24" s="49"/>
      <c r="E24" s="49"/>
      <c r="F24" s="49"/>
      <c r="G24" s="49"/>
      <c r="H24" s="61"/>
      <c r="J24" s="2069">
        <f>IF(B5="x",IF(AUDITCHECK!D29="AFR form Incomplete.","",IF(AUDITCHECK!D29="Deficit reduction plan is required.","School District must complete a deficit reduction plan in the 2018-2019 Budget",)),"")</f>
        <v>0</v>
      </c>
      <c r="K24" s="2069"/>
      <c r="L24" s="2069"/>
      <c r="M24" s="2069"/>
      <c r="N24" s="2069"/>
      <c r="O24" s="2069"/>
      <c r="P24" s="2069"/>
      <c r="Q24" s="2069"/>
      <c r="R24" s="2069"/>
      <c r="S24" s="2070"/>
      <c r="T24" s="105" t="s">
        <v>552</v>
      </c>
      <c r="U24" s="106"/>
      <c r="V24" s="106"/>
      <c r="W24" s="106"/>
      <c r="X24" s="107"/>
      <c r="Y24" s="107"/>
      <c r="Z24" s="107"/>
      <c r="AA24" s="108"/>
    </row>
    <row r="25" spans="1:27" ht="14.1" customHeight="1" x14ac:dyDescent="0.2">
      <c r="A25" s="2004">
        <v>62995</v>
      </c>
      <c r="B25" s="2005"/>
      <c r="C25" s="2005"/>
      <c r="D25" s="2005"/>
      <c r="E25" s="2005"/>
      <c r="F25" s="2005"/>
      <c r="G25" s="2005"/>
      <c r="H25" s="2006"/>
      <c r="I25" s="113"/>
      <c r="J25" s="2071"/>
      <c r="K25" s="2071"/>
      <c r="L25" s="2071"/>
      <c r="M25" s="2071"/>
      <c r="N25" s="2071"/>
      <c r="O25" s="2071"/>
      <c r="P25" s="2071"/>
      <c r="Q25" s="2071"/>
      <c r="R25" s="2071"/>
      <c r="S25" s="2072"/>
      <c r="T25" s="1964" t="s">
        <v>2089</v>
      </c>
      <c r="U25" s="1965"/>
      <c r="V25" s="1965"/>
      <c r="W25" s="1965"/>
      <c r="X25" s="1965"/>
      <c r="Y25" s="1965"/>
      <c r="Z25" s="1965"/>
      <c r="AA25" s="19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2" t="s">
        <v>1591</v>
      </c>
      <c r="J27" s="2035"/>
      <c r="K27" s="2035"/>
      <c r="L27" s="2035"/>
      <c r="M27" s="2035"/>
      <c r="N27" s="2035"/>
      <c r="O27" s="2035"/>
      <c r="P27" s="2035"/>
      <c r="Q27" s="2035"/>
      <c r="R27" s="2035"/>
      <c r="S27" s="20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8"/>
      <c r="Q35" s="2005"/>
      <c r="R35" s="20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7" t="s">
        <v>2090</v>
      </c>
      <c r="B38" s="2037"/>
      <c r="C38" s="2037"/>
      <c r="D38" s="2037"/>
      <c r="E38" s="2037"/>
      <c r="F38" s="2005"/>
      <c r="G38" s="2005"/>
      <c r="H38" s="2006"/>
      <c r="I38" s="2056"/>
      <c r="J38" s="1976"/>
      <c r="K38" s="1976"/>
      <c r="L38" s="1976"/>
      <c r="M38" s="1976"/>
      <c r="N38" s="1976"/>
      <c r="O38" s="1976"/>
      <c r="P38" s="1977"/>
      <c r="Q38" s="1977"/>
      <c r="R38" s="1977"/>
      <c r="S38" s="1978"/>
      <c r="T38" s="1975"/>
      <c r="U38" s="1976"/>
      <c r="V38" s="1976"/>
      <c r="W38" s="1976"/>
      <c r="X38" s="1977"/>
      <c r="Y38" s="1977"/>
      <c r="Z38" s="1977"/>
      <c r="AA38" s="1978"/>
    </row>
    <row r="39" spans="1:27" ht="12" customHeight="1" x14ac:dyDescent="0.2">
      <c r="A39" s="2060" t="s">
        <v>552</v>
      </c>
      <c r="B39" s="2061"/>
      <c r="C39" s="72"/>
      <c r="D39" s="69"/>
      <c r="E39" s="69"/>
      <c r="F39" s="79"/>
      <c r="G39" s="69"/>
      <c r="H39" s="56"/>
      <c r="I39" s="2060" t="s">
        <v>552</v>
      </c>
      <c r="J39" s="2061"/>
      <c r="K39" s="2061"/>
      <c r="L39" s="2061"/>
      <c r="M39" s="2061"/>
      <c r="N39" s="67"/>
      <c r="O39" s="72"/>
      <c r="P39" s="72"/>
      <c r="Q39" s="78"/>
      <c r="R39" s="72"/>
      <c r="S39" s="56"/>
      <c r="T39" s="72" t="s">
        <v>552</v>
      </c>
      <c r="U39" s="51"/>
      <c r="V39" s="72"/>
      <c r="W39" s="50"/>
      <c r="X39" s="78"/>
      <c r="Y39" s="45"/>
      <c r="Z39" s="45"/>
      <c r="AA39" s="46"/>
    </row>
    <row r="40" spans="1:27" ht="13.5" customHeight="1" x14ac:dyDescent="0.2">
      <c r="A40" s="2063" t="s">
        <v>2100</v>
      </c>
      <c r="B40" s="2064"/>
      <c r="C40" s="2065"/>
      <c r="D40" s="2065"/>
      <c r="E40" s="2065"/>
      <c r="F40" s="2066"/>
      <c r="G40" s="2066"/>
      <c r="H40" s="2067"/>
      <c r="I40" s="1979"/>
      <c r="J40" s="1981"/>
      <c r="K40" s="1981"/>
      <c r="L40" s="1981"/>
      <c r="M40" s="1981"/>
      <c r="N40" s="1981"/>
      <c r="O40" s="1981"/>
      <c r="P40" s="1981"/>
      <c r="Q40" s="1981"/>
      <c r="R40" s="1981"/>
      <c r="S40" s="1982"/>
      <c r="T40" s="1979"/>
      <c r="U40" s="1980"/>
      <c r="V40" s="1981"/>
      <c r="W40" s="1981"/>
      <c r="X40" s="1981"/>
      <c r="Y40" s="1981"/>
      <c r="Z40" s="1981"/>
      <c r="AA40" s="198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3" t="s">
        <v>2091</v>
      </c>
      <c r="B42" s="2054"/>
      <c r="C42" s="2055"/>
      <c r="D42" s="2068" t="s">
        <v>2092</v>
      </c>
      <c r="E42" s="2054"/>
      <c r="F42" s="2054"/>
      <c r="G42" s="2054"/>
      <c r="H42" s="2055"/>
      <c r="I42" s="1974"/>
      <c r="J42" s="1970"/>
      <c r="K42" s="1970"/>
      <c r="L42" s="1970"/>
      <c r="M42" s="1970"/>
      <c r="N42" s="1970"/>
      <c r="O42" s="1971"/>
      <c r="P42" s="1969"/>
      <c r="Q42" s="1970"/>
      <c r="R42" s="1970"/>
      <c r="S42" s="1971"/>
      <c r="T42" s="1974"/>
      <c r="U42" s="1970"/>
      <c r="V42" s="1970"/>
      <c r="W42" s="1971"/>
      <c r="X42" s="1969"/>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D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8" t="s">
        <v>1905</v>
      </c>
      <c r="B2" s="1550" t="s">
        <v>2037</v>
      </c>
      <c r="C2" s="715" t="s">
        <v>1910</v>
      </c>
      <c r="D2" s="715" t="s">
        <v>1911</v>
      </c>
      <c r="E2" s="715" t="s">
        <v>1912</v>
      </c>
      <c r="F2" s="715" t="s">
        <v>1913</v>
      </c>
    </row>
    <row r="3" spans="1:6" ht="12" customHeight="1" x14ac:dyDescent="0.2">
      <c r="A3" s="2209"/>
      <c r="B3" s="1547"/>
      <c r="C3" s="1548"/>
      <c r="D3" s="1549" t="s">
        <v>274</v>
      </c>
      <c r="E3" s="1548"/>
      <c r="F3" s="1549" t="s">
        <v>275</v>
      </c>
    </row>
    <row r="4" spans="1:6" ht="13.7" customHeight="1" x14ac:dyDescent="0.2">
      <c r="A4" s="716" t="s">
        <v>1217</v>
      </c>
      <c r="B4" s="1771">
        <f>'Revenues 9-14'!C5</f>
        <v>619348</v>
      </c>
      <c r="C4" s="1546"/>
      <c r="D4" s="1774">
        <f>B4-C4</f>
        <v>619348</v>
      </c>
      <c r="E4" s="1546">
        <v>659425</v>
      </c>
      <c r="F4" s="1774">
        <f>E4-C4</f>
        <v>659425</v>
      </c>
    </row>
    <row r="5" spans="1:6" ht="13.7" customHeight="1" x14ac:dyDescent="0.2">
      <c r="A5" s="716" t="s">
        <v>925</v>
      </c>
      <c r="B5" s="1772">
        <f>'Revenues 9-14'!D5</f>
        <v>168330</v>
      </c>
      <c r="C5" s="585"/>
      <c r="D5" s="1775">
        <f t="shared" ref="D5:D18" si="0">B5-C5</f>
        <v>168330</v>
      </c>
      <c r="E5" s="585">
        <v>179192</v>
      </c>
      <c r="F5" s="1775">
        <f>E5-C5</f>
        <v>179192</v>
      </c>
    </row>
    <row r="6" spans="1:6" ht="13.7" customHeight="1" x14ac:dyDescent="0.2">
      <c r="A6" s="716" t="s">
        <v>431</v>
      </c>
      <c r="B6" s="1772">
        <f>'Revenues 9-14'!E5</f>
        <v>385941</v>
      </c>
      <c r="C6" s="585"/>
      <c r="D6" s="1775">
        <f t="shared" si="0"/>
        <v>385941</v>
      </c>
      <c r="E6" s="585">
        <v>386817</v>
      </c>
      <c r="F6" s="1775">
        <f t="shared" ref="F6:F18" si="1">E6-C6</f>
        <v>386817</v>
      </c>
    </row>
    <row r="7" spans="1:6" ht="13.7" customHeight="1" x14ac:dyDescent="0.2">
      <c r="A7" s="716" t="s">
        <v>157</v>
      </c>
      <c r="B7" s="1772">
        <f>'Revenues 9-14'!F5</f>
        <v>80798</v>
      </c>
      <c r="C7" s="585"/>
      <c r="D7" s="1775">
        <f t="shared" si="0"/>
        <v>80798</v>
      </c>
      <c r="E7" s="585">
        <v>86012</v>
      </c>
      <c r="F7" s="1775">
        <f t="shared" si="1"/>
        <v>86012</v>
      </c>
    </row>
    <row r="8" spans="1:6" ht="13.7" customHeight="1" x14ac:dyDescent="0.2">
      <c r="A8" s="716" t="s">
        <v>1241</v>
      </c>
      <c r="B8" s="1772">
        <f>'Revenues 9-14'!G5</f>
        <v>65102</v>
      </c>
      <c r="C8" s="585"/>
      <c r="D8" s="1775">
        <f t="shared" si="0"/>
        <v>65102</v>
      </c>
      <c r="E8" s="585">
        <v>84980</v>
      </c>
      <c r="F8" s="1775">
        <f t="shared" si="1"/>
        <v>84980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33666</v>
      </c>
      <c r="C10" s="585"/>
      <c r="D10" s="1775">
        <f t="shared" si="0"/>
        <v>33666</v>
      </c>
      <c r="E10" s="585">
        <v>35838</v>
      </c>
      <c r="F10" s="1775">
        <f t="shared" si="1"/>
        <v>35838</v>
      </c>
    </row>
    <row r="11" spans="1:6" x14ac:dyDescent="0.2">
      <c r="A11" s="716" t="s">
        <v>429</v>
      </c>
      <c r="B11" s="1772">
        <f>'Revenues 9-14'!J5</f>
        <v>150216</v>
      </c>
      <c r="C11" s="585"/>
      <c r="D11" s="1775">
        <f t="shared" si="0"/>
        <v>150216</v>
      </c>
      <c r="E11" s="585">
        <v>149962</v>
      </c>
      <c r="F11" s="1775">
        <f t="shared" si="1"/>
        <v>149962</v>
      </c>
    </row>
    <row r="12" spans="1:6" ht="13.7" customHeight="1" x14ac:dyDescent="0.2">
      <c r="A12" s="716" t="s">
        <v>159</v>
      </c>
      <c r="B12" s="1772">
        <f>'Revenues 9-14'!K5</f>
        <v>33668</v>
      </c>
      <c r="C12" s="585"/>
      <c r="D12" s="1775">
        <f t="shared" si="0"/>
        <v>33668</v>
      </c>
      <c r="E12" s="585">
        <v>35838</v>
      </c>
      <c r="F12" s="1775">
        <f t="shared" si="1"/>
        <v>35838</v>
      </c>
    </row>
    <row r="13" spans="1:6" ht="13.7" customHeight="1" x14ac:dyDescent="0.2">
      <c r="A13" s="716" t="s">
        <v>993</v>
      </c>
      <c r="B13" s="1772">
        <f>SUM('Revenues 9-14'!C6:D6)</f>
        <v>33666</v>
      </c>
      <c r="C13" s="585"/>
      <c r="D13" s="1775">
        <f t="shared" si="0"/>
        <v>33666</v>
      </c>
      <c r="E13" s="585">
        <v>35838</v>
      </c>
      <c r="F13" s="1775">
        <f t="shared" si="1"/>
        <v>35838</v>
      </c>
    </row>
    <row r="14" spans="1:6" ht="13.7" customHeight="1" x14ac:dyDescent="0.2">
      <c r="A14" s="716" t="s">
        <v>430</v>
      </c>
      <c r="B14" s="1772">
        <f>SUM('Revenues 9-14'!C7:D7,'Revenues 9-14'!F7:H7)</f>
        <v>13466</v>
      </c>
      <c r="C14" s="585"/>
      <c r="D14" s="1775">
        <f t="shared" si="0"/>
        <v>13466</v>
      </c>
      <c r="E14" s="585">
        <v>14335</v>
      </c>
      <c r="F14" s="1775">
        <f t="shared" si="1"/>
        <v>14335</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65098</v>
      </c>
      <c r="C16" s="585"/>
      <c r="D16" s="1775">
        <f t="shared" si="0"/>
        <v>65098</v>
      </c>
      <c r="E16" s="585">
        <v>84980</v>
      </c>
      <c r="F16" s="1775">
        <f t="shared" si="1"/>
        <v>84980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1649299</v>
      </c>
      <c r="C19" s="1773">
        <f>SUM(C4:C18)</f>
        <v>0</v>
      </c>
      <c r="D19" s="1773">
        <f>SUM(D4:D18)</f>
        <v>1649299</v>
      </c>
      <c r="E19" s="1773">
        <f>SUM(E4:E18)</f>
        <v>1753217</v>
      </c>
      <c r="F19" s="1773">
        <f>SUM(F4:F18)</f>
        <v>1753217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3" colorId="8" zoomScale="110" zoomScaleNormal="110" workbookViewId="0">
      <selection sqref="A1:D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650</v>
      </c>
      <c r="B1" s="2215"/>
      <c r="C1" s="722"/>
    </row>
    <row r="2" spans="1:7" ht="33.75" x14ac:dyDescent="0.2">
      <c r="A2" s="2223" t="s">
        <v>1905</v>
      </c>
      <c r="B2" s="2224"/>
      <c r="C2" s="1909" t="s">
        <v>2038</v>
      </c>
      <c r="D2" s="724" t="s">
        <v>2045</v>
      </c>
      <c r="E2" s="724" t="s">
        <v>2046</v>
      </c>
      <c r="F2" s="1909" t="s">
        <v>2039</v>
      </c>
    </row>
    <row r="3" spans="1:7" ht="15.75" customHeight="1" x14ac:dyDescent="0.2">
      <c r="A3" s="2227" t="s">
        <v>1176</v>
      </c>
      <c r="B3" s="2228"/>
      <c r="C3" s="2216"/>
      <c r="D3" s="2217"/>
      <c r="E3" s="2217"/>
      <c r="F3" s="2218"/>
    </row>
    <row r="4" spans="1:7" ht="12.75" customHeight="1" thickBot="1" x14ac:dyDescent="0.25">
      <c r="A4" s="2225" t="s">
        <v>651</v>
      </c>
      <c r="B4" s="2226"/>
      <c r="C4" s="581"/>
      <c r="D4" s="581"/>
      <c r="E4" s="581"/>
      <c r="F4" s="1777">
        <f>SUM(C4+D4)-E4</f>
        <v>0</v>
      </c>
    </row>
    <row r="5" spans="1:7" ht="15.75" customHeight="1" thickTop="1" x14ac:dyDescent="0.2">
      <c r="A5" s="2210" t="s">
        <v>1172</v>
      </c>
      <c r="B5" s="2211"/>
      <c r="C5" s="2219"/>
      <c r="D5" s="2220"/>
      <c r="E5" s="2220"/>
      <c r="F5" s="2221"/>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2" t="s">
        <v>652</v>
      </c>
      <c r="B15" s="2213"/>
      <c r="C15" s="1777">
        <f>SUM(C6:C14)</f>
        <v>0</v>
      </c>
      <c r="D15" s="1777">
        <f>SUM(D6:D14)</f>
        <v>0</v>
      </c>
      <c r="E15" s="1777">
        <f>SUM(E6:E14)</f>
        <v>0</v>
      </c>
      <c r="F15" s="1777">
        <f>SUM(F6:F14)</f>
        <v>0</v>
      </c>
      <c r="G15" s="552"/>
    </row>
    <row r="16" spans="1:7" s="202" customFormat="1" ht="15.75" customHeight="1" thickTop="1" x14ac:dyDescent="0.2">
      <c r="A16" s="2222" t="s">
        <v>1173</v>
      </c>
      <c r="B16" s="2211"/>
      <c r="C16" s="2219"/>
      <c r="D16" s="2220"/>
      <c r="E16" s="2220"/>
      <c r="F16" s="2221"/>
    </row>
    <row r="17" spans="1:11" ht="12.75" customHeight="1" thickBot="1" x14ac:dyDescent="0.25">
      <c r="A17" s="2235" t="s">
        <v>66</v>
      </c>
      <c r="B17" s="2236"/>
      <c r="C17" s="727"/>
      <c r="D17" s="585"/>
      <c r="E17" s="727"/>
      <c r="F17" s="1777">
        <f>SUM(C17+D17)-E17</f>
        <v>0</v>
      </c>
    </row>
    <row r="18" spans="1:11" ht="12.75" customHeight="1" thickTop="1" thickBot="1" x14ac:dyDescent="0.25">
      <c r="A18" s="2235" t="s">
        <v>6</v>
      </c>
      <c r="B18" s="2236"/>
      <c r="C18" s="727"/>
      <c r="D18" s="585"/>
      <c r="E18" s="727"/>
      <c r="F18" s="1777">
        <f>SUM(C18+D18)-E18</f>
        <v>0</v>
      </c>
    </row>
    <row r="19" spans="1:11" ht="12.75" customHeight="1" thickTop="1" thickBot="1" x14ac:dyDescent="0.25">
      <c r="A19" s="2235" t="s">
        <v>406</v>
      </c>
      <c r="B19" s="2236"/>
      <c r="C19" s="727"/>
      <c r="D19" s="585"/>
      <c r="E19" s="727"/>
      <c r="F19" s="1777">
        <f>SUM(C19+D19)-E19</f>
        <v>0</v>
      </c>
    </row>
    <row r="20" spans="1:11" ht="12.75" customHeight="1" thickTop="1" thickBot="1" x14ac:dyDescent="0.25">
      <c r="A20" s="2235" t="s">
        <v>468</v>
      </c>
      <c r="B20" s="2236"/>
      <c r="C20" s="727"/>
      <c r="D20" s="585"/>
      <c r="E20" s="727"/>
      <c r="F20" s="1777">
        <f>SUM(C20+D20)-E20</f>
        <v>0</v>
      </c>
    </row>
    <row r="21" spans="1:11" ht="14.25" thickTop="1" thickBot="1" x14ac:dyDescent="0.25">
      <c r="A21" s="2212" t="s">
        <v>653</v>
      </c>
      <c r="B21" s="2213"/>
      <c r="C21" s="1777">
        <f>SUM(C17:C20)</f>
        <v>0</v>
      </c>
      <c r="D21" s="1777">
        <f>SUM(D17:D20)</f>
        <v>0</v>
      </c>
      <c r="E21" s="1777">
        <f>SUM(E17:E20)</f>
        <v>0</v>
      </c>
      <c r="F21" s="1777">
        <f>SUM(F17:F20)</f>
        <v>0</v>
      </c>
      <c r="G21" s="552"/>
    </row>
    <row r="22" spans="1:11" ht="15.75" customHeight="1" thickTop="1" x14ac:dyDescent="0.2">
      <c r="A22" s="2237" t="s">
        <v>1174</v>
      </c>
      <c r="B22" s="2211"/>
      <c r="C22" s="2219"/>
      <c r="D22" s="2220"/>
      <c r="E22" s="2220"/>
      <c r="F22" s="2221"/>
    </row>
    <row r="23" spans="1:11" ht="13.5" thickBot="1" x14ac:dyDescent="0.25">
      <c r="A23" s="2225" t="s">
        <v>654</v>
      </c>
      <c r="B23" s="2226"/>
      <c r="C23" s="581"/>
      <c r="D23" s="581"/>
      <c r="E23" s="581"/>
      <c r="F23" s="1777">
        <f>SUM(C23+D23)-E23</f>
        <v>0</v>
      </c>
      <c r="G23" s="552"/>
    </row>
    <row r="24" spans="1:11" ht="15.75" customHeight="1" thickTop="1" x14ac:dyDescent="0.2">
      <c r="A24" s="2237" t="s">
        <v>1175</v>
      </c>
      <c r="B24" s="2211"/>
      <c r="C24" s="2219"/>
      <c r="D24" s="2220"/>
      <c r="E24" s="2220"/>
      <c r="F24" s="2221"/>
    </row>
    <row r="25" spans="1:11" ht="13.5" thickBot="1" x14ac:dyDescent="0.25">
      <c r="A25" s="2225" t="s">
        <v>655</v>
      </c>
      <c r="B25" s="2226"/>
      <c r="C25" s="581"/>
      <c r="D25" s="581"/>
      <c r="E25" s="581"/>
      <c r="F25" s="1777">
        <f>SUM(C25+D25)-E25</f>
        <v>0</v>
      </c>
      <c r="G25" s="552"/>
    </row>
    <row r="26" spans="1:11" ht="15.75" customHeight="1" thickTop="1" x14ac:dyDescent="0.2">
      <c r="A26" s="2210" t="s">
        <v>678</v>
      </c>
      <c r="B26" s="2211"/>
      <c r="C26" s="728"/>
      <c r="D26" s="728"/>
      <c r="E26" s="728"/>
      <c r="F26" s="729"/>
    </row>
    <row r="27" spans="1:11" ht="13.5" thickBot="1" x14ac:dyDescent="0.25">
      <c r="A27" s="2212" t="s">
        <v>1130</v>
      </c>
      <c r="B27" s="2213"/>
      <c r="C27" s="585"/>
      <c r="D27" s="585"/>
      <c r="E27" s="585"/>
      <c r="F27" s="1777">
        <f>SUM(C27+D27)-E27</f>
        <v>0</v>
      </c>
      <c r="G27" s="552"/>
    </row>
    <row r="28" spans="1:11" ht="7.5" customHeight="1" thickTop="1" x14ac:dyDescent="0.2">
      <c r="A28" s="594"/>
    </row>
    <row r="29" spans="1:11" ht="23.25" customHeight="1" x14ac:dyDescent="0.2">
      <c r="A29" s="2238" t="s">
        <v>603</v>
      </c>
      <c r="B29" s="2215"/>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40534</v>
      </c>
      <c r="C31" s="735">
        <v>990000</v>
      </c>
      <c r="D31" s="736">
        <v>7</v>
      </c>
      <c r="E31" s="735">
        <v>396000</v>
      </c>
      <c r="F31" s="735"/>
      <c r="G31" s="735"/>
      <c r="H31" s="735">
        <v>99000</v>
      </c>
      <c r="I31" s="1778">
        <f>((E31+F31)-H31)+G31</f>
        <v>297000</v>
      </c>
      <c r="J31" s="735">
        <v>290338</v>
      </c>
      <c r="K31" s="737"/>
    </row>
    <row r="32" spans="1:11" ht="12" customHeight="1" x14ac:dyDescent="0.2">
      <c r="A32" s="733" t="s">
        <v>2094</v>
      </c>
      <c r="B32" s="734">
        <v>42429</v>
      </c>
      <c r="C32" s="735">
        <v>1487000</v>
      </c>
      <c r="D32" s="736">
        <v>7</v>
      </c>
      <c r="E32" s="735">
        <v>1282000</v>
      </c>
      <c r="F32" s="735"/>
      <c r="G32" s="735"/>
      <c r="H32" s="735">
        <v>107000</v>
      </c>
      <c r="I32" s="1778">
        <f>((E32+F32)-H32)+G32</f>
        <v>1175000</v>
      </c>
      <c r="J32" s="735">
        <v>1175000</v>
      </c>
      <c r="K32" s="737"/>
    </row>
    <row r="33" spans="1:11" ht="12" customHeight="1" x14ac:dyDescent="0.2">
      <c r="A33" s="733" t="s">
        <v>2094</v>
      </c>
      <c r="B33" s="734">
        <v>42810</v>
      </c>
      <c r="C33" s="735">
        <v>73000</v>
      </c>
      <c r="D33" s="736">
        <v>7</v>
      </c>
      <c r="E33" s="735">
        <v>73000</v>
      </c>
      <c r="F33" s="735"/>
      <c r="G33" s="735"/>
      <c r="H33" s="735">
        <v>36000</v>
      </c>
      <c r="I33" s="1778">
        <f t="shared" ref="I33:I48" si="1">((E33+F33)-H33)+G33</f>
        <v>37000</v>
      </c>
      <c r="J33" s="735">
        <v>37000</v>
      </c>
      <c r="K33" s="737"/>
    </row>
    <row r="34" spans="1:11" ht="12" customHeight="1" x14ac:dyDescent="0.2">
      <c r="A34" s="733" t="s">
        <v>2095</v>
      </c>
      <c r="B34" s="734">
        <v>42522</v>
      </c>
      <c r="C34" s="735">
        <v>1000000</v>
      </c>
      <c r="D34" s="736">
        <v>8</v>
      </c>
      <c r="E34" s="735">
        <v>1000000</v>
      </c>
      <c r="F34" s="735"/>
      <c r="G34" s="735"/>
      <c r="H34" s="735">
        <v>75000</v>
      </c>
      <c r="I34" s="1778">
        <f t="shared" si="1"/>
        <v>925000</v>
      </c>
      <c r="J34" s="735">
        <v>925000</v>
      </c>
      <c r="K34" s="738"/>
    </row>
    <row r="35" spans="1:11" ht="12" customHeight="1" x14ac:dyDescent="0.2">
      <c r="A35" s="733" t="s">
        <v>2095</v>
      </c>
      <c r="B35" s="734">
        <v>42522</v>
      </c>
      <c r="C35" s="739">
        <v>482000</v>
      </c>
      <c r="D35" s="736">
        <v>8</v>
      </c>
      <c r="E35" s="739">
        <v>482000</v>
      </c>
      <c r="F35" s="739"/>
      <c r="G35" s="739"/>
      <c r="H35" s="739">
        <v>35000</v>
      </c>
      <c r="I35" s="1778">
        <f t="shared" si="1"/>
        <v>447000</v>
      </c>
      <c r="J35" s="739">
        <v>447000</v>
      </c>
      <c r="K35" s="738"/>
    </row>
    <row r="36" spans="1:11" ht="12" customHeight="1" x14ac:dyDescent="0.2">
      <c r="A36" s="733" t="s">
        <v>2095</v>
      </c>
      <c r="B36" s="734">
        <v>43090</v>
      </c>
      <c r="C36" s="735">
        <v>709909</v>
      </c>
      <c r="D36" s="736">
        <v>8</v>
      </c>
      <c r="E36" s="735"/>
      <c r="F36" s="735">
        <v>709909</v>
      </c>
      <c r="G36" s="735"/>
      <c r="H36" s="735"/>
      <c r="I36" s="1778">
        <f t="shared" si="1"/>
        <v>709909</v>
      </c>
      <c r="J36" s="735">
        <v>709909</v>
      </c>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4741909</v>
      </c>
      <c r="D49" s="746"/>
      <c r="E49" s="1778">
        <f t="shared" ref="E49:J49" si="2">SUM(E31:E48)</f>
        <v>3233000</v>
      </c>
      <c r="F49" s="1778">
        <f t="shared" si="2"/>
        <v>709909</v>
      </c>
      <c r="G49" s="1778">
        <f t="shared" si="2"/>
        <v>0</v>
      </c>
      <c r="H49" s="1778">
        <f t="shared" si="2"/>
        <v>352000</v>
      </c>
      <c r="I49" s="1778">
        <f t="shared" si="2"/>
        <v>3590909</v>
      </c>
      <c r="J49" s="1778">
        <f t="shared" si="2"/>
        <v>3584247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9" t="s">
        <v>605</v>
      </c>
      <c r="C52" s="2230"/>
      <c r="D52" s="2230"/>
      <c r="E52" s="750" t="s">
        <v>900</v>
      </c>
      <c r="F52" s="2231" t="s">
        <v>2094</v>
      </c>
      <c r="G52" s="2232"/>
      <c r="H52" s="737"/>
      <c r="I52" s="737"/>
      <c r="J52" s="747"/>
    </row>
    <row r="53" spans="1:11" ht="11.25" customHeight="1" x14ac:dyDescent="0.2">
      <c r="A53" s="751" t="s">
        <v>969</v>
      </c>
      <c r="B53" s="752" t="s">
        <v>1008</v>
      </c>
      <c r="C53" s="747"/>
      <c r="D53" s="738"/>
      <c r="E53" s="750" t="s">
        <v>518</v>
      </c>
      <c r="F53" s="2233" t="s">
        <v>2096</v>
      </c>
      <c r="G53" s="2234"/>
      <c r="H53" s="737"/>
      <c r="I53" s="737"/>
      <c r="J53" s="747"/>
    </row>
    <row r="54" spans="1:11" ht="11.25" customHeight="1" x14ac:dyDescent="0.2">
      <c r="A54" s="753" t="s">
        <v>970</v>
      </c>
      <c r="B54" s="748" t="s">
        <v>1009</v>
      </c>
      <c r="C54" s="747"/>
      <c r="D54" s="738"/>
      <c r="E54" s="750" t="s">
        <v>519</v>
      </c>
      <c r="F54" s="2233"/>
      <c r="G54" s="223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D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3" t="s">
        <v>911</v>
      </c>
      <c r="B1" s="2264"/>
      <c r="C1" s="2264"/>
      <c r="D1" s="2264"/>
      <c r="E1" s="2264"/>
      <c r="F1" s="2264"/>
      <c r="G1" s="2265"/>
      <c r="H1" s="1552"/>
      <c r="I1" s="761"/>
      <c r="J1" s="433"/>
    </row>
    <row r="2" spans="1:11" ht="26.25" x14ac:dyDescent="0.2">
      <c r="A2" s="2242" t="s">
        <v>1776</v>
      </c>
      <c r="B2" s="2243"/>
      <c r="C2" s="2243"/>
      <c r="D2" s="2243"/>
      <c r="E2" s="2244"/>
      <c r="F2" s="762" t="s">
        <v>960</v>
      </c>
      <c r="G2" s="763" t="s">
        <v>1773</v>
      </c>
      <c r="H2" s="763" t="s">
        <v>430</v>
      </c>
      <c r="I2" s="763" t="s">
        <v>1220</v>
      </c>
      <c r="J2" s="763" t="s">
        <v>1919</v>
      </c>
      <c r="K2" s="763" t="s">
        <v>140</v>
      </c>
    </row>
    <row r="3" spans="1:11" x14ac:dyDescent="0.2">
      <c r="A3" s="2245" t="s">
        <v>1698</v>
      </c>
      <c r="B3" s="2246"/>
      <c r="C3" s="2246"/>
      <c r="D3" s="2246"/>
      <c r="E3" s="2247"/>
      <c r="F3" s="764"/>
      <c r="G3" s="765"/>
      <c r="H3" s="765"/>
      <c r="I3" s="765"/>
      <c r="J3" s="766"/>
      <c r="K3" s="766"/>
    </row>
    <row r="4" spans="1:11" x14ac:dyDescent="0.2">
      <c r="A4" s="2248" t="s">
        <v>387</v>
      </c>
      <c r="B4" s="2249"/>
      <c r="C4" s="2249"/>
      <c r="D4" s="2249"/>
      <c r="E4" s="2230"/>
      <c r="F4" s="767"/>
      <c r="G4" s="768"/>
      <c r="H4" s="769"/>
      <c r="I4" s="768"/>
      <c r="J4" s="770"/>
      <c r="K4" s="770"/>
    </row>
    <row r="5" spans="1:11" x14ac:dyDescent="0.2">
      <c r="A5" s="2266" t="s">
        <v>1129</v>
      </c>
      <c r="B5" s="2239"/>
      <c r="C5" s="2239"/>
      <c r="D5" s="2239"/>
      <c r="E5" s="2267"/>
      <c r="F5" s="771" t="s">
        <v>903</v>
      </c>
      <c r="G5" s="772"/>
      <c r="H5" s="765">
        <v>13466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7713</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17208</v>
      </c>
    </row>
    <row r="10" spans="1:11" x14ac:dyDescent="0.2">
      <c r="A10" s="2266" t="s">
        <v>1920</v>
      </c>
      <c r="B10" s="2239"/>
      <c r="C10" s="2239"/>
      <c r="D10" s="2239"/>
      <c r="E10" s="2268"/>
      <c r="F10" s="784" t="s">
        <v>917</v>
      </c>
      <c r="G10" s="783"/>
      <c r="H10" s="785"/>
      <c r="I10" s="765"/>
      <c r="J10" s="766"/>
      <c r="K10" s="766"/>
    </row>
    <row r="11" spans="1:11" x14ac:dyDescent="0.2">
      <c r="A11" s="2266" t="s">
        <v>162</v>
      </c>
      <c r="B11" s="2239"/>
      <c r="C11" s="2239"/>
      <c r="D11" s="2239"/>
      <c r="E11" s="2267"/>
      <c r="F11" s="771" t="s">
        <v>907</v>
      </c>
      <c r="G11" s="772"/>
      <c r="H11" s="765"/>
      <c r="I11" s="765"/>
      <c r="J11" s="766"/>
      <c r="K11" s="774"/>
    </row>
    <row r="12" spans="1:11" ht="13.5" thickBot="1" x14ac:dyDescent="0.25">
      <c r="A12" s="2256" t="s">
        <v>961</v>
      </c>
      <c r="B12" s="2257"/>
      <c r="C12" s="2257"/>
      <c r="D12" s="2257"/>
      <c r="E12" s="2258"/>
      <c r="F12" s="1779"/>
      <c r="G12" s="1780">
        <f>SUM(G5:G11)</f>
        <v>0</v>
      </c>
      <c r="H12" s="1780">
        <f>SUM(H5:H11)</f>
        <v>13466</v>
      </c>
      <c r="I12" s="1780">
        <f>SUM(I5:I11)</f>
        <v>0</v>
      </c>
      <c r="J12" s="1780">
        <f>SUM(J5:J11)</f>
        <v>0</v>
      </c>
      <c r="K12" s="1780">
        <f>SUM(K5:K11)</f>
        <v>24921</v>
      </c>
    </row>
    <row r="13" spans="1:11" ht="13.5" thickTop="1" x14ac:dyDescent="0.2">
      <c r="A13" s="2250" t="s">
        <v>388</v>
      </c>
      <c r="B13" s="2251"/>
      <c r="C13" s="2251"/>
      <c r="D13" s="2251"/>
      <c r="E13" s="2252"/>
      <c r="F13" s="786"/>
      <c r="G13" s="787"/>
      <c r="H13" s="788"/>
      <c r="I13" s="789"/>
      <c r="J13" s="789"/>
      <c r="K13" s="789"/>
    </row>
    <row r="14" spans="1:11" x14ac:dyDescent="0.2">
      <c r="A14" s="2272" t="s">
        <v>476</v>
      </c>
      <c r="B14" s="2272"/>
      <c r="C14" s="2272"/>
      <c r="D14" s="2272"/>
      <c r="E14" s="2273"/>
      <c r="F14" s="790" t="s">
        <v>909</v>
      </c>
      <c r="G14" s="783"/>
      <c r="H14" s="765">
        <v>13466</v>
      </c>
      <c r="I14" s="772"/>
      <c r="J14" s="774"/>
      <c r="K14" s="766">
        <v>24921</v>
      </c>
    </row>
    <row r="15" spans="1:11" x14ac:dyDescent="0.2">
      <c r="A15" s="2239" t="s">
        <v>4</v>
      </c>
      <c r="B15" s="2239"/>
      <c r="C15" s="2239"/>
      <c r="D15" s="2239"/>
      <c r="E15" s="2267"/>
      <c r="F15" s="790" t="s">
        <v>910</v>
      </c>
      <c r="G15" s="772"/>
      <c r="H15" s="765"/>
      <c r="I15" s="765"/>
      <c r="J15" s="766"/>
      <c r="K15" s="766"/>
    </row>
    <row r="16" spans="1:11" x14ac:dyDescent="0.2">
      <c r="A16" s="2239" t="s">
        <v>316</v>
      </c>
      <c r="B16" s="2239"/>
      <c r="C16" s="2239"/>
      <c r="D16" s="2239"/>
      <c r="E16" s="2267"/>
      <c r="F16" s="790" t="s">
        <v>980</v>
      </c>
      <c r="G16" s="773"/>
      <c r="H16" s="768"/>
      <c r="I16" s="768"/>
      <c r="J16" s="770"/>
      <c r="K16" s="770"/>
    </row>
    <row r="17" spans="1:11" x14ac:dyDescent="0.2">
      <c r="A17" s="2261" t="s">
        <v>992</v>
      </c>
      <c r="B17" s="2261"/>
      <c r="C17" s="2261"/>
      <c r="D17" s="2261"/>
      <c r="E17" s="2262"/>
      <c r="F17" s="791"/>
      <c r="G17" s="792"/>
      <c r="H17" s="793"/>
      <c r="I17" s="793"/>
      <c r="J17" s="794"/>
      <c r="K17" s="795"/>
    </row>
    <row r="18" spans="1:11" x14ac:dyDescent="0.2">
      <c r="A18" s="2253" t="s">
        <v>386</v>
      </c>
      <c r="B18" s="2254"/>
      <c r="C18" s="2254"/>
      <c r="D18" s="2254"/>
      <c r="E18" s="2255"/>
      <c r="F18" s="790" t="s">
        <v>989</v>
      </c>
      <c r="G18" s="783"/>
      <c r="H18" s="783"/>
      <c r="I18" s="783"/>
      <c r="J18" s="766"/>
      <c r="K18" s="796"/>
    </row>
    <row r="19" spans="1:11" ht="21.75" customHeight="1" x14ac:dyDescent="0.2">
      <c r="A19" s="2274" t="s">
        <v>1916</v>
      </c>
      <c r="B19" s="2274"/>
      <c r="C19" s="2274"/>
      <c r="D19" s="2274"/>
      <c r="E19" s="2275"/>
      <c r="F19" s="790" t="s">
        <v>990</v>
      </c>
      <c r="G19" s="783"/>
      <c r="H19" s="783"/>
      <c r="I19" s="783"/>
      <c r="J19" s="766"/>
      <c r="K19" s="796"/>
    </row>
    <row r="20" spans="1:11" x14ac:dyDescent="0.2">
      <c r="A20" s="2253" t="s">
        <v>1921</v>
      </c>
      <c r="B20" s="2254"/>
      <c r="C20" s="2254"/>
      <c r="D20" s="2254"/>
      <c r="E20" s="2255"/>
      <c r="F20" s="790" t="s">
        <v>991</v>
      </c>
      <c r="G20" s="783"/>
      <c r="H20" s="783"/>
      <c r="I20" s="783"/>
      <c r="J20" s="766"/>
      <c r="K20" s="796"/>
    </row>
    <row r="21" spans="1:11" ht="13.5" thickBot="1" x14ac:dyDescent="0.25">
      <c r="A21" s="2259" t="s">
        <v>659</v>
      </c>
      <c r="B21" s="2259"/>
      <c r="C21" s="2259"/>
      <c r="D21" s="2259"/>
      <c r="E21" s="2259"/>
      <c r="F21" s="1781"/>
      <c r="G21" s="793"/>
      <c r="H21" s="797"/>
      <c r="I21" s="797"/>
      <c r="J21" s="1782">
        <f>SUM(J18:J20)</f>
        <v>0</v>
      </c>
      <c r="K21" s="794"/>
    </row>
    <row r="22" spans="1:11" ht="13.5" thickTop="1" x14ac:dyDescent="0.2">
      <c r="A22" s="2239" t="s">
        <v>1922</v>
      </c>
      <c r="B22" s="2239"/>
      <c r="C22" s="2239"/>
      <c r="D22" s="2239"/>
      <c r="E22" s="2267"/>
      <c r="F22" s="790" t="s">
        <v>917</v>
      </c>
      <c r="G22" s="783"/>
      <c r="H22" s="765"/>
      <c r="I22" s="765"/>
      <c r="J22" s="798"/>
      <c r="K22" s="766"/>
    </row>
    <row r="23" spans="1:11" ht="13.5" thickBot="1" x14ac:dyDescent="0.25">
      <c r="A23" s="2260" t="s">
        <v>962</v>
      </c>
      <c r="B23" s="2259"/>
      <c r="C23" s="2259"/>
      <c r="D23" s="2259"/>
      <c r="E23" s="2259"/>
      <c r="F23" s="1783"/>
      <c r="G23" s="1780">
        <f>SUM(G14:G16,G21,G22)</f>
        <v>0</v>
      </c>
      <c r="H23" s="1780">
        <f>SUM(H14:H16,H21,H22)</f>
        <v>13466</v>
      </c>
      <c r="I23" s="1780">
        <f>SUM(I14:I16,I21,I22)</f>
        <v>0</v>
      </c>
      <c r="J23" s="1780">
        <f>SUM(J14:J16,J21,J22)</f>
        <v>0</v>
      </c>
      <c r="K23" s="1780">
        <f>SUM(K14:K16,K21,K22)</f>
        <v>24921</v>
      </c>
    </row>
    <row r="24" spans="1:11" ht="14.25" thickTop="1" thickBot="1" x14ac:dyDescent="0.25">
      <c r="A24" s="2260" t="s">
        <v>2026</v>
      </c>
      <c r="B24" s="2259"/>
      <c r="C24" s="2259"/>
      <c r="D24" s="2259"/>
      <c r="E24" s="2259"/>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9"/>
      <c r="I31" s="2270"/>
      <c r="J31" s="2270"/>
      <c r="K31" s="2270"/>
    </row>
    <row r="32" spans="1:11" x14ac:dyDescent="0.2">
      <c r="A32" s="810"/>
      <c r="B32" s="237"/>
      <c r="C32" s="237"/>
      <c r="D32" s="237"/>
      <c r="E32" s="806"/>
      <c r="F32" s="812" t="s">
        <v>561</v>
      </c>
      <c r="G32" s="765"/>
      <c r="H32" s="2271"/>
      <c r="I32" s="2270"/>
      <c r="J32" s="2270"/>
      <c r="K32" s="2270"/>
    </row>
    <row r="33" spans="1:11" ht="1.5" customHeight="1" x14ac:dyDescent="0.2">
      <c r="A33" s="813" t="s">
        <v>1231</v>
      </c>
      <c r="B33" s="364"/>
      <c r="C33" s="364"/>
      <c r="D33" s="364"/>
      <c r="E33" s="364"/>
      <c r="F33" s="364"/>
      <c r="G33" s="814"/>
      <c r="H33" s="2271"/>
      <c r="I33" s="2270"/>
      <c r="J33" s="2270"/>
      <c r="K33" s="227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9" t="s">
        <v>562</v>
      </c>
      <c r="B41" s="2240"/>
      <c r="C41" s="2240"/>
      <c r="D41" s="2240"/>
      <c r="E41" s="2240"/>
      <c r="F41" s="224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verticalCentered="1" gridLine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sqref="A1:D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2035</v>
      </c>
      <c r="B1" s="2279"/>
      <c r="C1" s="2280"/>
      <c r="D1" s="827"/>
      <c r="E1" s="828"/>
      <c r="F1" s="828"/>
      <c r="G1" s="829"/>
      <c r="H1" s="830"/>
      <c r="I1" s="831"/>
      <c r="J1" s="2276"/>
      <c r="K1" s="2277"/>
      <c r="L1" s="227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369555</v>
      </c>
      <c r="D5" s="842"/>
      <c r="E5" s="842"/>
      <c r="F5" s="1782">
        <f>(C5+D5)-E5</f>
        <v>369555</v>
      </c>
      <c r="G5" s="838"/>
      <c r="H5" s="843"/>
      <c r="I5" s="843"/>
      <c r="J5" s="843"/>
      <c r="K5" s="794"/>
      <c r="L5" s="1791">
        <f>F5-K5</f>
        <v>369555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6232979</v>
      </c>
      <c r="D8" s="845">
        <v>1182036</v>
      </c>
      <c r="E8" s="845"/>
      <c r="F8" s="1782">
        <f>(C8+D8)-E8</f>
        <v>7415015</v>
      </c>
      <c r="G8" s="844">
        <v>50</v>
      </c>
      <c r="H8" s="766">
        <v>3014245</v>
      </c>
      <c r="I8" s="766">
        <v>116267</v>
      </c>
      <c r="J8" s="766"/>
      <c r="K8" s="1791">
        <f>(H8+I8)-J8</f>
        <v>3130512</v>
      </c>
      <c r="L8" s="1791">
        <f>F8-K8</f>
        <v>4284503</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261654</v>
      </c>
      <c r="D10" s="847"/>
      <c r="E10" s="847"/>
      <c r="F10" s="1786">
        <f>(C10+D10)-E10</f>
        <v>261654</v>
      </c>
      <c r="G10" s="844">
        <v>20</v>
      </c>
      <c r="H10" s="848">
        <v>45611</v>
      </c>
      <c r="I10" s="848">
        <v>21748</v>
      </c>
      <c r="J10" s="848"/>
      <c r="K10" s="1791">
        <f>(H10+I10)-J10</f>
        <v>67359</v>
      </c>
      <c r="L10" s="1791">
        <f>F10-K10</f>
        <v>194295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1653894</v>
      </c>
      <c r="D12" s="845">
        <v>148223</v>
      </c>
      <c r="E12" s="845">
        <v>45279</v>
      </c>
      <c r="F12" s="1782">
        <f>(C12+D12)-E12</f>
        <v>1756838</v>
      </c>
      <c r="G12" s="844">
        <v>10</v>
      </c>
      <c r="H12" s="766">
        <v>1052501</v>
      </c>
      <c r="I12" s="766">
        <v>90449</v>
      </c>
      <c r="J12" s="766">
        <v>34992</v>
      </c>
      <c r="K12" s="1791">
        <f>(H12+I12)-J12</f>
        <v>1107958</v>
      </c>
      <c r="L12" s="1791">
        <f>F12-K12</f>
        <v>648880</v>
      </c>
    </row>
    <row r="13" spans="1:14" ht="14.25" thickTop="1" thickBot="1" x14ac:dyDescent="0.25">
      <c r="A13" s="849" t="s">
        <v>1184</v>
      </c>
      <c r="B13" s="841">
        <v>252</v>
      </c>
      <c r="C13" s="845">
        <v>192645</v>
      </c>
      <c r="D13" s="845"/>
      <c r="E13" s="845"/>
      <c r="F13" s="1782">
        <f>(C13+D13)-E13</f>
        <v>192645</v>
      </c>
      <c r="G13" s="844">
        <v>5</v>
      </c>
      <c r="H13" s="766">
        <v>189066</v>
      </c>
      <c r="I13" s="766">
        <v>817</v>
      </c>
      <c r="J13" s="766"/>
      <c r="K13" s="1791">
        <f>(H13+I13)-J13</f>
        <v>189883</v>
      </c>
      <c r="L13" s="1791">
        <f>F13-K13</f>
        <v>2762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1050419</v>
      </c>
      <c r="D15" s="845">
        <v>563549</v>
      </c>
      <c r="E15" s="845">
        <v>1182036</v>
      </c>
      <c r="F15" s="1782">
        <f>(C15+D15)-E15</f>
        <v>431932</v>
      </c>
      <c r="G15" s="850" t="s">
        <v>917</v>
      </c>
      <c r="H15" s="782"/>
      <c r="I15" s="782"/>
      <c r="J15" s="782"/>
      <c r="K15" s="782"/>
      <c r="L15" s="1791">
        <f>F15-K15</f>
        <v>431932</v>
      </c>
    </row>
    <row r="16" spans="1:14" ht="15" customHeight="1" thickTop="1" thickBot="1" x14ac:dyDescent="0.25">
      <c r="A16" s="1787" t="s">
        <v>664</v>
      </c>
      <c r="B16" s="1788">
        <v>200</v>
      </c>
      <c r="C16" s="1782">
        <f>SUM(C3,C5:C6,C8:C10,C12:C15)</f>
        <v>9761146</v>
      </c>
      <c r="D16" s="1782">
        <f>SUM(D3,D5:D6,D8:D10,D12:D15)</f>
        <v>1893808</v>
      </c>
      <c r="E16" s="1782">
        <f>SUM(E3,E5:E6,E8:E10,E12:E15)</f>
        <v>1227315</v>
      </c>
      <c r="F16" s="1782">
        <f>SUM(F3,F5:F6,F8:F10,F12:F15)</f>
        <v>10427639</v>
      </c>
      <c r="G16" s="844"/>
      <c r="H16" s="1782">
        <f>SUM(H3,H6,H8:H10,H12:H14,)</f>
        <v>4301423</v>
      </c>
      <c r="I16" s="1782">
        <f>SUM(I3,I6,I8:I10,I12:I14,)</f>
        <v>229281</v>
      </c>
      <c r="J16" s="1782">
        <f>SUM(J3,J6,J8:J10,J12:J14,)</f>
        <v>34992</v>
      </c>
      <c r="K16" s="1782">
        <f>(H16+I16)-J16</f>
        <v>4495712</v>
      </c>
      <c r="L16" s="1782">
        <f>F16-K16</f>
        <v>5931927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229281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orizontalCentered="1" verticalCentered="1" gridLines="1"/>
  <pageMargins left="1" right="1" top="0.75" bottom="0.75" header="1" footer="0.75"/>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sqref="A1:D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46" t="s">
        <v>1699</v>
      </c>
      <c r="B1" s="2347"/>
      <c r="C1" s="2347"/>
      <c r="D1" s="2347"/>
      <c r="E1" s="2347"/>
      <c r="F1" s="2348"/>
      <c r="G1" s="856"/>
    </row>
    <row r="2" spans="1:7" ht="15" customHeight="1" thickBot="1" x14ac:dyDescent="0.25">
      <c r="A2" s="2349" t="s">
        <v>498</v>
      </c>
      <c r="B2" s="2350"/>
      <c r="C2" s="2350"/>
      <c r="D2" s="2350"/>
      <c r="E2" s="2350"/>
      <c r="F2" s="235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52"/>
      <c r="B5" s="2353"/>
      <c r="C5" s="2353"/>
      <c r="D5" s="2353"/>
      <c r="E5" s="2353"/>
      <c r="F5" s="2353"/>
    </row>
    <row r="6" spans="1:7" ht="13.5" customHeight="1" thickBot="1" x14ac:dyDescent="0.25">
      <c r="A6" s="2343" t="s">
        <v>1166</v>
      </c>
      <c r="B6" s="2344"/>
      <c r="C6" s="2344"/>
      <c r="D6" s="2344"/>
      <c r="E6" s="2344"/>
      <c r="F6" s="234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2703341</v>
      </c>
      <c r="G8" s="866"/>
    </row>
    <row r="9" spans="1:7" x14ac:dyDescent="0.2">
      <c r="A9" s="870" t="s">
        <v>480</v>
      </c>
      <c r="B9" s="871" t="s">
        <v>1989</v>
      </c>
      <c r="C9" s="872"/>
      <c r="D9" s="870" t="s">
        <v>522</v>
      </c>
      <c r="E9" s="869"/>
      <c r="F9" s="1935">
        <f>'Expenditures 15-22'!K151</f>
        <v>294724</v>
      </c>
      <c r="G9" s="873"/>
    </row>
    <row r="10" spans="1:7" x14ac:dyDescent="0.2">
      <c r="A10" s="870" t="s">
        <v>520</v>
      </c>
      <c r="B10" s="871" t="s">
        <v>1990</v>
      </c>
      <c r="C10" s="872"/>
      <c r="D10" s="870" t="s">
        <v>522</v>
      </c>
      <c r="E10" s="869"/>
      <c r="F10" s="1935">
        <f>'Expenditures 15-22'!K174</f>
        <v>422905</v>
      </c>
      <c r="G10" s="873"/>
    </row>
    <row r="11" spans="1:7" x14ac:dyDescent="0.2">
      <c r="A11" s="870" t="s">
        <v>481</v>
      </c>
      <c r="B11" s="871" t="s">
        <v>1991</v>
      </c>
      <c r="C11" s="872"/>
      <c r="D11" s="870" t="s">
        <v>522</v>
      </c>
      <c r="E11" s="869"/>
      <c r="F11" s="1935">
        <f>'Expenditures 15-22'!K210</f>
        <v>168222</v>
      </c>
      <c r="G11" s="873"/>
    </row>
    <row r="12" spans="1:7" x14ac:dyDescent="0.2">
      <c r="A12" s="870" t="s">
        <v>482</v>
      </c>
      <c r="B12" s="871" t="s">
        <v>1992</v>
      </c>
      <c r="C12" s="872"/>
      <c r="D12" s="870" t="s">
        <v>522</v>
      </c>
      <c r="E12" s="869"/>
      <c r="F12" s="1935">
        <f>'Expenditures 15-22'!K295</f>
        <v>126754</v>
      </c>
      <c r="G12" s="873"/>
    </row>
    <row r="13" spans="1:7" x14ac:dyDescent="0.2">
      <c r="A13" s="870" t="s">
        <v>108</v>
      </c>
      <c r="B13" s="871" t="s">
        <v>1993</v>
      </c>
      <c r="C13" s="872"/>
      <c r="D13" s="870" t="s">
        <v>522</v>
      </c>
      <c r="E13" s="869"/>
      <c r="F13" s="1935">
        <f>'Expenditures 15-22'!K342</f>
        <v>109064</v>
      </c>
      <c r="G13" s="874"/>
    </row>
    <row r="14" spans="1:7" ht="12" customHeight="1" thickBot="1" x14ac:dyDescent="0.25">
      <c r="A14" s="1792"/>
      <c r="B14" s="1793"/>
      <c r="C14" s="1794"/>
      <c r="D14" s="1795" t="s">
        <v>522</v>
      </c>
      <c r="E14" s="1796" t="s">
        <v>1015</v>
      </c>
      <c r="F14" s="1797">
        <f>SUM(F8:F13)</f>
        <v>3825010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83637</v>
      </c>
      <c r="G53" s="866"/>
    </row>
    <row r="54" spans="1:7" x14ac:dyDescent="0.2">
      <c r="A54" s="870" t="s">
        <v>479</v>
      </c>
      <c r="B54" s="870" t="s">
        <v>1552</v>
      </c>
      <c r="C54" s="890" t="s">
        <v>1039</v>
      </c>
      <c r="D54" s="886" t="s">
        <v>1157</v>
      </c>
      <c r="E54" s="869"/>
      <c r="F54" s="1939">
        <f>'Expenditures 15-22'!G114</f>
        <v>144297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3247</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352000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911</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584092</v>
      </c>
      <c r="G76" s="866"/>
    </row>
    <row r="77" spans="1:8" s="894" customFormat="1" ht="12" customHeight="1" thickTop="1" thickBot="1" x14ac:dyDescent="0.25">
      <c r="A77" s="1801"/>
      <c r="B77" s="1798"/>
      <c r="C77" s="1794"/>
      <c r="D77" s="1799" t="s">
        <v>2012</v>
      </c>
      <c r="E77" s="1796"/>
      <c r="F77" s="1802">
        <f>(F14-F76)</f>
        <v>3240918</v>
      </c>
      <c r="G77" s="870"/>
    </row>
    <row r="78" spans="1:8" s="894" customFormat="1" ht="12" customHeight="1" thickTop="1" x14ac:dyDescent="0.2">
      <c r="A78" s="1803"/>
      <c r="B78" s="1798"/>
      <c r="C78" s="1794"/>
      <c r="D78" s="1799" t="s">
        <v>2059</v>
      </c>
      <c r="E78" s="1796"/>
      <c r="F78" s="899">
        <v>349.59</v>
      </c>
      <c r="G78" s="900"/>
      <c r="H78" s="870"/>
    </row>
    <row r="79" spans="1:8" s="894" customFormat="1" ht="12" customHeight="1" thickBot="1" x14ac:dyDescent="0.25">
      <c r="A79" s="1804"/>
      <c r="B79" s="1798"/>
      <c r="C79" s="1794"/>
      <c r="D79" s="1799" t="s">
        <v>2013</v>
      </c>
      <c r="E79" s="1796" t="s">
        <v>1015</v>
      </c>
      <c r="F79" s="1805">
        <f>IF(F78&gt;0,F77/F78," Complete Line 78")</f>
        <v>9270.6255899768312</v>
      </c>
      <c r="G79" s="870"/>
    </row>
    <row r="80" spans="1:8" s="894" customFormat="1" ht="8.25" customHeight="1" thickTop="1" x14ac:dyDescent="0.2">
      <c r="A80" s="901"/>
      <c r="B80" s="870"/>
      <c r="C80" s="872"/>
      <c r="D80" s="902"/>
      <c r="E80" s="869"/>
      <c r="F80" s="903"/>
      <c r="G80" s="870"/>
    </row>
    <row r="81" spans="1:7" s="894" customFormat="1" ht="12" thickBot="1" x14ac:dyDescent="0.25">
      <c r="A81" s="2343" t="s">
        <v>1167</v>
      </c>
      <c r="B81" s="2344"/>
      <c r="C81" s="2344"/>
      <c r="D81" s="2344"/>
      <c r="E81" s="2344"/>
      <c r="F81" s="234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48669</v>
      </c>
      <c r="G94" s="913"/>
    </row>
    <row r="95" spans="1:7" x14ac:dyDescent="0.2">
      <c r="A95" s="909" t="s">
        <v>142</v>
      </c>
      <c r="B95" s="909" t="s">
        <v>177</v>
      </c>
      <c r="C95" s="911">
        <v>1700</v>
      </c>
      <c r="D95" s="919" t="str">
        <f>'Revenues 9-14'!A82</f>
        <v>Total District/School Activity Income</v>
      </c>
      <c r="E95" s="907"/>
      <c r="F95" s="1811">
        <f>SUM('Revenues 9-14'!C82,'Revenues 9-14'!D82)</f>
        <v>29400</v>
      </c>
      <c r="G95" s="913"/>
    </row>
    <row r="96" spans="1:7" x14ac:dyDescent="0.2">
      <c r="A96" s="909" t="s">
        <v>479</v>
      </c>
      <c r="B96" s="909" t="s">
        <v>178</v>
      </c>
      <c r="C96" s="911">
        <f>'Revenues 9-14'!B84</f>
        <v>1811</v>
      </c>
      <c r="D96" s="912" t="str">
        <f>'Revenues 9-14'!A84</f>
        <v>Rentals - Regular Textbooks</v>
      </c>
      <c r="E96" s="907"/>
      <c r="F96" s="1811">
        <f>'Revenues 9-14'!C84</f>
        <v>11708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3520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66917</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64548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809</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17208</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99791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16151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52777</v>
      </c>
      <c r="G128" s="931"/>
    </row>
    <row r="129" spans="1:7" x14ac:dyDescent="0.2">
      <c r="A129" s="928" t="s">
        <v>685</v>
      </c>
      <c r="B129" s="928" t="s">
        <v>803</v>
      </c>
      <c r="C129" s="933">
        <v>4200</v>
      </c>
      <c r="D129" s="930" t="str">
        <f>'Revenues 9-14'!A201</f>
        <v>Total Food Service</v>
      </c>
      <c r="E129" s="907"/>
      <c r="F129" s="1811">
        <f>SUM('Revenues 9-14'!C201,'Revenues 9-14'!G201)</f>
        <v>113636</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108606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4999</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638739</v>
      </c>
    </row>
    <row r="179" spans="1:7" ht="12" customHeight="1" x14ac:dyDescent="0.2">
      <c r="A179" s="1792"/>
      <c r="B179" s="1806"/>
      <c r="C179" s="1807"/>
      <c r="D179" s="1808" t="s">
        <v>2015</v>
      </c>
      <c r="E179" s="1809"/>
      <c r="F179" s="1811">
        <f>'PCTC-OEPP 27-28'!F77-F178</f>
        <v>2602179</v>
      </c>
    </row>
    <row r="180" spans="1:7" ht="12" customHeight="1" x14ac:dyDescent="0.2">
      <c r="A180" s="1792"/>
      <c r="B180" s="1806"/>
      <c r="C180" s="1807"/>
      <c r="D180" s="1808" t="s">
        <v>1924</v>
      </c>
      <c r="E180" s="1809"/>
      <c r="F180" s="1811">
        <f>'Cap Outlay Deprec 26'!I18</f>
        <v>229281</v>
      </c>
    </row>
    <row r="181" spans="1:7" ht="12" customHeight="1" x14ac:dyDescent="0.2">
      <c r="A181" s="1792"/>
      <c r="B181" s="1806"/>
      <c r="C181" s="1807"/>
      <c r="D181" s="1808" t="s">
        <v>2016</v>
      </c>
      <c r="E181" s="1809"/>
      <c r="F181" s="1811">
        <f>F179+F180</f>
        <v>2831460</v>
      </c>
    </row>
    <row r="182" spans="1:7" ht="12" customHeight="1" x14ac:dyDescent="0.2">
      <c r="A182" s="1792"/>
      <c r="B182" s="1812"/>
      <c r="C182" s="1807"/>
      <c r="D182" s="1808" t="str">
        <f>D78</f>
        <v>9 Month ADA from District Average Daily Attendance/Prior General State Aid Inquiry 2017-2018</v>
      </c>
      <c r="E182" s="1809"/>
      <c r="F182" s="1813">
        <f>'PCTC-OEPP 27-28'!F78</f>
        <v>349.59</v>
      </c>
      <c r="G182" s="931"/>
    </row>
    <row r="183" spans="1:7" ht="12" customHeight="1" thickBot="1" x14ac:dyDescent="0.25">
      <c r="A183" s="1792"/>
      <c r="B183" s="1812"/>
      <c r="C183" s="1807"/>
      <c r="D183" s="1808" t="s">
        <v>2017</v>
      </c>
      <c r="E183" s="1809" t="s">
        <v>1626</v>
      </c>
      <c r="F183" s="1814">
        <f>F181/F182</f>
        <v>8099.3735518750545</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verticalCentered="1" gridLine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sqref="A1:D1"/>
      <selection pane="bottomLeft" sqref="A1:D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31" t="s">
        <v>1925</v>
      </c>
      <c r="B4" s="2332"/>
      <c r="C4" s="2332"/>
      <c r="D4" s="2332"/>
      <c r="E4" s="2332"/>
      <c r="F4" s="2332"/>
      <c r="G4" s="2333"/>
    </row>
    <row r="5" spans="1:7" x14ac:dyDescent="0.25">
      <c r="A5" s="2334"/>
      <c r="B5" s="2335"/>
      <c r="C5" s="2335"/>
      <c r="D5" s="2335"/>
      <c r="E5" s="2335"/>
      <c r="F5" s="2335"/>
      <c r="G5" s="2336"/>
    </row>
    <row r="6" spans="1:7" ht="18.75" x14ac:dyDescent="0.25">
      <c r="A6" s="1556" t="s">
        <v>1926</v>
      </c>
      <c r="B6" s="1557"/>
      <c r="C6" s="1557"/>
      <c r="D6" s="1557"/>
      <c r="E6" s="1557"/>
      <c r="F6" s="1557"/>
      <c r="G6" s="1558"/>
    </row>
    <row r="7" spans="1:7" ht="30.75" customHeight="1" x14ac:dyDescent="0.25">
      <c r="A7" s="2337" t="s">
        <v>2075</v>
      </c>
      <c r="B7" s="2338"/>
      <c r="C7" s="2338"/>
      <c r="D7" s="2338"/>
      <c r="E7" s="2338"/>
      <c r="F7" s="2338"/>
      <c r="G7" s="2339"/>
    </row>
    <row r="8" spans="1:7" ht="15.75" customHeight="1" x14ac:dyDescent="0.25">
      <c r="A8" s="2340" t="s">
        <v>2024</v>
      </c>
      <c r="B8" s="2341"/>
      <c r="C8" s="2341"/>
      <c r="D8" s="2341"/>
      <c r="E8" s="2341"/>
      <c r="F8" s="2341"/>
      <c r="G8" s="2342"/>
    </row>
    <row r="9" spans="1:7" ht="35.25" customHeight="1" x14ac:dyDescent="0.25">
      <c r="A9" s="2337" t="s">
        <v>2023</v>
      </c>
      <c r="B9" s="2338"/>
      <c r="C9" s="2338"/>
      <c r="D9" s="2338"/>
      <c r="E9" s="2338"/>
      <c r="F9" s="2338"/>
      <c r="G9" s="2339"/>
    </row>
    <row r="10" spans="1:7" ht="15" customHeight="1" x14ac:dyDescent="0.25">
      <c r="A10" s="1559" t="s">
        <v>1927</v>
      </c>
      <c r="B10" s="1560"/>
      <c r="C10" s="1560"/>
      <c r="D10" s="1560"/>
      <c r="E10" s="1560"/>
      <c r="F10" s="1560"/>
      <c r="G10" s="1561"/>
    </row>
    <row r="11" spans="1:7" ht="17.25" customHeight="1" x14ac:dyDescent="0.25">
      <c r="A11" s="2337" t="s">
        <v>1941</v>
      </c>
      <c r="B11" s="2338"/>
      <c r="C11" s="2338"/>
      <c r="D11" s="2338"/>
      <c r="E11" s="2338"/>
      <c r="F11" s="2338"/>
      <c r="G11" s="2339"/>
    </row>
    <row r="12" spans="1:7" ht="15" customHeight="1" x14ac:dyDescent="0.25">
      <c r="A12" s="1559" t="s">
        <v>1932</v>
      </c>
      <c r="B12" s="1560"/>
      <c r="C12" s="1560"/>
      <c r="D12" s="1560"/>
      <c r="E12" s="1560"/>
      <c r="F12" s="1560"/>
      <c r="G12" s="1561"/>
    </row>
    <row r="13" spans="1:7" ht="32.25" customHeight="1" x14ac:dyDescent="0.25">
      <c r="A13" s="2328" t="s">
        <v>1933</v>
      </c>
      <c r="B13" s="2329"/>
      <c r="C13" s="2329"/>
      <c r="D13" s="2329"/>
      <c r="E13" s="2329"/>
      <c r="F13" s="2329"/>
      <c r="G13" s="2330"/>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2099</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sqref="A1:D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54" t="s">
        <v>1778</v>
      </c>
      <c r="B5" s="2355"/>
      <c r="C5" s="2355"/>
      <c r="D5" s="2355"/>
      <c r="E5" s="2355"/>
      <c r="F5" s="2355"/>
      <c r="G5" s="235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65931</v>
      </c>
      <c r="F10" s="975"/>
      <c r="G10" s="976"/>
      <c r="H10" s="162"/>
      <c r="I10" s="162"/>
    </row>
    <row r="11" spans="1:9" s="669" customFormat="1" ht="22.5" customHeight="1" x14ac:dyDescent="0.2">
      <c r="A11" s="2359" t="s">
        <v>1945</v>
      </c>
      <c r="B11" s="2360"/>
      <c r="C11" s="2360"/>
      <c r="D11" s="2361"/>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1830275</v>
      </c>
      <c r="F19" s="1822"/>
      <c r="G19" s="1824">
        <f>'Expenditures 15-22'!K33-SUM('Expenditures 15-22'!G33,'Expenditures 15-22'!I33)+'Expenditures 15-22'!D229</f>
        <v>1830275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130193</v>
      </c>
      <c r="F21" s="1825"/>
      <c r="G21" s="1828">
        <f>'Expenditures 15-22'!K42-SUM('Expenditures 15-22'!G42,'Expenditures 15-22'!I42)+'Expenditures 15-22'!K120-SUM('Expenditures 15-22'!G120,'Expenditures 15-22'!I120)+'Expenditures 15-22'!K180-SUM('Expenditures 15-22'!G180,'Expenditures 15-22'!I180)+'Expenditures 15-22'!D238</f>
        <v>130193</v>
      </c>
      <c r="H21" s="988"/>
      <c r="I21" s="162"/>
    </row>
    <row r="22" spans="1:9" s="669" customFormat="1" ht="12" customHeight="1" x14ac:dyDescent="0.2">
      <c r="A22" s="995" t="s">
        <v>585</v>
      </c>
      <c r="B22" s="996"/>
      <c r="C22" s="994">
        <v>2200</v>
      </c>
      <c r="D22" s="1825"/>
      <c r="E22" s="1827">
        <f>'Expenditures 15-22'!K47-SUM('Expenditures 15-22'!G47,'Expenditures 15-22'!I47)+'Expenditures 15-22'!D243</f>
        <v>116138</v>
      </c>
      <c r="F22" s="1825"/>
      <c r="G22" s="1828">
        <f>'Expenditures 15-22'!K47-SUM('Expenditures 15-22'!G47,'Expenditures 15-22'!I47)+'Expenditures 15-22'!D243</f>
        <v>116138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297707</v>
      </c>
      <c r="F23" s="1825"/>
      <c r="G23" s="1827">
        <f>'Expenditures 15-22'!K53-SUM('Expenditures 15-22'!G53,'Expenditures 15-22'!I53)+'Expenditures 15-22'!D257+'Expenditures 15-22'!K330-SUM('Expenditures 15-22'!G330,'Expenditures 15-22'!I330)</f>
        <v>297707</v>
      </c>
      <c r="H23" s="988"/>
      <c r="I23" s="162"/>
    </row>
    <row r="24" spans="1:9" s="669" customFormat="1" ht="12" customHeight="1" x14ac:dyDescent="0.2">
      <c r="A24" s="995" t="s">
        <v>587</v>
      </c>
      <c r="B24" s="996"/>
      <c r="C24" s="994">
        <v>2400</v>
      </c>
      <c r="D24" s="1825"/>
      <c r="E24" s="1827">
        <f>'Expenditures 15-22'!K57-SUM('Expenditures 15-22'!G57,'Expenditures 15-22'!I57)+'Expenditures 15-22'!D261</f>
        <v>119850</v>
      </c>
      <c r="F24" s="1825"/>
      <c r="G24" s="1828">
        <f>'Expenditures 15-22'!K57-SUM('Expenditures 15-22'!G57,'Expenditures 15-22'!I57)+'Expenditures 15-22'!D261</f>
        <v>119850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49949</v>
      </c>
      <c r="E26" s="1827">
        <f>'Expenditures 15-22'!K122-SUM('Expenditures 15-22'!G122,'Expenditures 15-22'!I122)+E7</f>
        <v>0</v>
      </c>
      <c r="F26" s="1827">
        <f>'Expenditures 15-22'!K59-SUM('Expenditures 15-22'!G59,'Expenditures 15-22'!I59)+'Expenditures 15-22'!D263-E7</f>
        <v>49949</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314486</v>
      </c>
      <c r="F28" s="1829">
        <f>'Expenditures 15-22'!K61-SUM('Expenditures 15-22'!G61,'Expenditures 15-22'!I61)+'Expenditures 15-22'!K124-SUM('Expenditures 15-22'!G124,'Expenditures 15-22'!I124)+'Expenditures 15-22'!D266-E9</f>
        <v>314486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187544</v>
      </c>
      <c r="F29" s="1825"/>
      <c r="G29" s="1828">
        <f>'Expenditures 15-22'!K62-SUM('Expenditures 15-22'!G62,'Expenditures 15-22'!I62)+'Expenditures 15-22'!K125-SUM('Expenditures 15-22'!G125,'Expenditures 15-22'!I125)+'Expenditures 15-22'!K182-SUM('Expenditures 15-22'!G182,'Expenditures 15-22'!I182)+'Expenditures 15-22'!D267</f>
        <v>187544</v>
      </c>
      <c r="H29" s="986"/>
    </row>
    <row r="30" spans="1:9" ht="12" customHeight="1" x14ac:dyDescent="0.2">
      <c r="A30" s="995" t="s">
        <v>102</v>
      </c>
      <c r="B30" s="998"/>
      <c r="C30" s="994">
        <v>2560</v>
      </c>
      <c r="D30" s="1825"/>
      <c r="E30" s="1827">
        <f>'Expenditures 15-22'!K63-SUM('Expenditures 15-22'!G63,'Expenditures 15-22'!I63)+'Expenditures 15-22'!D268-E10</f>
        <v>56905</v>
      </c>
      <c r="F30" s="1825"/>
      <c r="G30" s="1827">
        <f>'Expenditures 15-22'!K63-SUM('Expenditures 15-22'!G63,'Expenditures 15-22'!I63)+'Expenditures 15-22'!D268-E10</f>
        <v>56905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1035</v>
      </c>
      <c r="F38" s="1825"/>
      <c r="G38" s="1827">
        <f>'Expenditures 15-22'!K73-SUM('Expenditures 15-22'!G73,'Expenditures 15-22'!I73)+'Expenditures 15-22'!K128-SUM('Expenditures 15-22'!G128,'Expenditures 15-22'!I128)+'Expenditures 15-22'!K183-SUM('Expenditures 15-22'!G183,'Expenditures 15-22'!I183)+'Expenditures 15-22'!D278</f>
        <v>1035</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49949</v>
      </c>
      <c r="E41" s="1829">
        <f>SUM(E19:E40)</f>
        <v>3054133</v>
      </c>
      <c r="F41" s="1829">
        <f>SUM(F19:F39)</f>
        <v>364435</v>
      </c>
      <c r="G41" s="1829">
        <f>SUM(G19:G40)</f>
        <v>2739647</v>
      </c>
    </row>
    <row r="42" spans="1:7" x14ac:dyDescent="0.2">
      <c r="A42" s="988"/>
      <c r="B42" s="162"/>
      <c r="C42" s="1002"/>
      <c r="D42" s="2357" t="s">
        <v>543</v>
      </c>
      <c r="E42" s="2358"/>
      <c r="F42" s="1003" t="s">
        <v>544</v>
      </c>
      <c r="G42" s="1004"/>
    </row>
    <row r="43" spans="1:7" ht="12" customHeight="1" x14ac:dyDescent="0.2">
      <c r="A43" s="988"/>
      <c r="B43" s="162"/>
      <c r="C43" s="1002"/>
      <c r="D43" s="1830" t="s">
        <v>493</v>
      </c>
      <c r="E43" s="1831">
        <f>D41</f>
        <v>49949</v>
      </c>
      <c r="F43" s="1830" t="s">
        <v>495</v>
      </c>
      <c r="G43" s="1831">
        <f>F41</f>
        <v>364435</v>
      </c>
    </row>
    <row r="44" spans="1:7" ht="12" customHeight="1" x14ac:dyDescent="0.2">
      <c r="A44" s="988"/>
      <c r="B44" s="162"/>
      <c r="C44" s="1002"/>
      <c r="D44" s="1830" t="s">
        <v>494</v>
      </c>
      <c r="E44" s="1831">
        <f>E41</f>
        <v>3054133</v>
      </c>
      <c r="F44" s="1830" t="s">
        <v>494</v>
      </c>
      <c r="G44" s="1831">
        <f>G41</f>
        <v>2739647</v>
      </c>
    </row>
    <row r="45" spans="1:7" ht="12" customHeight="1" x14ac:dyDescent="0.2">
      <c r="A45" s="988"/>
      <c r="B45" s="162"/>
      <c r="C45" s="162"/>
      <c r="D45" s="1832" t="s">
        <v>1063</v>
      </c>
      <c r="E45" s="1833">
        <f>(E43/E44)</f>
        <v>1.6354559542757306E-2</v>
      </c>
      <c r="F45" s="1832" t="s">
        <v>1063</v>
      </c>
      <c r="G45" s="1833">
        <f>(G43/G44)</f>
        <v>0.13302261203724422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gridLine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D1"/>
      <selection pane="bottomLeft"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284" t="s">
        <v>1446</v>
      </c>
      <c r="B1" s="2284"/>
      <c r="C1" s="2284"/>
      <c r="D1" s="2284"/>
      <c r="E1" s="2284"/>
      <c r="F1" s="2284"/>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285" t="s">
        <v>1627</v>
      </c>
      <c r="B5" s="2286"/>
      <c r="C5" s="2287"/>
      <c r="D5" s="2287"/>
      <c r="E5" s="2287"/>
      <c r="F5" s="2287"/>
    </row>
    <row r="6" spans="1:10" ht="12" customHeight="1" x14ac:dyDescent="0.25">
      <c r="A6" s="1875"/>
      <c r="B6" s="1876"/>
      <c r="C6" s="2288" t="str">
        <f>COVER!A17</f>
        <v>Vienna HSD 13-3</v>
      </c>
      <c r="D6" s="2288"/>
      <c r="E6" s="2288"/>
      <c r="F6" s="1877"/>
    </row>
    <row r="7" spans="1:10" ht="11.25" customHeight="1" thickBot="1" x14ac:dyDescent="0.3">
      <c r="A7" s="1875"/>
      <c r="B7" s="1876"/>
      <c r="C7" s="2289">
        <f>COVER!A13</f>
        <v>21044013317</v>
      </c>
      <c r="D7" s="2289"/>
      <c r="E7" s="2289"/>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2097</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c r="F31" s="1892" t="s">
        <v>2098</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290"/>
      <c r="D35" s="2290"/>
      <c r="E35" s="2290"/>
      <c r="F35" s="2291"/>
    </row>
    <row r="36" spans="1:11" ht="12" customHeight="1" x14ac:dyDescent="0.2">
      <c r="A36" s="2281"/>
      <c r="B36" s="2282"/>
      <c r="C36" s="2282"/>
      <c r="D36" s="2282"/>
      <c r="E36" s="2282"/>
      <c r="F36" s="2283"/>
    </row>
    <row r="37" spans="1:11" ht="12" customHeight="1" x14ac:dyDescent="0.2">
      <c r="A37" s="2281"/>
      <c r="B37" s="2282"/>
      <c r="C37" s="2282"/>
      <c r="D37" s="2282"/>
      <c r="E37" s="2282"/>
      <c r="F37" s="2283"/>
    </row>
    <row r="38" spans="1:11" ht="12" customHeight="1" x14ac:dyDescent="0.2">
      <c r="A38" s="2295"/>
      <c r="B38" s="2296"/>
      <c r="C38" s="2296"/>
      <c r="D38" s="2296"/>
      <c r="E38" s="2296"/>
      <c r="F38" s="2297"/>
    </row>
    <row r="39" spans="1:11" ht="4.5" hidden="1" customHeight="1" x14ac:dyDescent="0.2">
      <c r="A39" s="1898"/>
      <c r="B39" s="1898"/>
      <c r="C39" s="1898"/>
      <c r="D39" s="1898"/>
      <c r="E39" s="1898"/>
      <c r="F39" s="1898"/>
    </row>
    <row r="40" spans="1:11" s="1895" customFormat="1" ht="12" customHeight="1" x14ac:dyDescent="0.25">
      <c r="A40" s="1899" t="s">
        <v>1458</v>
      </c>
      <c r="B40" s="1900"/>
      <c r="C40" s="2298"/>
      <c r="D40" s="2298"/>
      <c r="E40" s="2298"/>
      <c r="F40" s="2299"/>
      <c r="H40" s="1904"/>
      <c r="I40" s="1904"/>
      <c r="J40" s="1904"/>
      <c r="K40" s="1904"/>
    </row>
    <row r="41" spans="1:11" s="1895" customFormat="1" ht="12" customHeight="1" x14ac:dyDescent="0.25">
      <c r="A41" s="2300"/>
      <c r="B41" s="2301"/>
      <c r="C41" s="2301"/>
      <c r="D41" s="2301"/>
      <c r="E41" s="2301"/>
      <c r="F41" s="2302"/>
      <c r="H41" s="1904"/>
      <c r="I41" s="1904"/>
      <c r="J41" s="1904"/>
      <c r="K41" s="1904"/>
    </row>
    <row r="42" spans="1:11" s="1895" customFormat="1" ht="12" customHeight="1" x14ac:dyDescent="0.25">
      <c r="A42" s="2300"/>
      <c r="B42" s="2301"/>
      <c r="C42" s="2301"/>
      <c r="D42" s="2301"/>
      <c r="E42" s="2301"/>
      <c r="F42" s="2302"/>
      <c r="H42" s="1904"/>
      <c r="I42" s="1904"/>
      <c r="J42" s="1904"/>
      <c r="K42" s="1904"/>
    </row>
    <row r="43" spans="1:11" s="1895" customFormat="1" ht="15" x14ac:dyDescent="0.25">
      <c r="A43" s="2292"/>
      <c r="B43" s="2293"/>
      <c r="C43" s="2293"/>
      <c r="D43" s="2293"/>
      <c r="E43" s="2293"/>
      <c r="F43" s="2294"/>
      <c r="H43" s="1904"/>
      <c r="I43" s="1904"/>
      <c r="J43" s="1904"/>
      <c r="K43" s="1904"/>
    </row>
    <row r="44" spans="1:11" s="1895" customFormat="1" ht="12" hidden="1" customHeight="1" x14ac:dyDescent="0.25">
      <c r="A44" s="2292"/>
      <c r="B44" s="2293"/>
      <c r="C44" s="2293"/>
      <c r="D44" s="2293"/>
      <c r="E44" s="2293"/>
      <c r="F44" s="2294"/>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verticalCentered="1" gridLines="1"/>
  <pageMargins left="1" right="1" top="0.75" bottom="0.75" header="0.5" footer="0.5"/>
  <pageSetup scale="67"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sqref="A1:D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67" t="str">
        <f>COVER!A17</f>
        <v>Vienna HSD 13-3</v>
      </c>
      <c r="J6" s="2368"/>
      <c r="Q6" s="1686"/>
    </row>
    <row r="7" spans="1:17" x14ac:dyDescent="0.2">
      <c r="A7" s="2369" t="s">
        <v>924</v>
      </c>
      <c r="B7" s="2370"/>
      <c r="C7" s="2370"/>
      <c r="D7" s="2370"/>
      <c r="E7" s="2371"/>
      <c r="F7" s="1018"/>
      <c r="G7" s="1010"/>
      <c r="H7" s="1017" t="s">
        <v>390</v>
      </c>
      <c r="I7" s="2372">
        <f>COVER!A13</f>
        <v>21044013317</v>
      </c>
      <c r="J7" s="237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3" t="s">
        <v>502</v>
      </c>
      <c r="B11" s="2374"/>
      <c r="C11" s="237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160585</v>
      </c>
      <c r="F12" s="1040"/>
      <c r="G12" s="1834">
        <f t="shared" ref="G12:G18" si="0">SUM(E12:F12)</f>
        <v>160585</v>
      </c>
      <c r="H12" s="1041">
        <v>162091</v>
      </c>
      <c r="I12" s="1040"/>
      <c r="J12" s="1834">
        <f t="shared" ref="J12:J18" si="1">SUM(H12:I12)</f>
        <v>162091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44150</v>
      </c>
      <c r="F15" s="1834">
        <f>'Expenditures 15-22'!K122</f>
        <v>0</v>
      </c>
      <c r="G15" s="1834">
        <f t="shared" si="0"/>
        <v>44150</v>
      </c>
      <c r="H15" s="1041">
        <v>45856</v>
      </c>
      <c r="I15" s="1041"/>
      <c r="J15" s="1834">
        <f t="shared" si="1"/>
        <v>45856</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76" t="s">
        <v>7</v>
      </c>
      <c r="C18" s="2377"/>
      <c r="D18" s="237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204735</v>
      </c>
      <c r="F19" s="1836">
        <f t="shared" si="2"/>
        <v>0</v>
      </c>
      <c r="G19" s="1836">
        <f t="shared" si="2"/>
        <v>204735</v>
      </c>
      <c r="H19" s="1836">
        <f t="shared" si="2"/>
        <v>207947</v>
      </c>
      <c r="I19" s="1836">
        <f t="shared" si="2"/>
        <v>0</v>
      </c>
      <c r="J19" s="1836">
        <f t="shared" si="2"/>
        <v>207947</v>
      </c>
    </row>
    <row r="20" spans="1:10" ht="13.5" thickTop="1" x14ac:dyDescent="0.2">
      <c r="A20" s="1036">
        <v>9</v>
      </c>
      <c r="B20" s="2379" t="s">
        <v>1703</v>
      </c>
      <c r="C20" s="2379"/>
      <c r="D20" s="2380"/>
      <c r="E20" s="1047"/>
      <c r="F20" s="1047"/>
      <c r="G20" s="1047"/>
      <c r="H20" s="1047"/>
      <c r="I20" s="1047"/>
      <c r="J20" s="1837">
        <f>IF(AND(G19&gt;0,J19&gt;0),(((J19-G19)/G19)),"Enter Budget Data")</f>
        <v>1.5688573033433462E-2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5"/>
      <c r="D26" s="2385"/>
      <c r="E26" s="1051"/>
      <c r="F26" s="2384"/>
      <c r="G26" s="2384"/>
    </row>
    <row r="27" spans="1:10" x14ac:dyDescent="0.2">
      <c r="B27" s="1048"/>
      <c r="C27" s="1052" t="s">
        <v>1093</v>
      </c>
      <c r="D27" s="1053"/>
      <c r="E27" s="1054"/>
      <c r="F27" s="2381" t="s">
        <v>1589</v>
      </c>
      <c r="G27" s="2381"/>
    </row>
    <row r="28" spans="1:10" ht="28.5" customHeight="1" x14ac:dyDescent="0.2">
      <c r="B28" s="1048"/>
      <c r="C28" s="2383"/>
      <c r="D28" s="2383"/>
      <c r="E28" s="1055"/>
      <c r="F28" s="2383"/>
      <c r="G28" s="2383"/>
    </row>
    <row r="29" spans="1:10" x14ac:dyDescent="0.2">
      <c r="B29" s="1048"/>
      <c r="C29" s="1056" t="s">
        <v>1642</v>
      </c>
      <c r="E29" s="1057"/>
      <c r="F29" s="2382" t="s">
        <v>1590</v>
      </c>
      <c r="G29" s="238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4" t="s">
        <v>134</v>
      </c>
      <c r="D33" s="2365"/>
      <c r="E33" s="2365"/>
      <c r="F33" s="2365"/>
      <c r="G33" s="2365"/>
      <c r="H33" s="2365"/>
      <c r="I33" s="2365"/>
    </row>
    <row r="34" spans="1:10" ht="10.35" customHeight="1" x14ac:dyDescent="0.2">
      <c r="C34" s="2365"/>
      <c r="D34" s="2365"/>
      <c r="E34" s="2365"/>
      <c r="F34" s="2365"/>
      <c r="G34" s="2365"/>
      <c r="H34" s="2365"/>
      <c r="I34" s="2365"/>
    </row>
    <row r="35" spans="1:10" ht="7.5" customHeight="1" x14ac:dyDescent="0.2">
      <c r="C35" s="1063"/>
    </row>
    <row r="36" spans="1:10" ht="13.5" customHeight="1" x14ac:dyDescent="0.2">
      <c r="B36" s="1062"/>
      <c r="C36" s="2366" t="s">
        <v>1944</v>
      </c>
      <c r="D36" s="2365"/>
      <c r="E36" s="2365"/>
      <c r="F36" s="2365"/>
      <c r="G36" s="2365"/>
      <c r="H36" s="2365"/>
      <c r="I36" s="2365"/>
      <c r="J36" s="1064"/>
    </row>
    <row r="37" spans="1:10" ht="22.5" customHeight="1" x14ac:dyDescent="0.2">
      <c r="C37" s="2365"/>
      <c r="D37" s="2365"/>
      <c r="E37" s="2365"/>
      <c r="F37" s="2365"/>
      <c r="G37" s="2365"/>
      <c r="H37" s="2365"/>
      <c r="I37" s="2365"/>
      <c r="J37" s="1064"/>
    </row>
    <row r="38" spans="1:10" ht="7.5" customHeight="1" x14ac:dyDescent="0.2">
      <c r="C38" s="1063"/>
      <c r="D38" s="1065"/>
      <c r="E38" s="1066"/>
      <c r="F38" s="1067"/>
      <c r="G38" s="1066"/>
    </row>
    <row r="39" spans="1:10" ht="13.5" customHeight="1" x14ac:dyDescent="0.2">
      <c r="B39" s="1062"/>
      <c r="C39" s="2362" t="s">
        <v>937</v>
      </c>
      <c r="D39" s="2363"/>
      <c r="E39" s="2363"/>
      <c r="F39" s="2363"/>
      <c r="G39" s="2363"/>
      <c r="H39" s="2363"/>
      <c r="I39" s="236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I68"/>
  <sheetViews>
    <sheetView showGridLines="0" topLeftCell="A22" zoomScale="110" zoomScaleNormal="110" workbookViewId="0">
      <selection sqref="A1:D1"/>
    </sheetView>
  </sheetViews>
  <sheetFormatPr defaultColWidth="9.140625" defaultRowHeight="12.75" x14ac:dyDescent="0.2"/>
  <cols>
    <col min="1" max="1" width="3" style="329" customWidth="1"/>
    <col min="2" max="2" width="7.7109375" style="329" customWidth="1"/>
    <col min="3" max="3" width="3.140625" style="329" customWidth="1"/>
    <col min="4" max="7" width="9.140625" style="329"/>
    <col min="8" max="8" width="10.85546875" style="329" customWidth="1"/>
    <col min="9" max="9" width="11" style="329" bestFit="1" customWidth="1"/>
    <col min="10" max="16384" width="9.140625" style="329"/>
  </cols>
  <sheetData>
    <row r="2" spans="1:9" x14ac:dyDescent="0.2">
      <c r="A2" s="389" t="s">
        <v>276</v>
      </c>
    </row>
    <row r="3" spans="1:9" x14ac:dyDescent="0.2">
      <c r="A3" s="329" t="s">
        <v>277</v>
      </c>
    </row>
    <row r="5" spans="1:9" x14ac:dyDescent="0.2">
      <c r="A5" s="1069">
        <v>1</v>
      </c>
      <c r="B5" s="329" t="s">
        <v>2101</v>
      </c>
    </row>
    <row r="6" spans="1:9" x14ac:dyDescent="0.2">
      <c r="B6" s="329" t="s">
        <v>2102</v>
      </c>
    </row>
    <row r="7" spans="1:9" x14ac:dyDescent="0.2">
      <c r="C7" s="329" t="s">
        <v>2103</v>
      </c>
      <c r="I7" s="1957">
        <v>1737</v>
      </c>
    </row>
    <row r="8" spans="1:9" x14ac:dyDescent="0.2">
      <c r="C8" s="329" t="s">
        <v>2104</v>
      </c>
      <c r="I8" s="1955">
        <v>3851</v>
      </c>
    </row>
    <row r="9" spans="1:9" ht="15" x14ac:dyDescent="0.35">
      <c r="A9" s="1070"/>
      <c r="C9" s="329" t="s">
        <v>2105</v>
      </c>
      <c r="I9" s="1956">
        <v>10016</v>
      </c>
    </row>
    <row r="10" spans="1:9" ht="15" x14ac:dyDescent="0.35">
      <c r="A10" s="1070"/>
      <c r="I10" s="1959">
        <f>SUM(I7:I9)</f>
        <v>15604</v>
      </c>
    </row>
    <row r="11" spans="1:9" x14ac:dyDescent="0.2">
      <c r="A11" s="1070"/>
    </row>
    <row r="12" spans="1:9" x14ac:dyDescent="0.2">
      <c r="A12" s="1069">
        <v>2</v>
      </c>
      <c r="B12" s="329" t="s">
        <v>2101</v>
      </c>
    </row>
    <row r="13" spans="1:9" x14ac:dyDescent="0.2">
      <c r="A13" s="1070"/>
      <c r="B13" s="329" t="s">
        <v>2106</v>
      </c>
    </row>
    <row r="14" spans="1:9" x14ac:dyDescent="0.2">
      <c r="A14" s="1070"/>
      <c r="C14" s="329" t="s">
        <v>2103</v>
      </c>
      <c r="I14" s="1961">
        <v>122</v>
      </c>
    </row>
    <row r="15" spans="1:9" x14ac:dyDescent="0.2">
      <c r="A15" s="1070"/>
    </row>
    <row r="16" spans="1:9" x14ac:dyDescent="0.2">
      <c r="A16" s="1069">
        <v>3</v>
      </c>
      <c r="B16" s="329" t="s">
        <v>2101</v>
      </c>
    </row>
    <row r="17" spans="1:9" x14ac:dyDescent="0.2">
      <c r="B17" s="329" t="s">
        <v>2107</v>
      </c>
    </row>
    <row r="18" spans="1:9" x14ac:dyDescent="0.2">
      <c r="C18" s="329" t="s">
        <v>2103</v>
      </c>
      <c r="I18" s="1961">
        <v>449</v>
      </c>
    </row>
    <row r="20" spans="1:9" x14ac:dyDescent="0.2">
      <c r="A20" s="1069">
        <v>4</v>
      </c>
      <c r="B20" s="329" t="s">
        <v>2108</v>
      </c>
    </row>
    <row r="21" spans="1:9" x14ac:dyDescent="0.2">
      <c r="A21" s="1070"/>
      <c r="B21" s="329" t="s">
        <v>2109</v>
      </c>
    </row>
    <row r="22" spans="1:9" x14ac:dyDescent="0.2">
      <c r="A22" s="1070"/>
      <c r="C22" s="329" t="s">
        <v>2110</v>
      </c>
      <c r="I22" s="1961">
        <v>20348</v>
      </c>
    </row>
    <row r="23" spans="1:9" x14ac:dyDescent="0.2">
      <c r="A23" s="1070"/>
    </row>
    <row r="24" spans="1:9" x14ac:dyDescent="0.2">
      <c r="A24" s="1962" t="s">
        <v>2111</v>
      </c>
      <c r="B24" s="329" t="s">
        <v>2139</v>
      </c>
    </row>
    <row r="25" spans="1:9" x14ac:dyDescent="0.2">
      <c r="A25" s="1069"/>
      <c r="B25" s="329" t="s">
        <v>2112</v>
      </c>
    </row>
    <row r="26" spans="1:9" x14ac:dyDescent="0.2">
      <c r="A26" s="1069"/>
      <c r="C26" s="329" t="s">
        <v>2113</v>
      </c>
      <c r="I26" s="1957">
        <v>4000</v>
      </c>
    </row>
    <row r="27" spans="1:9" ht="15" x14ac:dyDescent="0.35">
      <c r="A27" s="1069"/>
      <c r="C27" s="329" t="s">
        <v>2118</v>
      </c>
      <c r="I27" s="1956">
        <v>1042</v>
      </c>
    </row>
    <row r="28" spans="1:9" ht="15" x14ac:dyDescent="0.35">
      <c r="A28" s="1069"/>
      <c r="I28" s="1958">
        <f>I27+I26</f>
        <v>5042</v>
      </c>
    </row>
    <row r="29" spans="1:9" x14ac:dyDescent="0.2">
      <c r="A29" s="1069"/>
    </row>
    <row r="30" spans="1:9" x14ac:dyDescent="0.2">
      <c r="A30" s="1962" t="s">
        <v>2115</v>
      </c>
      <c r="B30" s="329" t="s">
        <v>2139</v>
      </c>
    </row>
    <row r="31" spans="1:9" x14ac:dyDescent="0.2">
      <c r="A31" s="1070"/>
      <c r="B31" s="329" t="s">
        <v>2114</v>
      </c>
    </row>
    <row r="32" spans="1:9" ht="15" x14ac:dyDescent="0.35">
      <c r="A32" s="1070"/>
      <c r="C32" s="329" t="s">
        <v>2118</v>
      </c>
      <c r="I32" s="1958">
        <v>1593</v>
      </c>
    </row>
    <row r="33" spans="1:9" x14ac:dyDescent="0.2">
      <c r="A33" s="1070"/>
    </row>
    <row r="34" spans="1:9" x14ac:dyDescent="0.2">
      <c r="A34" s="1962">
        <v>7</v>
      </c>
      <c r="B34" s="329" t="s">
        <v>2139</v>
      </c>
    </row>
    <row r="35" spans="1:9" x14ac:dyDescent="0.2">
      <c r="A35" s="1070"/>
      <c r="B35" s="329" t="s">
        <v>2114</v>
      </c>
    </row>
    <row r="36" spans="1:9" ht="15" x14ac:dyDescent="0.35">
      <c r="A36" s="1070"/>
      <c r="C36" s="329" t="s">
        <v>2118</v>
      </c>
      <c r="I36" s="1958">
        <v>460</v>
      </c>
    </row>
    <row r="37" spans="1:9" x14ac:dyDescent="0.2">
      <c r="A37" s="1070"/>
    </row>
    <row r="38" spans="1:9" x14ac:dyDescent="0.2">
      <c r="A38" s="1963" t="s">
        <v>2116</v>
      </c>
      <c r="B38" s="329" t="s">
        <v>2120</v>
      </c>
    </row>
    <row r="39" spans="1:9" x14ac:dyDescent="0.2">
      <c r="A39" s="1962"/>
      <c r="B39" s="329" t="s">
        <v>2117</v>
      </c>
    </row>
    <row r="40" spans="1:9" ht="15" x14ac:dyDescent="0.35">
      <c r="A40" s="1962"/>
      <c r="C40" s="329" t="s">
        <v>2119</v>
      </c>
      <c r="I40" s="1958">
        <v>47705</v>
      </c>
    </row>
    <row r="41" spans="1:9" x14ac:dyDescent="0.2">
      <c r="A41" s="1962"/>
    </row>
    <row r="42" spans="1:9" x14ac:dyDescent="0.2">
      <c r="A42" s="1962">
        <v>9</v>
      </c>
      <c r="B42" s="329" t="s">
        <v>2121</v>
      </c>
    </row>
    <row r="43" spans="1:9" x14ac:dyDescent="0.2">
      <c r="A43" s="1070"/>
      <c r="B43" s="329" t="s">
        <v>2122</v>
      </c>
    </row>
    <row r="44" spans="1:9" ht="15" x14ac:dyDescent="0.35">
      <c r="A44" s="1070"/>
      <c r="C44" s="329" t="s">
        <v>2123</v>
      </c>
      <c r="I44" s="1958">
        <v>4999</v>
      </c>
    </row>
    <row r="45" spans="1:9" x14ac:dyDescent="0.2">
      <c r="A45" s="1070"/>
      <c r="I45" s="1960"/>
    </row>
    <row r="46" spans="1:9" x14ac:dyDescent="0.2">
      <c r="A46" s="1962">
        <v>10</v>
      </c>
      <c r="B46" s="329" t="s">
        <v>2124</v>
      </c>
    </row>
    <row r="47" spans="1:9" x14ac:dyDescent="0.2">
      <c r="A47" s="1962"/>
      <c r="B47" s="329" t="s">
        <v>2125</v>
      </c>
    </row>
    <row r="48" spans="1:9" x14ac:dyDescent="0.2">
      <c r="A48" s="1962"/>
      <c r="C48" s="329" t="s">
        <v>2126</v>
      </c>
      <c r="I48" s="1961">
        <v>1035</v>
      </c>
    </row>
    <row r="49" spans="1:9" x14ac:dyDescent="0.2">
      <c r="A49" s="1962"/>
    </row>
    <row r="50" spans="1:9" x14ac:dyDescent="0.2">
      <c r="A50" s="1962">
        <v>11</v>
      </c>
      <c r="B50" s="329" t="s">
        <v>2129</v>
      </c>
    </row>
    <row r="51" spans="1:9" x14ac:dyDescent="0.2">
      <c r="A51" s="1962"/>
      <c r="B51" s="329" t="s">
        <v>2130</v>
      </c>
    </row>
    <row r="52" spans="1:9" ht="15" x14ac:dyDescent="0.35">
      <c r="A52" s="1962"/>
      <c r="C52" s="329" t="s">
        <v>2131</v>
      </c>
      <c r="I52" s="1958">
        <v>3586</v>
      </c>
    </row>
    <row r="53" spans="1:9" x14ac:dyDescent="0.2">
      <c r="A53" s="1962"/>
    </row>
    <row r="54" spans="1:9" x14ac:dyDescent="0.2">
      <c r="A54" s="1962">
        <v>12</v>
      </c>
      <c r="B54" s="329" t="s">
        <v>2127</v>
      </c>
    </row>
    <row r="55" spans="1:9" x14ac:dyDescent="0.2">
      <c r="A55" s="1070"/>
      <c r="B55" s="329" t="s">
        <v>2128</v>
      </c>
    </row>
    <row r="56" spans="1:9" x14ac:dyDescent="0.2">
      <c r="A56" s="1070"/>
      <c r="C56" s="329" t="s">
        <v>2132</v>
      </c>
      <c r="I56" s="1957">
        <v>35495</v>
      </c>
    </row>
    <row r="57" spans="1:9" ht="15" x14ac:dyDescent="0.35">
      <c r="A57" s="1070"/>
      <c r="C57" s="329" t="s">
        <v>2133</v>
      </c>
      <c r="I57" s="1956">
        <v>500</v>
      </c>
    </row>
    <row r="58" spans="1:9" ht="15" x14ac:dyDescent="0.35">
      <c r="A58" s="1070"/>
      <c r="I58" s="1958">
        <f>I56+I57</f>
        <v>35995</v>
      </c>
    </row>
    <row r="59" spans="1:9" x14ac:dyDescent="0.2">
      <c r="A59" s="1070"/>
    </row>
    <row r="60" spans="1:9" x14ac:dyDescent="0.2">
      <c r="A60" s="1962">
        <v>13</v>
      </c>
      <c r="B60" s="329" t="s">
        <v>2134</v>
      </c>
    </row>
    <row r="61" spans="1:9" x14ac:dyDescent="0.2">
      <c r="A61" s="1070"/>
      <c r="B61" s="329" t="s">
        <v>2135</v>
      </c>
    </row>
    <row r="62" spans="1:9" x14ac:dyDescent="0.2">
      <c r="A62" s="1070"/>
      <c r="C62" s="329" t="s">
        <v>2136</v>
      </c>
      <c r="I62" s="1957">
        <v>1500</v>
      </c>
    </row>
    <row r="63" spans="1:9" x14ac:dyDescent="0.2">
      <c r="A63" s="1070"/>
      <c r="C63" s="329" t="s">
        <v>2137</v>
      </c>
      <c r="I63" s="1955">
        <v>9651</v>
      </c>
    </row>
    <row r="64" spans="1:9" ht="15" x14ac:dyDescent="0.35">
      <c r="A64" s="1070"/>
      <c r="C64" s="329" t="s">
        <v>2138</v>
      </c>
      <c r="I64" s="1956">
        <v>5000</v>
      </c>
    </row>
    <row r="65" spans="1:9" ht="15" x14ac:dyDescent="0.35">
      <c r="A65" s="1070"/>
      <c r="I65" s="1958">
        <f>I62+I63+I64</f>
        <v>16151</v>
      </c>
    </row>
    <row r="66" spans="1:9" x14ac:dyDescent="0.2">
      <c r="A66" s="1070"/>
    </row>
    <row r="67" spans="1:9" x14ac:dyDescent="0.2">
      <c r="A67" s="1070"/>
      <c r="B67" s="258" t="str">
        <f>COVER!A17</f>
        <v>Vienna HSD 13-3</v>
      </c>
    </row>
    <row r="68" spans="1:9" x14ac:dyDescent="0.2">
      <c r="B68" s="1071">
        <f>COVER!A13</f>
        <v>21044013317</v>
      </c>
    </row>
  </sheetData>
  <protectedRanges>
    <protectedRange sqref="A5 A9:A16 B5:B29 A20:A29 A30:B53 B61:B62" name="Range1"/>
  </protectedRanges>
  <phoneticPr fontId="13" type="noConversion"/>
  <printOptions horizontalCentered="1" verticalCentered="1"/>
  <pageMargins left="1" right="1" top="1" bottom="1" header="0.5" footer="1"/>
  <pageSetup scale="74" firstPageNumber="32" orientation="portrait" useFirstPageNumber="1" r:id="rId1"/>
  <headerFooter alignWithMargins="0">
    <oddHeader xml:space="preserve">&amp;L&amp;8Page 33&amp;C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sqref="A1:D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D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sqref="A1:D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86" t="s">
        <v>1784</v>
      </c>
      <c r="B18" s="238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3" t="s">
        <v>1790</v>
      </c>
      <c r="B1" s="2304"/>
      <c r="C1" s="2304"/>
      <c r="D1" s="2304"/>
      <c r="E1" s="2304"/>
      <c r="F1" s="2305"/>
    </row>
    <row r="2" spans="1:8" ht="45" customHeight="1" x14ac:dyDescent="0.2">
      <c r="A2" s="2313" t="s">
        <v>1791</v>
      </c>
      <c r="B2" s="2314"/>
      <c r="C2" s="2314"/>
      <c r="D2" s="2314"/>
      <c r="E2" s="2314"/>
      <c r="F2" s="2315"/>
      <c r="G2" s="1075"/>
      <c r="H2" s="1075"/>
    </row>
    <row r="3" spans="1:8" ht="57" customHeight="1" x14ac:dyDescent="0.2">
      <c r="A3" s="2316" t="s">
        <v>1786</v>
      </c>
      <c r="B3" s="2317"/>
      <c r="C3" s="2317"/>
      <c r="D3" s="2317"/>
      <c r="E3" s="2317"/>
      <c r="F3" s="2318"/>
      <c r="G3" s="1075"/>
      <c r="H3" s="1075"/>
    </row>
    <row r="4" spans="1:8" ht="14.25" customHeight="1" x14ac:dyDescent="0.2">
      <c r="A4" s="2322" t="s">
        <v>2056</v>
      </c>
      <c r="B4" s="2323"/>
      <c r="C4" s="2323"/>
      <c r="D4" s="2323"/>
      <c r="E4" s="2323"/>
      <c r="F4" s="2324"/>
      <c r="G4" s="1075"/>
      <c r="H4" s="1075"/>
    </row>
    <row r="5" spans="1:8" ht="14.25" customHeight="1" x14ac:dyDescent="0.2">
      <c r="A5" s="2325" t="s">
        <v>2057</v>
      </c>
      <c r="B5" s="2326"/>
      <c r="C5" s="2326"/>
      <c r="D5" s="2326"/>
      <c r="E5" s="2326"/>
      <c r="F5" s="2327"/>
      <c r="G5" s="1075"/>
      <c r="H5" s="1075"/>
    </row>
    <row r="6" spans="1:8" s="1076" customFormat="1" ht="41.25" customHeight="1" x14ac:dyDescent="0.2">
      <c r="A6" s="2319" t="s">
        <v>1792</v>
      </c>
      <c r="B6" s="2320"/>
      <c r="C6" s="2320"/>
      <c r="D6" s="2320"/>
      <c r="E6" s="2320"/>
      <c r="F6" s="232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3023711</v>
      </c>
      <c r="C8" s="1838">
        <f>'Acct Summary 7-8'!D8</f>
        <v>325966</v>
      </c>
      <c r="D8" s="1838">
        <f>'Acct Summary 7-8'!F8</f>
        <v>231463</v>
      </c>
      <c r="E8" s="1838">
        <f>'Acct Summary 7-8'!I8</f>
        <v>34552</v>
      </c>
      <c r="F8" s="1838">
        <f>SUM(B8:E8)</f>
        <v>3615692</v>
      </c>
    </row>
    <row r="9" spans="1:8" s="1080" customFormat="1" ht="14.25" customHeight="1" thickBot="1" x14ac:dyDescent="0.25">
      <c r="A9" s="1079" t="s">
        <v>1436</v>
      </c>
      <c r="B9" s="1839">
        <f>'Acct Summary 7-8'!C17</f>
        <v>2703341</v>
      </c>
      <c r="C9" s="1839">
        <f>'Acct Summary 7-8'!D17</f>
        <v>294724</v>
      </c>
      <c r="D9" s="1839">
        <f>'Acct Summary 7-8'!F17</f>
        <v>168222</v>
      </c>
      <c r="E9" s="1838"/>
      <c r="F9" s="1838">
        <f>SUM(B9:E9)</f>
        <v>3166287</v>
      </c>
    </row>
    <row r="10" spans="1:8" s="1080" customFormat="1" ht="14.25" thickTop="1" thickBot="1" x14ac:dyDescent="0.25">
      <c r="A10" s="1081" t="s">
        <v>1437</v>
      </c>
      <c r="B10" s="1840">
        <f>(B8-B9)</f>
        <v>320370</v>
      </c>
      <c r="C10" s="1840">
        <f>(C8-C9)</f>
        <v>31242</v>
      </c>
      <c r="D10" s="1840">
        <f>(D8-D9)</f>
        <v>63241</v>
      </c>
      <c r="E10" s="1839">
        <f>(E8-E9)</f>
        <v>34552</v>
      </c>
      <c r="F10" s="1841">
        <f>SUM(F8-F9)</f>
        <v>449405</v>
      </c>
    </row>
    <row r="11" spans="1:8" s="1080" customFormat="1" ht="14.25" thickTop="1" thickBot="1" x14ac:dyDescent="0.25">
      <c r="A11" s="1082" t="s">
        <v>1785</v>
      </c>
      <c r="B11" s="1842">
        <f>'Acct Summary 7-8'!C81</f>
        <v>825763</v>
      </c>
      <c r="C11" s="1842">
        <f>'Acct Summary 7-8'!D81</f>
        <v>66934</v>
      </c>
      <c r="D11" s="1842">
        <f>'Acct Summary 7-8'!F81</f>
        <v>132095</v>
      </c>
      <c r="E11" s="1842">
        <f>'Acct Summary 7-8'!I81</f>
        <v>438869</v>
      </c>
      <c r="F11" s="1843">
        <f>SUM(B11:E11)</f>
        <v>1463661</v>
      </c>
    </row>
    <row r="12" spans="1:8" ht="16.5" customHeight="1" thickTop="1" x14ac:dyDescent="0.2">
      <c r="A12" s="1083"/>
      <c r="B12" s="1084"/>
      <c r="C12" s="2307" t="str">
        <f>IF(AND(F10&lt;0,F11&gt;=0,ABS(F10*3)&gt;ABS(F11)),A16,IF(AND(F10&lt;0,F11&gt;0,ABS(F10*3)&lt;=ABS(F11)),A17,IF(AND(F10&lt;0,F11&lt;0),A16,IF(F11=0,A19,A18))))</f>
        <v>Balanced - no deficit reduction plan is required.</v>
      </c>
      <c r="D12" s="2308"/>
      <c r="E12" s="2308"/>
      <c r="F12" s="2309"/>
    </row>
    <row r="13" spans="1:8" ht="19.5" customHeight="1" x14ac:dyDescent="0.2">
      <c r="A13" s="1085"/>
      <c r="B13" s="1086"/>
      <c r="C13" s="2307"/>
      <c r="D13" s="2308"/>
      <c r="E13" s="2308"/>
      <c r="F13" s="2309"/>
      <c r="H13" s="1075"/>
    </row>
    <row r="14" spans="1:8" ht="19.5" customHeight="1" x14ac:dyDescent="0.2">
      <c r="A14" s="1085"/>
      <c r="B14" s="1086"/>
      <c r="C14" s="2307"/>
      <c r="D14" s="2308"/>
      <c r="E14" s="2308"/>
      <c r="F14" s="2309"/>
      <c r="H14" s="1075"/>
    </row>
    <row r="15" spans="1:8" ht="17.25" customHeight="1" x14ac:dyDescent="0.2">
      <c r="A15" s="1085"/>
      <c r="B15" s="1086"/>
      <c r="C15" s="2310"/>
      <c r="D15" s="2311"/>
      <c r="E15" s="2311"/>
      <c r="F15" s="2312"/>
      <c r="H15" s="1075"/>
    </row>
    <row r="16" spans="1:8" s="310" customFormat="1" ht="51.75" hidden="1" customHeight="1" x14ac:dyDescent="0.2">
      <c r="A16" s="2306" t="s">
        <v>1787</v>
      </c>
      <c r="B16" s="2306"/>
      <c r="C16" s="2306"/>
      <c r="D16" s="2306"/>
      <c r="E16" s="230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gridLine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1" colorId="8" zoomScale="110" zoomScaleNormal="110" workbookViewId="0">
      <selection activeCell="D82" sqref="D8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7" t="s">
        <v>686</v>
      </c>
      <c r="B3" s="2388"/>
      <c r="C3" s="2388"/>
      <c r="D3" s="2389"/>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8" t="s">
        <v>1584</v>
      </c>
      <c r="D7" s="2399"/>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0" t="s">
        <v>1065</v>
      </c>
      <c r="B15" s="2391"/>
      <c r="C15" s="2391"/>
      <c r="D15" s="2392"/>
    </row>
    <row r="16" spans="1:4" s="669" customFormat="1" ht="24" customHeight="1" x14ac:dyDescent="0.2">
      <c r="A16" s="2393" t="s">
        <v>684</v>
      </c>
      <c r="B16" s="2394"/>
      <c r="C16" s="2394"/>
      <c r="D16" s="239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2" t="s">
        <v>332</v>
      </c>
      <c r="D21" s="2403"/>
    </row>
    <row r="22" spans="1:10" ht="12.75" x14ac:dyDescent="0.2">
      <c r="A22" s="1140"/>
      <c r="B22" s="1141">
        <v>2</v>
      </c>
      <c r="C22" s="2400" t="s">
        <v>1605</v>
      </c>
      <c r="D22" s="240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4" t="s">
        <v>557</v>
      </c>
      <c r="D43" s="240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6" t="s">
        <v>817</v>
      </c>
      <c r="D56" s="239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6" t="s">
        <v>1797</v>
      </c>
      <c r="D70" s="239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21044013317</v>
      </c>
    </row>
    <row r="3" spans="1:2" x14ac:dyDescent="0.2">
      <c r="A3" t="s">
        <v>1013</v>
      </c>
      <c r="B3" s="138" t="str">
        <f>COVER!A15</f>
        <v>Johnson</v>
      </c>
    </row>
    <row r="4" spans="1:2" x14ac:dyDescent="0.2">
      <c r="A4" t="s">
        <v>1064</v>
      </c>
      <c r="B4" s="138" t="str">
        <f>COVER!A17</f>
        <v>Vienna HSD 13-3</v>
      </c>
    </row>
    <row r="5" spans="1:2" x14ac:dyDescent="0.2">
      <c r="A5" t="s">
        <v>728</v>
      </c>
      <c r="B5" s="138" t="str">
        <f>COVER!A38</f>
        <v>Mr. Joshua Stafford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066-003889</v>
      </c>
    </row>
    <row r="16" spans="1:2" x14ac:dyDescent="0.2">
      <c r="A16" t="s">
        <v>442</v>
      </c>
      <c r="B16" s="138" t="str">
        <f>COVER!T13</f>
        <v>Beussink, Hey, Roe &amp; Stroder, LLC</v>
      </c>
    </row>
    <row r="17" spans="1:2" x14ac:dyDescent="0.2">
      <c r="A17" t="s">
        <v>939</v>
      </c>
      <c r="B17" s="138" t="str">
        <f>COVER!T15</f>
        <v>Jeffrey C. Stroder, CPA</v>
      </c>
    </row>
    <row r="18" spans="1:2" x14ac:dyDescent="0.2">
      <c r="A18" t="s">
        <v>1212</v>
      </c>
      <c r="B18" s="138" t="str">
        <f>COVER!T17</f>
        <v>16 South Silver Springs Road</v>
      </c>
    </row>
    <row r="19" spans="1:2" x14ac:dyDescent="0.2">
      <c r="A19" t="s">
        <v>941</v>
      </c>
      <c r="B19" s="138" t="str">
        <f>COVER!T25</f>
        <v>jstroder@bhrcpas.com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15604</v>
      </c>
      <c r="D76" s="2" t="str">
        <f t="shared" si="0"/>
        <v>Error?</v>
      </c>
    </row>
    <row r="77" spans="1:4" x14ac:dyDescent="0.2">
      <c r="A77" s="5">
        <v>16</v>
      </c>
      <c r="B77" s="138">
        <f>'Assets-Liab 5-6'!C13</f>
        <v>825763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825763</v>
      </c>
      <c r="D92" s="2" t="str">
        <f t="shared" si="0"/>
        <v>Error?</v>
      </c>
    </row>
    <row r="93" spans="1:4" x14ac:dyDescent="0.2">
      <c r="A93" s="5">
        <v>32</v>
      </c>
      <c r="B93" s="138">
        <f>'Assets-Liab 5-6'!C41</f>
        <v>825763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122</v>
      </c>
      <c r="D108" s="2" t="str">
        <f t="shared" si="0"/>
        <v>Error?</v>
      </c>
    </row>
    <row r="109" spans="1:4" x14ac:dyDescent="0.2">
      <c r="A109" s="5">
        <v>48</v>
      </c>
      <c r="B109" s="138">
        <f>'Assets-Liab 5-6'!D13</f>
        <v>66934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66934</v>
      </c>
      <c r="D123" s="2" t="str">
        <f t="shared" si="0"/>
        <v>Error?</v>
      </c>
    </row>
    <row r="124" spans="1:4" x14ac:dyDescent="0.2">
      <c r="A124" s="5">
        <v>63</v>
      </c>
      <c r="B124" s="138">
        <f>'Assets-Liab 5-6'!D41</f>
        <v>66934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6662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6662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449</v>
      </c>
      <c r="D156" s="2" t="str">
        <f t="shared" si="1"/>
        <v>Error?</v>
      </c>
    </row>
    <row r="157" spans="1:4" x14ac:dyDescent="0.2">
      <c r="A157" s="5">
        <v>96</v>
      </c>
      <c r="B157" s="138">
        <f>'Assets-Liab 5-6'!F13</f>
        <v>132095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132095</v>
      </c>
      <c r="D170" s="2" t="str">
        <f t="shared" si="1"/>
        <v>Error?</v>
      </c>
    </row>
    <row r="171" spans="1:4" x14ac:dyDescent="0.2">
      <c r="A171" s="5">
        <v>110</v>
      </c>
      <c r="B171" s="138">
        <f>'Assets-Liab 5-6'!F41</f>
        <v>132095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75531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75531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24695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24695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369555</v>
      </c>
      <c r="D273" s="2" t="str">
        <f t="shared" si="3"/>
        <v>Error?</v>
      </c>
    </row>
    <row r="274" spans="1:4" x14ac:dyDescent="0.2">
      <c r="A274" s="5">
        <v>213</v>
      </c>
      <c r="B274" s="138">
        <f>'Assets-Liab 5-6'!M17</f>
        <v>7415015</v>
      </c>
      <c r="D274" s="2" t="str">
        <f t="shared" si="3"/>
        <v>Error?</v>
      </c>
    </row>
    <row r="275" spans="1:4" x14ac:dyDescent="0.2">
      <c r="A275" s="5">
        <v>214</v>
      </c>
      <c r="B275" s="138">
        <f>'Assets-Liab 5-6'!M18</f>
        <v>261654</v>
      </c>
      <c r="D275" s="2" t="str">
        <f t="shared" si="3"/>
        <v>Error?</v>
      </c>
    </row>
    <row r="276" spans="1:4" x14ac:dyDescent="0.2">
      <c r="A276" s="5">
        <v>215</v>
      </c>
      <c r="B276" s="138">
        <f>'Assets-Liab 5-6'!M19</f>
        <v>1949483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10427639</v>
      </c>
      <c r="C279" s="2" t="s">
        <v>594</v>
      </c>
      <c r="D279" s="2" t="str">
        <f t="shared" si="3"/>
        <v>Error?</v>
      </c>
    </row>
    <row r="280" spans="1:4" x14ac:dyDescent="0.2">
      <c r="A280" s="5">
        <v>219</v>
      </c>
      <c r="B280" s="138">
        <f>'Assets-Liab 5-6'!M40</f>
        <v>10427639</v>
      </c>
      <c r="D280" s="2" t="str">
        <f t="shared" si="3"/>
        <v>Error?</v>
      </c>
    </row>
    <row r="281" spans="1:4" x14ac:dyDescent="0.2">
      <c r="A281" s="5">
        <v>220</v>
      </c>
      <c r="B281" s="138">
        <f>'Assets-Liab 5-6'!M41</f>
        <v>10427639</v>
      </c>
      <c r="C281" s="2" t="s">
        <v>594</v>
      </c>
      <c r="D281" s="2" t="str">
        <f t="shared" si="3"/>
        <v>Error?</v>
      </c>
    </row>
    <row r="282" spans="1:4" x14ac:dyDescent="0.2">
      <c r="A282" s="5">
        <v>221</v>
      </c>
      <c r="B282" s="138">
        <f>'Assets-Liab 5-6'!N21</f>
        <v>6662</v>
      </c>
      <c r="D282" s="2" t="str">
        <f t="shared" si="3"/>
        <v>Error?</v>
      </c>
    </row>
    <row r="283" spans="1:4" x14ac:dyDescent="0.2">
      <c r="A283" s="5">
        <v>222</v>
      </c>
      <c r="B283" s="138">
        <f>'Assets-Liab 5-6'!N22</f>
        <v>3584247</v>
      </c>
      <c r="D283" s="2" t="str">
        <f t="shared" si="3"/>
        <v>Error?</v>
      </c>
    </row>
    <row r="284" spans="1:4" x14ac:dyDescent="0.2">
      <c r="A284" s="5">
        <v>223</v>
      </c>
      <c r="B284" s="138">
        <f>'Assets-Liab 5-6'!N23</f>
        <v>3590909</v>
      </c>
      <c r="C284" s="2" t="s">
        <v>594</v>
      </c>
      <c r="D284" s="2" t="str">
        <f t="shared" si="3"/>
        <v>Error?</v>
      </c>
    </row>
    <row r="285" spans="1:4" x14ac:dyDescent="0.2">
      <c r="A285" s="5">
        <v>224</v>
      </c>
      <c r="B285" s="138">
        <f>'Assets-Liab 5-6'!N36</f>
        <v>3590909</v>
      </c>
      <c r="D285" s="2" t="str">
        <f t="shared" si="3"/>
        <v>Error?</v>
      </c>
    </row>
    <row r="286" spans="1:4" x14ac:dyDescent="0.2">
      <c r="A286" s="10">
        <v>225</v>
      </c>
      <c r="D286" s="2" t="str">
        <f t="shared" si="3"/>
        <v>OK</v>
      </c>
    </row>
    <row r="287" spans="1:4" x14ac:dyDescent="0.2">
      <c r="A287" s="5">
        <v>226</v>
      </c>
      <c r="B287" s="138">
        <f>'Assets-Liab 5-6'!N37</f>
        <v>3590909</v>
      </c>
      <c r="C287" s="2" t="s">
        <v>594</v>
      </c>
      <c r="D287" s="2" t="str">
        <f t="shared" si="3"/>
        <v>Error?</v>
      </c>
    </row>
    <row r="288" spans="1:4" x14ac:dyDescent="0.2">
      <c r="A288" s="5">
        <v>227</v>
      </c>
      <c r="B288" s="138">
        <f>'Assets-Liab 5-6'!N41</f>
        <v>3590909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837034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203589</v>
      </c>
      <c r="D717" s="2" t="str">
        <f t="shared" si="10"/>
        <v>Error?</v>
      </c>
    </row>
    <row r="718" spans="1:4" x14ac:dyDescent="0.2">
      <c r="A718" s="5">
        <v>657</v>
      </c>
      <c r="B718" s="138">
        <f>'Expenditures 15-22'!C14</f>
        <v>78946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1427214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63169</v>
      </c>
      <c r="D722" s="2" t="str">
        <f t="shared" si="10"/>
        <v>Error?</v>
      </c>
    </row>
    <row r="723" spans="1:4" x14ac:dyDescent="0.2">
      <c r="A723" s="5">
        <v>662</v>
      </c>
      <c r="B723" s="138">
        <f>'Expenditures 15-22'!C38</f>
        <v>39720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102889</v>
      </c>
      <c r="C727" s="2" t="s">
        <v>594</v>
      </c>
      <c r="D727" s="2" t="str">
        <f t="shared" si="10"/>
        <v>Error?</v>
      </c>
    </row>
    <row r="728" spans="1:4" x14ac:dyDescent="0.2">
      <c r="A728" s="5">
        <v>667</v>
      </c>
      <c r="B728" s="138">
        <f>'Expenditures 15-22'!C44</f>
        <v>6428</v>
      </c>
      <c r="D728" s="2" t="str">
        <f t="shared" si="10"/>
        <v>Error?</v>
      </c>
    </row>
    <row r="729" spans="1:4" x14ac:dyDescent="0.2">
      <c r="A729" s="5">
        <v>668</v>
      </c>
      <c r="B729" s="138">
        <f>'Expenditures 15-22'!C45</f>
        <v>22529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28957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128936</v>
      </c>
      <c r="D733" s="2" t="str">
        <f t="shared" si="10"/>
        <v>Error?</v>
      </c>
    </row>
    <row r="734" spans="1:4" x14ac:dyDescent="0.2">
      <c r="A734" s="5">
        <v>673</v>
      </c>
      <c r="B734" s="138">
        <f>'Expenditures 15-22'!C53</f>
        <v>128936</v>
      </c>
      <c r="C734" s="2" t="s">
        <v>594</v>
      </c>
      <c r="D734" s="2" t="str">
        <f t="shared" si="10"/>
        <v>Error?</v>
      </c>
    </row>
    <row r="735" spans="1:4" x14ac:dyDescent="0.2">
      <c r="A735" s="5">
        <v>674</v>
      </c>
      <c r="B735" s="138">
        <f>'Expenditures 15-22'!C55</f>
        <v>92519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92519</v>
      </c>
      <c r="C737" s="2" t="s">
        <v>594</v>
      </c>
      <c r="D737" s="2" t="str">
        <f t="shared" si="10"/>
        <v>Error?</v>
      </c>
    </row>
    <row r="738" spans="1:4" x14ac:dyDescent="0.2">
      <c r="A738" s="5">
        <v>677</v>
      </c>
      <c r="B738" s="138">
        <f>'Expenditures 15-22'!C59</f>
        <v>41620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35932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77552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430853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1858067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142884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35395</v>
      </c>
      <c r="D775" s="2" t="str">
        <f t="shared" si="11"/>
        <v>Error?</v>
      </c>
    </row>
    <row r="776" spans="1:4" x14ac:dyDescent="0.2">
      <c r="A776" s="5">
        <v>715</v>
      </c>
      <c r="B776" s="138">
        <f>'Expenditures 15-22'!D14</f>
        <v>5056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219484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7941</v>
      </c>
      <c r="D780" s="2" t="str">
        <f t="shared" si="11"/>
        <v>Error?</v>
      </c>
    </row>
    <row r="781" spans="1:4" x14ac:dyDescent="0.2">
      <c r="A781" s="5">
        <v>720</v>
      </c>
      <c r="B781" s="138">
        <f>'Expenditures 15-22'!D38</f>
        <v>3600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11541</v>
      </c>
      <c r="C785" s="2" t="s">
        <v>594</v>
      </c>
      <c r="D785" s="2" t="str">
        <f t="shared" si="11"/>
        <v>Error?</v>
      </c>
    </row>
    <row r="786" spans="1:4" x14ac:dyDescent="0.2">
      <c r="A786" s="5">
        <v>725</v>
      </c>
      <c r="B786" s="138">
        <f>'Expenditures 15-22'!D44</f>
        <v>883</v>
      </c>
      <c r="D786" s="2" t="str">
        <f t="shared" si="11"/>
        <v>Error?</v>
      </c>
    </row>
    <row r="787" spans="1:4" x14ac:dyDescent="0.2">
      <c r="A787" s="5">
        <v>726</v>
      </c>
      <c r="B787" s="138">
        <f>'Expenditures 15-22'!D45</f>
        <v>3201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4084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19284</v>
      </c>
      <c r="D791" s="2" t="str">
        <f t="shared" si="11"/>
        <v>Error?</v>
      </c>
    </row>
    <row r="792" spans="1:4" x14ac:dyDescent="0.2">
      <c r="A792" s="5">
        <v>731</v>
      </c>
      <c r="B792" s="138">
        <f>'Expenditures 15-22'!D53</f>
        <v>19284</v>
      </c>
      <c r="C792" s="2" t="s">
        <v>594</v>
      </c>
      <c r="D792" s="2" t="str">
        <f t="shared" si="11"/>
        <v>Error?</v>
      </c>
    </row>
    <row r="793" spans="1:4" x14ac:dyDescent="0.2">
      <c r="A793" s="5">
        <v>732</v>
      </c>
      <c r="B793" s="138">
        <f>'Expenditures 15-22'!D55</f>
        <v>2423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2423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3600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40932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260416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34527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1784</v>
      </c>
      <c r="D833" s="2" t="str">
        <f t="shared" si="12"/>
        <v>Error?</v>
      </c>
    </row>
    <row r="834" spans="1:4" x14ac:dyDescent="0.2">
      <c r="A834" s="5">
        <v>773</v>
      </c>
      <c r="B834" s="138">
        <f>'Expenditures 15-22'!E14</f>
        <v>12078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48581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5493</v>
      </c>
      <c r="D838" s="2" t="str">
        <f t="shared" si="12"/>
        <v>Error?</v>
      </c>
    </row>
    <row r="839" spans="1:4" x14ac:dyDescent="0.2">
      <c r="A839" s="5">
        <v>778</v>
      </c>
      <c r="B839" s="138">
        <f>'Expenditures 15-22'!E38</f>
        <v>202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5695</v>
      </c>
      <c r="C843" s="2" t="s">
        <v>594</v>
      </c>
      <c r="D843" s="2" t="str">
        <f t="shared" si="12"/>
        <v>Error?</v>
      </c>
    </row>
    <row r="844" spans="1:4" x14ac:dyDescent="0.2">
      <c r="A844" s="5">
        <v>783</v>
      </c>
      <c r="B844" s="138">
        <f>'Expenditures 15-22'!E44</f>
        <v>28027</v>
      </c>
      <c r="D844" s="2" t="str">
        <f t="shared" si="12"/>
        <v>Error?</v>
      </c>
    </row>
    <row r="845" spans="1:4" x14ac:dyDescent="0.2">
      <c r="A845" s="5">
        <v>784</v>
      </c>
      <c r="B845" s="138">
        <f>'Expenditures 15-22'!E45</f>
        <v>10163</v>
      </c>
      <c r="D845" s="2" t="str">
        <f t="shared" si="12"/>
        <v>Error?</v>
      </c>
    </row>
    <row r="846" spans="1:4" x14ac:dyDescent="0.2">
      <c r="A846" s="5">
        <v>785</v>
      </c>
      <c r="B846" s="138">
        <f>'Expenditures 15-22'!E46</f>
        <v>3878</v>
      </c>
      <c r="D846" s="2" t="str">
        <f t="shared" si="12"/>
        <v>Error?</v>
      </c>
    </row>
    <row r="847" spans="1:4" x14ac:dyDescent="0.2">
      <c r="A847" s="5">
        <v>786</v>
      </c>
      <c r="B847" s="138">
        <f>'Expenditures 15-22'!E47</f>
        <v>42068</v>
      </c>
      <c r="C847" s="2" t="s">
        <v>594</v>
      </c>
      <c r="D847" s="2" t="str">
        <f t="shared" si="12"/>
        <v>Error?</v>
      </c>
    </row>
    <row r="848" spans="1:4" x14ac:dyDescent="0.2">
      <c r="A848" s="5">
        <v>787</v>
      </c>
      <c r="B848" s="138">
        <f>'Expenditures 15-22'!E49</f>
        <v>16956</v>
      </c>
      <c r="D848" s="2" t="str">
        <f t="shared" si="12"/>
        <v>Error?</v>
      </c>
    </row>
    <row r="849" spans="1:4" x14ac:dyDescent="0.2">
      <c r="A849" s="5">
        <v>788</v>
      </c>
      <c r="B849" s="138">
        <f>'Expenditures 15-22'!E50</f>
        <v>6612</v>
      </c>
      <c r="D849" s="2" t="str">
        <f t="shared" si="12"/>
        <v>Error?</v>
      </c>
    </row>
    <row r="850" spans="1:4" x14ac:dyDescent="0.2">
      <c r="A850" s="5">
        <v>789</v>
      </c>
      <c r="B850" s="138">
        <f>'Expenditures 15-22'!E53</f>
        <v>23568</v>
      </c>
      <c r="C850" s="2" t="s">
        <v>594</v>
      </c>
      <c r="D850" s="2" t="str">
        <f t="shared" si="12"/>
        <v>Error?</v>
      </c>
    </row>
    <row r="851" spans="1:4" x14ac:dyDescent="0.2">
      <c r="A851" s="5">
        <v>790</v>
      </c>
      <c r="B851" s="138">
        <f>'Expenditures 15-22'!E55</f>
        <v>769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769</v>
      </c>
      <c r="C853" s="2" t="s">
        <v>594</v>
      </c>
      <c r="D853" s="2" t="str">
        <f t="shared" si="12"/>
        <v>Error?</v>
      </c>
    </row>
    <row r="854" spans="1:4" x14ac:dyDescent="0.2">
      <c r="A854" s="5">
        <v>793</v>
      </c>
      <c r="B854" s="138">
        <f>'Expenditures 15-22'!E59</f>
        <v>71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1370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1035</v>
      </c>
      <c r="D870" s="2" t="str">
        <f t="shared" si="12"/>
        <v>Error?</v>
      </c>
    </row>
    <row r="871" spans="1:4" x14ac:dyDescent="0.2">
      <c r="A871" s="5">
        <v>810</v>
      </c>
      <c r="B871" s="138">
        <f>'Expenditures 15-22'!E74</f>
        <v>74505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203137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26068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6182</v>
      </c>
      <c r="D891" s="2" t="str">
        <f t="shared" si="12"/>
        <v>Error?</v>
      </c>
    </row>
    <row r="892" spans="1:4" x14ac:dyDescent="0.2">
      <c r="A892" s="5">
        <v>831</v>
      </c>
      <c r="B892" s="138">
        <f>'Expenditures 15-22'!F14</f>
        <v>13649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71214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359</v>
      </c>
      <c r="D896" s="2" t="str">
        <f t="shared" si="13"/>
        <v>Error?</v>
      </c>
    </row>
    <row r="897" spans="1:4" x14ac:dyDescent="0.2">
      <c r="A897" s="5">
        <v>836</v>
      </c>
      <c r="B897" s="138">
        <f>'Expenditures 15-22'!F38</f>
        <v>698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1057</v>
      </c>
      <c r="C901" s="2" t="s">
        <v>594</v>
      </c>
      <c r="D901" s="2" t="str">
        <f t="shared" si="13"/>
        <v>Error?</v>
      </c>
    </row>
    <row r="902" spans="1:4" x14ac:dyDescent="0.2">
      <c r="A902" s="5">
        <v>841</v>
      </c>
      <c r="B902" s="138">
        <f>'Expenditures 15-22'!F44</f>
        <v>10368</v>
      </c>
      <c r="D902" s="2" t="str">
        <f t="shared" si="13"/>
        <v>Error?</v>
      </c>
    </row>
    <row r="903" spans="1:4" x14ac:dyDescent="0.2">
      <c r="A903" s="5">
        <v>842</v>
      </c>
      <c r="B903" s="138">
        <f>'Expenditures 15-22'!F45</f>
        <v>26182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36550</v>
      </c>
      <c r="C905" s="2" t="s">
        <v>594</v>
      </c>
      <c r="D905" s="2" t="str">
        <f t="shared" si="13"/>
        <v>Error?</v>
      </c>
    </row>
    <row r="906" spans="1:4" x14ac:dyDescent="0.2">
      <c r="A906" s="5">
        <v>845</v>
      </c>
      <c r="B906" s="138">
        <f>'Expenditures 15-22'!F49</f>
        <v>474</v>
      </c>
      <c r="D906" s="2" t="str">
        <f t="shared" si="13"/>
        <v>Error?</v>
      </c>
    </row>
    <row r="907" spans="1:4" x14ac:dyDescent="0.2">
      <c r="A907" s="5">
        <v>846</v>
      </c>
      <c r="B907" s="138">
        <f>'Expenditures 15-22'!F50</f>
        <v>1997</v>
      </c>
      <c r="D907" s="2" t="str">
        <f t="shared" si="13"/>
        <v>Error?</v>
      </c>
    </row>
    <row r="908" spans="1:4" x14ac:dyDescent="0.2">
      <c r="A908" s="5">
        <v>847</v>
      </c>
      <c r="B908" s="138">
        <f>'Expenditures 15-22'!F53</f>
        <v>2471</v>
      </c>
      <c r="C908" s="2" t="s">
        <v>594</v>
      </c>
      <c r="D908" s="2" t="str">
        <f t="shared" si="13"/>
        <v>Error?</v>
      </c>
    </row>
    <row r="909" spans="1:4" x14ac:dyDescent="0.2">
      <c r="A909" s="5">
        <v>848</v>
      </c>
      <c r="B909" s="138">
        <f>'Expenditures 15-22'!F55</f>
        <v>3870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3870</v>
      </c>
      <c r="C911" s="2" t="s">
        <v>594</v>
      </c>
      <c r="D911" s="2" t="str">
        <f t="shared" si="13"/>
        <v>Error?</v>
      </c>
    </row>
    <row r="912" spans="1:4" x14ac:dyDescent="0.2">
      <c r="A912" s="5">
        <v>851</v>
      </c>
      <c r="B912" s="138">
        <f>'Expenditures 15-22'!F59</f>
        <v>777</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76116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76893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120841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192055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6423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6423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47312</v>
      </c>
      <c r="D960" s="2" t="str">
        <f t="shared" si="14"/>
        <v>Error?</v>
      </c>
    </row>
    <row r="961" spans="1:4" x14ac:dyDescent="0.2">
      <c r="A961" s="5">
        <v>900</v>
      </c>
      <c r="B961" s="138">
        <f>'Expenditures 15-22'!G45</f>
        <v>42481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89793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48081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48081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137874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144297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8576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9731</v>
      </c>
      <c r="D1007" s="2" t="str">
        <f t="shared" si="14"/>
        <v>Error?</v>
      </c>
    </row>
    <row r="1008" spans="1:4" x14ac:dyDescent="0.2">
      <c r="A1008" s="5">
        <v>947</v>
      </c>
      <c r="B1008" s="138">
        <f>'Expenditures 15-22'!H14</f>
        <v>4711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23018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596</v>
      </c>
      <c r="D1012" s="2" t="str">
        <f t="shared" si="14"/>
        <v>Error?</v>
      </c>
    </row>
    <row r="1013" spans="1:4" x14ac:dyDescent="0.2">
      <c r="A1013" s="5">
        <v>952</v>
      </c>
      <c r="B1013" s="138">
        <f>'Expenditures 15-22'!H38</f>
        <v>533</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1129</v>
      </c>
      <c r="C1017" s="2" t="s">
        <v>594</v>
      </c>
      <c r="D1017" s="2" t="str">
        <f t="shared" si="14"/>
        <v>Error?</v>
      </c>
    </row>
    <row r="1018" spans="1:4" x14ac:dyDescent="0.2">
      <c r="A1018" s="5">
        <v>957</v>
      </c>
      <c r="B1018" s="138">
        <f>'Expenditures 15-22'!H44</f>
        <v>611</v>
      </c>
      <c r="D1018" s="2" t="str">
        <f t="shared" si="14"/>
        <v>Error?</v>
      </c>
    </row>
    <row r="1019" spans="1:4" x14ac:dyDescent="0.2">
      <c r="A1019" s="5">
        <v>958</v>
      </c>
      <c r="B1019" s="138">
        <f>'Expenditures 15-22'!H45</f>
        <v>34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645</v>
      </c>
      <c r="C1021" s="2" t="s">
        <v>594</v>
      </c>
      <c r="D1021" s="2" t="str">
        <f t="shared" si="14"/>
        <v>Error?</v>
      </c>
    </row>
    <row r="1022" spans="1:4" x14ac:dyDescent="0.2">
      <c r="A1022" s="5">
        <v>961</v>
      </c>
      <c r="B1022" s="138">
        <f>'Expenditures 15-22'!H49</f>
        <v>3567</v>
      </c>
      <c r="D1022" s="2" t="str">
        <f t="shared" si="14"/>
        <v>Error?</v>
      </c>
    </row>
    <row r="1023" spans="1:4" x14ac:dyDescent="0.2">
      <c r="A1023" s="5">
        <v>962</v>
      </c>
      <c r="B1023" s="138">
        <f>'Expenditures 15-22'!H50</f>
        <v>3756</v>
      </c>
      <c r="D1023" s="2" t="str">
        <f t="shared" ref="D1023:D1086" si="15">IF(ISBLANK(B1023),"OK",IF(A1023-B1023=0,"OK","Error?"))</f>
        <v>Error?</v>
      </c>
    </row>
    <row r="1024" spans="1:4" x14ac:dyDescent="0.2">
      <c r="A1024" s="5">
        <v>963</v>
      </c>
      <c r="B1024" s="138">
        <f>'Expenditures 15-22'!H53</f>
        <v>7323</v>
      </c>
      <c r="C1024" s="2" t="s">
        <v>594</v>
      </c>
      <c r="D1024" s="2" t="str">
        <f t="shared" si="15"/>
        <v>Error?</v>
      </c>
    </row>
    <row r="1025" spans="1:4" x14ac:dyDescent="0.2">
      <c r="A1025" s="5">
        <v>964</v>
      </c>
      <c r="B1025" s="138">
        <f>'Expenditures 15-22'!H55</f>
        <v>7753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7753</v>
      </c>
      <c r="C1027" s="2" t="s">
        <v>594</v>
      </c>
      <c r="D1027" s="2" t="str">
        <f t="shared" si="15"/>
        <v>Error?</v>
      </c>
    </row>
    <row r="1028" spans="1:4" x14ac:dyDescent="0.2">
      <c r="A1028" s="5">
        <v>967</v>
      </c>
      <c r="B1028" s="138">
        <f>'Expenditures 15-22'!H59</f>
        <v>1682</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233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1915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18765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3586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45369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1049089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263104</v>
      </c>
      <c r="C1105" s="2" t="s">
        <v>594</v>
      </c>
      <c r="D1105" s="2" t="str">
        <f t="shared" si="16"/>
        <v>Error?</v>
      </c>
    </row>
    <row r="1106" spans="1:4" x14ac:dyDescent="0.2">
      <c r="A1106" s="5">
        <v>1045</v>
      </c>
      <c r="B1106" s="138">
        <f>'Expenditures 15-22'!K14</f>
        <v>114440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1795934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77558</v>
      </c>
      <c r="C1110" s="2" t="s">
        <v>594</v>
      </c>
      <c r="D1110" s="2" t="str">
        <f t="shared" si="16"/>
        <v>Error?</v>
      </c>
    </row>
    <row r="1111" spans="1:4" x14ac:dyDescent="0.2">
      <c r="A1111" s="5">
        <v>1050</v>
      </c>
      <c r="B1111" s="138">
        <f>'Expenditures 15-22'!K38</f>
        <v>44753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122311</v>
      </c>
      <c r="C1115" s="2" t="s">
        <v>594</v>
      </c>
      <c r="D1115" s="2" t="str">
        <f t="shared" si="16"/>
        <v>Error?</v>
      </c>
    </row>
    <row r="1116" spans="1:4" x14ac:dyDescent="0.2">
      <c r="A1116" s="5">
        <v>1055</v>
      </c>
      <c r="B1116" s="138">
        <f>'Expenditures 15-22'!K44</f>
        <v>93629</v>
      </c>
      <c r="C1116" s="2" t="s">
        <v>594</v>
      </c>
      <c r="D1116" s="2" t="str">
        <f t="shared" si="16"/>
        <v>Error?</v>
      </c>
    </row>
    <row r="1117" spans="1:4" x14ac:dyDescent="0.2">
      <c r="A1117" s="5">
        <v>1056</v>
      </c>
      <c r="B1117" s="138">
        <f>'Expenditures 15-22'!K45</f>
        <v>104590</v>
      </c>
      <c r="C1117" s="2" t="s">
        <v>594</v>
      </c>
      <c r="D1117" s="2" t="str">
        <f t="shared" si="16"/>
        <v>Error?</v>
      </c>
    </row>
    <row r="1118" spans="1:4" x14ac:dyDescent="0.2">
      <c r="A1118" s="5">
        <v>1057</v>
      </c>
      <c r="B1118" s="138">
        <f>'Expenditures 15-22'!K46</f>
        <v>3878</v>
      </c>
      <c r="C1118" s="2" t="s">
        <v>594</v>
      </c>
      <c r="D1118" s="2" t="str">
        <f t="shared" si="16"/>
        <v>Error?</v>
      </c>
    </row>
    <row r="1119" spans="1:4" x14ac:dyDescent="0.2">
      <c r="A1119" s="5">
        <v>1058</v>
      </c>
      <c r="B1119" s="138">
        <f>'Expenditures 15-22'!K47</f>
        <v>202097</v>
      </c>
      <c r="C1119" s="2" t="s">
        <v>594</v>
      </c>
      <c r="D1119" s="2" t="str">
        <f t="shared" si="16"/>
        <v>Error?</v>
      </c>
    </row>
    <row r="1120" spans="1:4" x14ac:dyDescent="0.2">
      <c r="A1120" s="5">
        <v>1059</v>
      </c>
      <c r="B1120" s="138">
        <f>'Expenditures 15-22'!K49</f>
        <v>20997</v>
      </c>
      <c r="C1120" s="2" t="s">
        <v>594</v>
      </c>
      <c r="D1120" s="2" t="str">
        <f t="shared" si="16"/>
        <v>Error?</v>
      </c>
    </row>
    <row r="1121" spans="1:4" x14ac:dyDescent="0.2">
      <c r="A1121" s="5">
        <v>1060</v>
      </c>
      <c r="B1121" s="138">
        <f>'Expenditures 15-22'!K50</f>
        <v>160585</v>
      </c>
      <c r="C1121" s="2" t="s">
        <v>594</v>
      </c>
      <c r="D1121" s="2" t="str">
        <f t="shared" si="16"/>
        <v>Error?</v>
      </c>
    </row>
    <row r="1122" spans="1:4" x14ac:dyDescent="0.2">
      <c r="A1122" s="5">
        <v>1061</v>
      </c>
      <c r="B1122" s="138">
        <f>'Expenditures 15-22'!K53</f>
        <v>181582</v>
      </c>
      <c r="C1122" s="2" t="s">
        <v>594</v>
      </c>
      <c r="D1122" s="2" t="str">
        <f t="shared" si="16"/>
        <v>Error?</v>
      </c>
    </row>
    <row r="1123" spans="1:4" x14ac:dyDescent="0.2">
      <c r="A1123" s="5">
        <v>1062</v>
      </c>
      <c r="B1123" s="138">
        <f>'Expenditures 15-22'!K55</f>
        <v>107334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107334</v>
      </c>
      <c r="C1125" s="2" t="s">
        <v>594</v>
      </c>
      <c r="D1125" s="2" t="str">
        <f t="shared" si="16"/>
        <v>Error?</v>
      </c>
    </row>
    <row r="1126" spans="1:4" x14ac:dyDescent="0.2">
      <c r="A1126" s="5">
        <v>1065</v>
      </c>
      <c r="B1126" s="138">
        <f>'Expenditures 15-22'!K59</f>
        <v>44150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165261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209411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1035</v>
      </c>
      <c r="C1142" s="2" t="s">
        <v>594</v>
      </c>
      <c r="D1142" s="2" t="str">
        <f t="shared" si="16"/>
        <v>Error?</v>
      </c>
    </row>
    <row r="1143" spans="1:4" x14ac:dyDescent="0.2">
      <c r="A1143" s="5">
        <v>1082</v>
      </c>
      <c r="B1143" s="138">
        <f>'Expenditures 15-22'!K74</f>
        <v>823770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83637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2703341</v>
      </c>
      <c r="C1152" s="2" t="s">
        <v>594</v>
      </c>
      <c r="D1152" s="2" t="str">
        <f t="shared" si="17"/>
        <v>Error?</v>
      </c>
    </row>
    <row r="1153" spans="1:4" x14ac:dyDescent="0.2">
      <c r="A1153" s="5">
        <v>1092</v>
      </c>
      <c r="B1153" s="138">
        <f>'Expenditures 15-22'!K115</f>
        <v>320370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117506</v>
      </c>
      <c r="D1221" s="2" t="str">
        <f t="shared" si="18"/>
        <v>Error?</v>
      </c>
    </row>
    <row r="1222" spans="1:4" x14ac:dyDescent="0.2">
      <c r="A1222" s="10">
        <v>1161</v>
      </c>
      <c r="D1222" s="2" t="str">
        <f t="shared" si="18"/>
        <v>OK</v>
      </c>
    </row>
    <row r="1223" spans="1:4" x14ac:dyDescent="0.2">
      <c r="A1223" s="5">
        <v>1162</v>
      </c>
      <c r="B1223" s="138">
        <f>'Expenditures 15-22'!C127</f>
        <v>117506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117506</v>
      </c>
      <c r="C1225" s="2" t="s">
        <v>594</v>
      </c>
      <c r="D1225" s="2" t="str">
        <f t="shared" si="18"/>
        <v>Error?</v>
      </c>
    </row>
    <row r="1226" spans="1:4" x14ac:dyDescent="0.2">
      <c r="A1226" s="5">
        <v>1165</v>
      </c>
      <c r="B1226" s="138">
        <f>'Expenditures 15-22'!C151</f>
        <v>117506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6995</v>
      </c>
      <c r="D1229" s="2" t="str">
        <f t="shared" si="18"/>
        <v>Error?</v>
      </c>
    </row>
    <row r="1230" spans="1:4" x14ac:dyDescent="0.2">
      <c r="A1230" s="10">
        <v>1169</v>
      </c>
      <c r="D1230" s="2" t="str">
        <f t="shared" si="18"/>
        <v>OK</v>
      </c>
    </row>
    <row r="1231" spans="1:4" x14ac:dyDescent="0.2">
      <c r="A1231" s="5">
        <v>1170</v>
      </c>
      <c r="B1231" s="138">
        <f>'Expenditures 15-22'!D127</f>
        <v>6995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6995</v>
      </c>
      <c r="C1233" s="2" t="s">
        <v>594</v>
      </c>
      <c r="D1233" s="2" t="str">
        <f t="shared" si="18"/>
        <v>Error?</v>
      </c>
    </row>
    <row r="1234" spans="1:4" x14ac:dyDescent="0.2">
      <c r="A1234" s="5">
        <v>1173</v>
      </c>
      <c r="B1234" s="138">
        <f>'Expenditures 15-22'!D151</f>
        <v>6995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57428</v>
      </c>
      <c r="D1237" s="2" t="str">
        <f t="shared" si="18"/>
        <v>Error?</v>
      </c>
    </row>
    <row r="1238" spans="1:4" x14ac:dyDescent="0.2">
      <c r="A1238" s="10">
        <v>1177</v>
      </c>
      <c r="D1238" s="2" t="str">
        <f t="shared" si="18"/>
        <v>OK</v>
      </c>
    </row>
    <row r="1239" spans="1:4" x14ac:dyDescent="0.2">
      <c r="A1239" s="5">
        <v>1178</v>
      </c>
      <c r="B1239" s="138">
        <f>'Expenditures 15-22'!E127</f>
        <v>57428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57428</v>
      </c>
      <c r="C1241" s="2" t="s">
        <v>594</v>
      </c>
      <c r="D1241" s="2" t="str">
        <f t="shared" si="18"/>
        <v>Error?</v>
      </c>
    </row>
    <row r="1242" spans="1:4" x14ac:dyDescent="0.2">
      <c r="A1242" s="5">
        <v>1181</v>
      </c>
      <c r="B1242" s="138">
        <f>'Expenditures 15-22'!E151</f>
        <v>57428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109405</v>
      </c>
      <c r="D1245" s="2" t="str">
        <f t="shared" si="18"/>
        <v>Error?</v>
      </c>
    </row>
    <row r="1246" spans="1:4" x14ac:dyDescent="0.2">
      <c r="A1246" s="10">
        <v>1185</v>
      </c>
      <c r="D1246" s="2" t="str">
        <f t="shared" si="18"/>
        <v>OK</v>
      </c>
    </row>
    <row r="1247" spans="1:4" x14ac:dyDescent="0.2">
      <c r="A1247" s="5">
        <v>1186</v>
      </c>
      <c r="B1247" s="138">
        <f>'Expenditures 15-22'!F127</f>
        <v>109405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109405</v>
      </c>
      <c r="C1249" s="2" t="s">
        <v>594</v>
      </c>
      <c r="D1249" s="2" t="str">
        <f t="shared" si="18"/>
        <v>Error?</v>
      </c>
    </row>
    <row r="1250" spans="1:4" x14ac:dyDescent="0.2">
      <c r="A1250" s="5">
        <v>1189</v>
      </c>
      <c r="B1250" s="138">
        <f>'Expenditures 15-22'!F151</f>
        <v>109405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3247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3247</v>
      </c>
      <c r="C1258" s="2" t="s">
        <v>594</v>
      </c>
      <c r="D1258" s="2" t="str">
        <f t="shared" si="18"/>
        <v>Error?</v>
      </c>
    </row>
    <row r="1259" spans="1:4" x14ac:dyDescent="0.2">
      <c r="A1259" s="5">
        <v>1198</v>
      </c>
      <c r="B1259" s="138">
        <f>'Expenditures 15-22'!G151</f>
        <v>3247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143</v>
      </c>
      <c r="D1262" s="2" t="str">
        <f t="shared" si="18"/>
        <v>Error?</v>
      </c>
    </row>
    <row r="1263" spans="1:4" x14ac:dyDescent="0.2">
      <c r="A1263" s="10">
        <v>1202</v>
      </c>
      <c r="D1263" s="2" t="str">
        <f t="shared" si="18"/>
        <v>OK</v>
      </c>
    </row>
    <row r="1264" spans="1:4" x14ac:dyDescent="0.2">
      <c r="A1264" s="5">
        <v>1203</v>
      </c>
      <c r="B1264" s="138">
        <f>'Expenditures 15-22'!H127</f>
        <v>143</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143</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143</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294724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294724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294724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294724</v>
      </c>
      <c r="C1288" s="2" t="s">
        <v>594</v>
      </c>
      <c r="D1288" s="2" t="str">
        <f t="shared" si="19"/>
        <v>Error?</v>
      </c>
    </row>
    <row r="1289" spans="1:4" x14ac:dyDescent="0.2">
      <c r="A1289" s="5">
        <v>1228</v>
      </c>
      <c r="B1289" s="138">
        <f>'Expenditures 15-22'!K152</f>
        <v>31242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34910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352000</v>
      </c>
      <c r="D1315" s="2" t="str">
        <f t="shared" si="19"/>
        <v>Error?</v>
      </c>
    </row>
    <row r="1316" spans="1:4" x14ac:dyDescent="0.2">
      <c r="A1316" s="5">
        <v>1255</v>
      </c>
      <c r="B1316" s="138">
        <f>'Expenditures 15-22'!H171</f>
        <v>35995</v>
      </c>
      <c r="D1316" s="2" t="str">
        <f t="shared" si="19"/>
        <v>Error?</v>
      </c>
    </row>
    <row r="1317" spans="1:4" x14ac:dyDescent="0.2">
      <c r="A1317" s="5">
        <v>1256</v>
      </c>
      <c r="B1317" s="138">
        <f>'Expenditures 15-22'!H172</f>
        <v>422905</v>
      </c>
      <c r="C1317" s="2" t="s">
        <v>594</v>
      </c>
      <c r="D1317" s="2" t="str">
        <f t="shared" si="19"/>
        <v>Error?</v>
      </c>
    </row>
    <row r="1318" spans="1:4" x14ac:dyDescent="0.2">
      <c r="A1318" s="5">
        <v>1257</v>
      </c>
      <c r="B1318" s="138">
        <f>'Expenditures 15-22'!H174</f>
        <v>422905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34910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352000</v>
      </c>
      <c r="C1329" s="2" t="s">
        <v>594</v>
      </c>
      <c r="D1329" s="2" t="str">
        <f t="shared" si="19"/>
        <v>Error?</v>
      </c>
    </row>
    <row r="1330" spans="1:4" x14ac:dyDescent="0.2">
      <c r="A1330" s="5">
        <v>1269</v>
      </c>
      <c r="B1330" s="138">
        <f>'Expenditures 15-22'!K171</f>
        <v>35995</v>
      </c>
      <c r="C1330" s="2" t="s">
        <v>594</v>
      </c>
      <c r="D1330" s="2" t="str">
        <f t="shared" si="19"/>
        <v>Error?</v>
      </c>
    </row>
    <row r="1331" spans="1:4" x14ac:dyDescent="0.2">
      <c r="A1331" s="5">
        <v>1270</v>
      </c>
      <c r="B1331" s="138">
        <f>'Expenditures 15-22'!K172</f>
        <v>422905</v>
      </c>
      <c r="C1331" s="2" t="s">
        <v>594</v>
      </c>
      <c r="D1331" s="2" t="str">
        <f t="shared" si="19"/>
        <v>Error?</v>
      </c>
    </row>
    <row r="1332" spans="1:4" x14ac:dyDescent="0.2">
      <c r="A1332" s="5">
        <v>1271</v>
      </c>
      <c r="B1332" s="138">
        <f>'Expenditures 15-22'!K174</f>
        <v>422905</v>
      </c>
      <c r="C1332" s="2" t="s">
        <v>594</v>
      </c>
      <c r="D1332" s="2" t="str">
        <f t="shared" si="19"/>
        <v>Error?</v>
      </c>
    </row>
    <row r="1333" spans="1:4" x14ac:dyDescent="0.2">
      <c r="A1333" s="5">
        <v>1272</v>
      </c>
      <c r="B1333" s="138">
        <f>'Expenditures 15-22'!K175</f>
        <v>-15575</v>
      </c>
      <c r="C1333" s="2" t="s">
        <v>594</v>
      </c>
      <c r="D1333" s="2" t="str">
        <f t="shared" si="19"/>
        <v>Error?</v>
      </c>
    </row>
    <row r="1334" spans="1:4" x14ac:dyDescent="0.2">
      <c r="A1334" s="10">
        <v>1273</v>
      </c>
      <c r="D1334" s="2" t="str">
        <f t="shared" si="19"/>
        <v>OK</v>
      </c>
    </row>
    <row r="1335" spans="1:4" x14ac:dyDescent="0.2">
      <c r="A1335" s="5">
        <v>1274</v>
      </c>
      <c r="B1335" s="138">
        <f>'Expenditures 15-22'!C182</f>
        <v>118466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118466</v>
      </c>
      <c r="C1339" s="2" t="s">
        <v>594</v>
      </c>
      <c r="D1339" s="2" t="str">
        <f t="shared" si="19"/>
        <v>Error?</v>
      </c>
    </row>
    <row r="1340" spans="1:4" x14ac:dyDescent="0.2">
      <c r="A1340" s="5">
        <v>1279</v>
      </c>
      <c r="B1340" s="138">
        <f>'Expenditures 15-22'!C210</f>
        <v>118466</v>
      </c>
      <c r="C1340" s="2" t="s">
        <v>594</v>
      </c>
      <c r="D1340" s="2" t="str">
        <f t="shared" si="19"/>
        <v>Error?</v>
      </c>
    </row>
    <row r="1341" spans="1:4" x14ac:dyDescent="0.2">
      <c r="A1341" s="5">
        <v>1280</v>
      </c>
      <c r="B1341" s="138">
        <f>'Expenditures 15-22'!D182</f>
        <v>12071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12071</v>
      </c>
      <c r="C1345" s="2" t="s">
        <v>594</v>
      </c>
      <c r="D1345" s="2" t="str">
        <f t="shared" si="20"/>
        <v>Error?</v>
      </c>
    </row>
    <row r="1346" spans="1:4" x14ac:dyDescent="0.2">
      <c r="A1346" s="5">
        <v>1285</v>
      </c>
      <c r="B1346" s="138">
        <f>'Expenditures 15-22'!D210</f>
        <v>12071</v>
      </c>
      <c r="C1346" s="2" t="s">
        <v>594</v>
      </c>
      <c r="D1346" s="2" t="str">
        <f t="shared" si="20"/>
        <v>Error?</v>
      </c>
    </row>
    <row r="1347" spans="1:4" x14ac:dyDescent="0.2">
      <c r="A1347" s="5">
        <v>1286</v>
      </c>
      <c r="B1347" s="138">
        <f>'Expenditures 15-22'!E182</f>
        <v>11084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11084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11084</v>
      </c>
      <c r="C1353" s="2" t="s">
        <v>594</v>
      </c>
      <c r="D1353" s="2" t="str">
        <f t="shared" si="20"/>
        <v>Error?</v>
      </c>
    </row>
    <row r="1354" spans="1:4" x14ac:dyDescent="0.2">
      <c r="A1354" s="5">
        <v>1293</v>
      </c>
      <c r="B1354" s="138">
        <f>'Expenditures 15-22'!F182</f>
        <v>25436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25436</v>
      </c>
      <c r="C1358" s="2" t="s">
        <v>594</v>
      </c>
      <c r="D1358" s="2" t="str">
        <f t="shared" si="20"/>
        <v>Error?</v>
      </c>
    </row>
    <row r="1359" spans="1:4" x14ac:dyDescent="0.2">
      <c r="A1359" s="5">
        <v>1298</v>
      </c>
      <c r="B1359" s="138">
        <f>'Expenditures 15-22'!F210</f>
        <v>25436</v>
      </c>
      <c r="C1359" s="2" t="s">
        <v>594</v>
      </c>
      <c r="D1359" s="2" t="str">
        <f t="shared" si="20"/>
        <v>Error?</v>
      </c>
    </row>
    <row r="1360" spans="1:4" x14ac:dyDescent="0.2">
      <c r="A1360" s="5">
        <v>1299</v>
      </c>
      <c r="B1360" s="138">
        <f>'Expenditures 15-22'!G182</f>
        <v>911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911</v>
      </c>
      <c r="C1364" s="2" t="s">
        <v>594</v>
      </c>
      <c r="D1364" s="2" t="str">
        <f t="shared" si="20"/>
        <v>Error?</v>
      </c>
    </row>
    <row r="1365" spans="1:4" x14ac:dyDescent="0.2">
      <c r="A1365" s="5">
        <v>1304</v>
      </c>
      <c r="B1365" s="138">
        <f>'Expenditures 15-22'!G210</f>
        <v>911</v>
      </c>
      <c r="C1365" s="2" t="s">
        <v>594</v>
      </c>
      <c r="D1365" s="2" t="str">
        <f t="shared" si="20"/>
        <v>Error?</v>
      </c>
    </row>
    <row r="1366" spans="1:4" x14ac:dyDescent="0.2">
      <c r="A1366" s="5">
        <v>1305</v>
      </c>
      <c r="B1366" s="138">
        <f>'Expenditures 15-22'!H182</f>
        <v>254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254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254</v>
      </c>
      <c r="C1376" s="2" t="s">
        <v>594</v>
      </c>
      <c r="D1376" s="2" t="str">
        <f t="shared" si="20"/>
        <v>Error?</v>
      </c>
    </row>
    <row r="1377" spans="1:4" x14ac:dyDescent="0.2">
      <c r="A1377" s="5">
        <v>1316</v>
      </c>
      <c r="B1377" s="138">
        <f>'Expenditures 15-22'!K182</f>
        <v>168222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168222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168222</v>
      </c>
      <c r="C1388" s="2" t="s">
        <v>594</v>
      </c>
      <c r="D1388" s="2" t="str">
        <f t="shared" si="20"/>
        <v>Error?</v>
      </c>
    </row>
    <row r="1389" spans="1:4" x14ac:dyDescent="0.2">
      <c r="A1389" s="5">
        <v>1328</v>
      </c>
      <c r="B1389" s="138">
        <f>'Expenditures 15-22'!K211</f>
        <v>63241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2873</v>
      </c>
      <c r="D1407" s="2" t="str">
        <f t="shared" ref="D1407:D1470" si="21">IF(ISBLANK(B1407),"OK",IF(A1407-B1407=0,"OK","Error?"))</f>
        <v>Error?</v>
      </c>
    </row>
    <row r="1408" spans="1:4" x14ac:dyDescent="0.2">
      <c r="A1408" s="5">
        <v>1347</v>
      </c>
      <c r="B1408" s="138">
        <f>'Expenditures 15-22'!D223</f>
        <v>2205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40764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903</v>
      </c>
      <c r="D1412" s="2" t="str">
        <f t="shared" si="21"/>
        <v>Error?</v>
      </c>
    </row>
    <row r="1413" spans="1:4" x14ac:dyDescent="0.2">
      <c r="A1413" s="5">
        <v>1352</v>
      </c>
      <c r="B1413" s="138">
        <f>'Expenditures 15-22'!D234</f>
        <v>6979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7882</v>
      </c>
      <c r="C1417" s="2" t="s">
        <v>594</v>
      </c>
      <c r="D1417" s="2" t="str">
        <f t="shared" si="21"/>
        <v>Error?</v>
      </c>
    </row>
    <row r="1418" spans="1:4" x14ac:dyDescent="0.2">
      <c r="A1418" s="5">
        <v>1357</v>
      </c>
      <c r="B1418" s="138">
        <f>'Expenditures 15-22'!D240</f>
        <v>403</v>
      </c>
      <c r="D1418" s="2" t="str">
        <f t="shared" si="21"/>
        <v>Error?</v>
      </c>
    </row>
    <row r="1419" spans="1:4" x14ac:dyDescent="0.2">
      <c r="A1419" s="5">
        <v>1358</v>
      </c>
      <c r="B1419" s="138">
        <f>'Expenditures 15-22'!D241</f>
        <v>3431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3834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7061</v>
      </c>
      <c r="D1423" s="2" t="str">
        <f t="shared" si="21"/>
        <v>Error?</v>
      </c>
    </row>
    <row r="1424" spans="1:4" x14ac:dyDescent="0.2">
      <c r="A1424" s="5">
        <v>1363</v>
      </c>
      <c r="B1424" s="138">
        <f>'Expenditures 15-22'!D257</f>
        <v>7061</v>
      </c>
      <c r="C1424" s="2" t="s">
        <v>594</v>
      </c>
      <c r="D1424" s="2" t="str">
        <f t="shared" si="21"/>
        <v>Error?</v>
      </c>
    </row>
    <row r="1425" spans="1:4" x14ac:dyDescent="0.2">
      <c r="A1425" s="5">
        <v>1364</v>
      </c>
      <c r="B1425" s="138">
        <f>'Expenditures 15-22'!D259</f>
        <v>12516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12516</v>
      </c>
      <c r="C1427" s="2" t="s">
        <v>594</v>
      </c>
      <c r="D1427" s="2" t="str">
        <f t="shared" si="21"/>
        <v>Error?</v>
      </c>
    </row>
    <row r="1428" spans="1:4" x14ac:dyDescent="0.2">
      <c r="A1428" s="5">
        <v>1367</v>
      </c>
      <c r="B1428" s="138">
        <f>'Expenditures 15-22'!D263</f>
        <v>5799</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23009</v>
      </c>
      <c r="D1431" s="2" t="str">
        <f t="shared" si="21"/>
        <v>Error?</v>
      </c>
    </row>
    <row r="1432" spans="1:4" x14ac:dyDescent="0.2">
      <c r="A1432" s="5">
        <v>1371</v>
      </c>
      <c r="B1432" s="138">
        <f>'Expenditures 15-22'!D267</f>
        <v>20233</v>
      </c>
      <c r="D1432" s="2" t="str">
        <f t="shared" si="21"/>
        <v>Error?</v>
      </c>
    </row>
    <row r="1433" spans="1:4" x14ac:dyDescent="0.2">
      <c r="A1433" s="5">
        <v>1372</v>
      </c>
      <c r="B1433" s="138">
        <f>'Expenditures 15-22'!D268</f>
        <v>5656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54697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85990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126754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2873</v>
      </c>
      <c r="C1471" s="2" t="s">
        <v>594</v>
      </c>
      <c r="D1471" s="2" t="str">
        <f t="shared" ref="D1471:D1534" si="22">IF(ISBLANK(B1471),"OK",IF(A1471-B1471=0,"OK","Error?"))</f>
        <v>Error?</v>
      </c>
    </row>
    <row r="1472" spans="1:4" x14ac:dyDescent="0.2">
      <c r="A1472" s="5">
        <v>1411</v>
      </c>
      <c r="B1472" s="138">
        <f>'Expenditures 15-22'!K223</f>
        <v>2205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40764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903</v>
      </c>
      <c r="C1476" s="2" t="s">
        <v>594</v>
      </c>
      <c r="D1476" s="2" t="str">
        <f t="shared" si="22"/>
        <v>Error?</v>
      </c>
    </row>
    <row r="1477" spans="1:4" x14ac:dyDescent="0.2">
      <c r="A1477" s="5">
        <v>1416</v>
      </c>
      <c r="B1477" s="138">
        <f>'Expenditures 15-22'!K234</f>
        <v>6979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7882</v>
      </c>
      <c r="C1481" s="2" t="s">
        <v>594</v>
      </c>
      <c r="D1481" s="2" t="str">
        <f t="shared" si="22"/>
        <v>Error?</v>
      </c>
    </row>
    <row r="1482" spans="1:4" x14ac:dyDescent="0.2">
      <c r="A1482" s="5">
        <v>1421</v>
      </c>
      <c r="B1482" s="138">
        <f>'Expenditures 15-22'!K240</f>
        <v>403</v>
      </c>
      <c r="C1482" s="2" t="s">
        <v>594</v>
      </c>
      <c r="D1482" s="2" t="str">
        <f t="shared" si="22"/>
        <v>Error?</v>
      </c>
    </row>
    <row r="1483" spans="1:4" x14ac:dyDescent="0.2">
      <c r="A1483" s="5">
        <v>1422</v>
      </c>
      <c r="B1483" s="138">
        <f>'Expenditures 15-22'!K241</f>
        <v>3431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3834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7061</v>
      </c>
      <c r="C1487" s="2" t="s">
        <v>594</v>
      </c>
      <c r="D1487" s="2" t="str">
        <f t="shared" si="22"/>
        <v>Error?</v>
      </c>
    </row>
    <row r="1488" spans="1:4" x14ac:dyDescent="0.2">
      <c r="A1488" s="5">
        <v>1427</v>
      </c>
      <c r="B1488" s="138">
        <f>'Expenditures 15-22'!K257</f>
        <v>7061</v>
      </c>
      <c r="C1488" s="2" t="s">
        <v>594</v>
      </c>
      <c r="D1488" s="2" t="str">
        <f t="shared" si="22"/>
        <v>Error?</v>
      </c>
    </row>
    <row r="1489" spans="1:4" x14ac:dyDescent="0.2">
      <c r="A1489" s="5">
        <v>1428</v>
      </c>
      <c r="B1489" s="138">
        <f>'Expenditures 15-22'!K259</f>
        <v>12516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12516</v>
      </c>
      <c r="C1491" s="2" t="s">
        <v>594</v>
      </c>
      <c r="D1491" s="2" t="str">
        <f t="shared" si="22"/>
        <v>Error?</v>
      </c>
    </row>
    <row r="1492" spans="1:4" x14ac:dyDescent="0.2">
      <c r="A1492" s="5">
        <v>1431</v>
      </c>
      <c r="B1492" s="138">
        <f>'Expenditures 15-22'!K263</f>
        <v>5799</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23009</v>
      </c>
      <c r="C1495" s="2" t="s">
        <v>594</v>
      </c>
      <c r="D1495" s="2" t="str">
        <f t="shared" si="22"/>
        <v>Error?</v>
      </c>
    </row>
    <row r="1496" spans="1:4" x14ac:dyDescent="0.2">
      <c r="A1496" s="5">
        <v>1435</v>
      </c>
      <c r="B1496" s="138">
        <f>'Expenditures 15-22'!K267</f>
        <v>20233</v>
      </c>
      <c r="C1496" s="2" t="s">
        <v>594</v>
      </c>
      <c r="D1496" s="2" t="str">
        <f t="shared" si="22"/>
        <v>Error?</v>
      </c>
    </row>
    <row r="1497" spans="1:4" x14ac:dyDescent="0.2">
      <c r="A1497" s="5">
        <v>1436</v>
      </c>
      <c r="B1497" s="138">
        <f>'Expenditures 15-22'!K268</f>
        <v>5656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54697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85990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126754</v>
      </c>
      <c r="C1517" s="2" t="s">
        <v>594</v>
      </c>
      <c r="D1517" s="2" t="str">
        <f t="shared" si="22"/>
        <v>Error?</v>
      </c>
    </row>
    <row r="1518" spans="1:4" x14ac:dyDescent="0.2">
      <c r="A1518" s="5">
        <v>1457</v>
      </c>
      <c r="B1518" s="138">
        <f>'Expenditures 15-22'!K296</f>
        <v>19182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3818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3818</v>
      </c>
      <c r="C1535" s="2" t="s">
        <v>594</v>
      </c>
      <c r="D1535" s="2" t="str">
        <f t="shared" ref="D1535:D1598" si="23">IF(ISBLANK(B1535),"OK",IF(A1535-B1535=0,"OK","Error?"))</f>
        <v>Error?</v>
      </c>
    </row>
    <row r="1536" spans="1:4" x14ac:dyDescent="0.2">
      <c r="A1536" s="5">
        <v>1475</v>
      </c>
      <c r="B1536" s="138">
        <f>'Expenditures 15-22'!E312</f>
        <v>3818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3818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3818</v>
      </c>
      <c r="C1559" s="2" t="s">
        <v>594</v>
      </c>
      <c r="D1559" s="2" t="str">
        <f t="shared" si="23"/>
        <v>Error?</v>
      </c>
    </row>
    <row r="1560" spans="1:4" x14ac:dyDescent="0.2">
      <c r="A1560" s="5">
        <v>1499</v>
      </c>
      <c r="B1560" s="138">
        <f>'Expenditures 15-22'!K312</f>
        <v>3818</v>
      </c>
      <c r="C1560" s="2" t="s">
        <v>594</v>
      </c>
      <c r="D1560" s="2" t="str">
        <f t="shared" si="23"/>
        <v>Error?</v>
      </c>
    </row>
    <row r="1561" spans="1:4" x14ac:dyDescent="0.2">
      <c r="A1561" s="5">
        <v>1500</v>
      </c>
      <c r="B1561" s="138">
        <f>'Expenditures 15-22'!K313</f>
        <v>-495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505393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825763</v>
      </c>
      <c r="C1630" s="2" t="s">
        <v>594</v>
      </c>
      <c r="D1630" s="2" t="str">
        <f t="shared" si="24"/>
        <v>Error?</v>
      </c>
    </row>
    <row r="1631" spans="1:4" x14ac:dyDescent="0.2">
      <c r="A1631" s="5">
        <v>1570</v>
      </c>
      <c r="B1631" s="138">
        <f>'Acct Summary 7-8'!D79</f>
        <v>35692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66934</v>
      </c>
      <c r="C1644" s="2" t="s">
        <v>594</v>
      </c>
      <c r="D1644" s="2" t="str">
        <f t="shared" si="24"/>
        <v>Error?</v>
      </c>
    </row>
    <row r="1645" spans="1:4" x14ac:dyDescent="0.2">
      <c r="A1645" s="5">
        <v>1584</v>
      </c>
      <c r="B1645" s="138">
        <f>'Acct Summary 7-8'!E79</f>
        <v>8039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6662</v>
      </c>
      <c r="C1658" s="2" t="s">
        <v>594</v>
      </c>
      <c r="D1658" s="2" t="str">
        <f t="shared" si="24"/>
        <v>Error?</v>
      </c>
    </row>
    <row r="1659" spans="1:4" x14ac:dyDescent="0.2">
      <c r="A1659" s="5">
        <v>1598</v>
      </c>
      <c r="B1659" s="138">
        <f>'Acct Summary 7-8'!F79</f>
        <v>68854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132095</v>
      </c>
      <c r="C1672" s="2" t="s">
        <v>594</v>
      </c>
      <c r="D1672" s="2" t="str">
        <f t="shared" si="25"/>
        <v>Error?</v>
      </c>
    </row>
    <row r="1673" spans="1:4" x14ac:dyDescent="0.2">
      <c r="A1673" s="5">
        <v>1612</v>
      </c>
      <c r="B1673" s="138">
        <f>'Acct Summary 7-8'!G79</f>
        <v>56349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75531</v>
      </c>
      <c r="C1686" s="2" t="s">
        <v>594</v>
      </c>
      <c r="D1686" s="2" t="str">
        <f t="shared" si="25"/>
        <v>Error?</v>
      </c>
    </row>
    <row r="1687" spans="1:4" x14ac:dyDescent="0.2">
      <c r="A1687" s="5">
        <v>1626</v>
      </c>
      <c r="B1687" s="138">
        <f>'Acct Summary 7-8'!H79</f>
        <v>25190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24695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619348</v>
      </c>
      <c r="C1744" s="2" t="s">
        <v>594</v>
      </c>
      <c r="D1744" s="2" t="str">
        <f t="shared" si="26"/>
        <v>Error?</v>
      </c>
    </row>
    <row r="1745" spans="1:5" x14ac:dyDescent="0.2">
      <c r="A1745" s="5">
        <v>1684</v>
      </c>
      <c r="B1745" s="138">
        <f>'Tax Sched 23'!B5</f>
        <v>168330</v>
      </c>
      <c r="C1745" s="2" t="s">
        <v>594</v>
      </c>
      <c r="D1745" s="2" t="str">
        <f t="shared" si="26"/>
        <v>Error?</v>
      </c>
    </row>
    <row r="1746" spans="1:5" x14ac:dyDescent="0.2">
      <c r="A1746" s="5">
        <v>1685</v>
      </c>
      <c r="B1746" s="138">
        <f>'Tax Sched 23'!B6</f>
        <v>385941</v>
      </c>
      <c r="C1746" s="2" t="s">
        <v>594</v>
      </c>
      <c r="D1746" s="2" t="str">
        <f t="shared" si="26"/>
        <v>Error?</v>
      </c>
    </row>
    <row r="1747" spans="1:5" x14ac:dyDescent="0.2">
      <c r="A1747" s="5">
        <v>1686</v>
      </c>
      <c r="B1747" s="138">
        <f>'Tax Sched 23'!B7</f>
        <v>80798</v>
      </c>
      <c r="C1747" s="2" t="s">
        <v>594</v>
      </c>
      <c r="D1747" s="2" t="str">
        <f t="shared" si="26"/>
        <v>Error?</v>
      </c>
    </row>
    <row r="1748" spans="1:5" x14ac:dyDescent="0.2">
      <c r="A1748" s="5">
        <v>1687</v>
      </c>
      <c r="B1748" s="138">
        <f>'Tax Sched 23'!B8</f>
        <v>65102</v>
      </c>
      <c r="C1748" s="2" t="s">
        <v>594</v>
      </c>
      <c r="D1748" s="2" t="str">
        <f t="shared" si="26"/>
        <v>Error?</v>
      </c>
    </row>
    <row r="1749" spans="1:5" x14ac:dyDescent="0.2">
      <c r="A1749" s="5">
        <v>1688</v>
      </c>
      <c r="B1749" s="138">
        <f>'Tax Sched 23'!B10</f>
        <v>33666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150216</v>
      </c>
      <c r="C1752" s="2" t="s">
        <v>594</v>
      </c>
      <c r="D1752" s="2" t="str">
        <f t="shared" si="26"/>
        <v>Error?</v>
      </c>
    </row>
    <row r="1753" spans="1:5" x14ac:dyDescent="0.2">
      <c r="A1753" s="5">
        <v>1692</v>
      </c>
      <c r="B1753" s="138">
        <f>'Tax Sched 23'!B12</f>
        <v>33668</v>
      </c>
      <c r="C1753" s="2" t="s">
        <v>594</v>
      </c>
      <c r="D1753" s="2" t="str">
        <f t="shared" si="26"/>
        <v>Error?</v>
      </c>
    </row>
    <row r="1754" spans="1:5" x14ac:dyDescent="0.2">
      <c r="A1754" s="5">
        <v>1693</v>
      </c>
      <c r="B1754" s="138">
        <f>'Tax Sched 23'!B14</f>
        <v>13466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1649299</v>
      </c>
      <c r="C1759" s="2" t="s">
        <v>594</v>
      </c>
      <c r="D1759" s="2" t="str">
        <f t="shared" si="26"/>
        <v>Error?</v>
      </c>
    </row>
    <row r="1760" spans="1:5" x14ac:dyDescent="0.2">
      <c r="A1760" s="5">
        <v>1699</v>
      </c>
      <c r="B1760" s="138">
        <f>'Tax Sched 23'!D4</f>
        <v>619348</v>
      </c>
      <c r="C1760" s="2" t="s">
        <v>594</v>
      </c>
      <c r="D1760" s="2" t="str">
        <f t="shared" si="26"/>
        <v>Error?</v>
      </c>
    </row>
    <row r="1761" spans="1:5" x14ac:dyDescent="0.2">
      <c r="A1761" s="5">
        <v>1700</v>
      </c>
      <c r="B1761" s="138">
        <f>'Tax Sched 23'!D5</f>
        <v>168330</v>
      </c>
      <c r="C1761" s="2" t="s">
        <v>594</v>
      </c>
      <c r="D1761" s="2" t="str">
        <f t="shared" si="26"/>
        <v>Error?</v>
      </c>
    </row>
    <row r="1762" spans="1:5" s="8" customFormat="1" x14ac:dyDescent="0.2">
      <c r="A1762" s="5">
        <v>1701</v>
      </c>
      <c r="B1762" s="138">
        <f>'Tax Sched 23'!D6</f>
        <v>385941</v>
      </c>
      <c r="C1762" s="2" t="s">
        <v>594</v>
      </c>
      <c r="D1762" s="2" t="str">
        <f t="shared" si="26"/>
        <v>Error?</v>
      </c>
      <c r="E1762" s="9"/>
    </row>
    <row r="1763" spans="1:5" x14ac:dyDescent="0.2">
      <c r="A1763" s="5">
        <v>1702</v>
      </c>
      <c r="B1763" s="138">
        <f>'Tax Sched 23'!D7</f>
        <v>80798</v>
      </c>
      <c r="C1763" s="2" t="s">
        <v>594</v>
      </c>
      <c r="D1763" s="2" t="str">
        <f t="shared" si="26"/>
        <v>Error?</v>
      </c>
    </row>
    <row r="1764" spans="1:5" x14ac:dyDescent="0.2">
      <c r="A1764" s="5">
        <v>1703</v>
      </c>
      <c r="B1764" s="138">
        <f>'Tax Sched 23'!D8</f>
        <v>65102</v>
      </c>
      <c r="C1764" s="2" t="s">
        <v>594</v>
      </c>
      <c r="D1764" s="2" t="str">
        <f t="shared" si="26"/>
        <v>Error?</v>
      </c>
    </row>
    <row r="1765" spans="1:5" x14ac:dyDescent="0.2">
      <c r="A1765" s="5">
        <v>1704</v>
      </c>
      <c r="B1765" s="138">
        <f>'Tax Sched 23'!D10</f>
        <v>33666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150216</v>
      </c>
      <c r="C1768" s="2" t="s">
        <v>594</v>
      </c>
      <c r="D1768" s="2" t="str">
        <f t="shared" si="26"/>
        <v>Error?</v>
      </c>
    </row>
    <row r="1769" spans="1:5" x14ac:dyDescent="0.2">
      <c r="A1769" s="5">
        <v>1708</v>
      </c>
      <c r="B1769" s="138">
        <f>'Tax Sched 23'!D12</f>
        <v>33668</v>
      </c>
      <c r="C1769" s="2" t="s">
        <v>594</v>
      </c>
      <c r="D1769" s="2" t="str">
        <f t="shared" si="26"/>
        <v>Error?</v>
      </c>
    </row>
    <row r="1770" spans="1:5" x14ac:dyDescent="0.2">
      <c r="A1770" s="5">
        <v>1709</v>
      </c>
      <c r="B1770" s="138">
        <f>'Tax Sched 23'!D14</f>
        <v>13466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1649299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659425</v>
      </c>
      <c r="C1792" s="2" t="s">
        <v>594</v>
      </c>
      <c r="D1792" s="2" t="str">
        <f t="shared" si="27"/>
        <v>Error?</v>
      </c>
    </row>
    <row r="1793" spans="1:4" x14ac:dyDescent="0.2">
      <c r="A1793" s="5">
        <v>1732</v>
      </c>
      <c r="B1793" s="138">
        <f>'Tax Sched 23'!F5</f>
        <v>179192</v>
      </c>
      <c r="C1793" s="2" t="s">
        <v>594</v>
      </c>
      <c r="D1793" s="2" t="str">
        <f t="shared" si="27"/>
        <v>Error?</v>
      </c>
    </row>
    <row r="1794" spans="1:4" x14ac:dyDescent="0.2">
      <c r="A1794" s="5">
        <v>1733</v>
      </c>
      <c r="B1794" s="138">
        <f>'Tax Sched 23'!F6</f>
        <v>386817</v>
      </c>
      <c r="C1794" s="2" t="s">
        <v>594</v>
      </c>
      <c r="D1794" s="2" t="str">
        <f t="shared" si="27"/>
        <v>Error?</v>
      </c>
    </row>
    <row r="1795" spans="1:4" x14ac:dyDescent="0.2">
      <c r="A1795" s="5">
        <v>1734</v>
      </c>
      <c r="B1795" s="138">
        <f>'Tax Sched 23'!F7</f>
        <v>86012</v>
      </c>
      <c r="C1795" s="2" t="s">
        <v>594</v>
      </c>
      <c r="D1795" s="2" t="str">
        <f t="shared" si="27"/>
        <v>Error?</v>
      </c>
    </row>
    <row r="1796" spans="1:4" x14ac:dyDescent="0.2">
      <c r="A1796" s="5">
        <v>1735</v>
      </c>
      <c r="B1796" s="138">
        <f>'Tax Sched 23'!F8</f>
        <v>84980</v>
      </c>
      <c r="C1796" s="2" t="s">
        <v>594</v>
      </c>
      <c r="D1796" s="2" t="str">
        <f t="shared" si="27"/>
        <v>Error?</v>
      </c>
    </row>
    <row r="1797" spans="1:4" x14ac:dyDescent="0.2">
      <c r="A1797" s="5">
        <v>1736</v>
      </c>
      <c r="B1797" s="138">
        <f>'Tax Sched 23'!F10</f>
        <v>35838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149962</v>
      </c>
      <c r="C1800" s="2" t="s">
        <v>594</v>
      </c>
      <c r="D1800" s="2" t="str">
        <f t="shared" si="27"/>
        <v>Error?</v>
      </c>
    </row>
    <row r="1801" spans="1:4" x14ac:dyDescent="0.2">
      <c r="A1801" s="5">
        <v>1740</v>
      </c>
      <c r="B1801" s="138">
        <f>'Tax Sched 23'!F12</f>
        <v>35838</v>
      </c>
      <c r="C1801" s="2" t="s">
        <v>594</v>
      </c>
      <c r="D1801" s="2" t="str">
        <f t="shared" si="27"/>
        <v>Error?</v>
      </c>
    </row>
    <row r="1802" spans="1:4" x14ac:dyDescent="0.2">
      <c r="A1802" s="5">
        <v>1741</v>
      </c>
      <c r="B1802" s="138">
        <f>'Tax Sched 23'!F14</f>
        <v>14335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1753217</v>
      </c>
      <c r="C1807" s="2" t="s">
        <v>594</v>
      </c>
      <c r="D1807" s="2" t="str">
        <f t="shared" si="27"/>
        <v>Error?</v>
      </c>
    </row>
    <row r="1808" spans="1:4" x14ac:dyDescent="0.2">
      <c r="A1808" s="5">
        <v>1747</v>
      </c>
      <c r="B1808" s="138">
        <f>'Tax Sched 23'!E4</f>
        <v>659425</v>
      </c>
      <c r="D1808" s="2" t="str">
        <f t="shared" si="27"/>
        <v>Error?</v>
      </c>
    </row>
    <row r="1809" spans="1:4" x14ac:dyDescent="0.2">
      <c r="A1809" s="5">
        <v>1748</v>
      </c>
      <c r="B1809" s="138">
        <f>'Tax Sched 23'!E5</f>
        <v>179192</v>
      </c>
      <c r="D1809" s="2" t="str">
        <f t="shared" si="27"/>
        <v>Error?</v>
      </c>
    </row>
    <row r="1810" spans="1:4" x14ac:dyDescent="0.2">
      <c r="A1810" s="5">
        <v>1749</v>
      </c>
      <c r="B1810" s="138">
        <f>'Tax Sched 23'!E6</f>
        <v>386817</v>
      </c>
      <c r="D1810" s="2" t="str">
        <f t="shared" si="27"/>
        <v>Error?</v>
      </c>
    </row>
    <row r="1811" spans="1:4" x14ac:dyDescent="0.2">
      <c r="A1811" s="5">
        <v>1750</v>
      </c>
      <c r="B1811" s="138">
        <f>'Tax Sched 23'!E7</f>
        <v>86012</v>
      </c>
      <c r="D1811" s="2" t="str">
        <f t="shared" si="27"/>
        <v>Error?</v>
      </c>
    </row>
    <row r="1812" spans="1:4" x14ac:dyDescent="0.2">
      <c r="A1812" s="5">
        <v>1751</v>
      </c>
      <c r="B1812" s="138">
        <f>'Tax Sched 23'!E8</f>
        <v>84980</v>
      </c>
      <c r="D1812" s="2" t="str">
        <f t="shared" si="27"/>
        <v>Error?</v>
      </c>
    </row>
    <row r="1813" spans="1:4" x14ac:dyDescent="0.2">
      <c r="A1813" s="5">
        <v>1752</v>
      </c>
      <c r="B1813" s="138">
        <f>'Tax Sched 23'!E10</f>
        <v>35838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149962</v>
      </c>
      <c r="D1816" s="2" t="str">
        <f t="shared" si="27"/>
        <v>Error?</v>
      </c>
    </row>
    <row r="1817" spans="1:4" x14ac:dyDescent="0.2">
      <c r="A1817" s="5">
        <v>1756</v>
      </c>
      <c r="B1817" s="138">
        <f>'Tax Sched 23'!E12</f>
        <v>35838</v>
      </c>
      <c r="D1817" s="2" t="str">
        <f t="shared" si="27"/>
        <v>Error?</v>
      </c>
    </row>
    <row r="1818" spans="1:4" x14ac:dyDescent="0.2">
      <c r="A1818" s="5">
        <v>1757</v>
      </c>
      <c r="B1818" s="138">
        <f>'Tax Sched 23'!E14</f>
        <v>14335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1753217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3233000</v>
      </c>
      <c r="C1939" s="2" t="s">
        <v>594</v>
      </c>
      <c r="D1939" s="2" t="str">
        <f t="shared" si="29"/>
        <v>Error?</v>
      </c>
    </row>
    <row r="1940" spans="1:5" x14ac:dyDescent="0.2">
      <c r="A1940" s="5">
        <v>1879</v>
      </c>
      <c r="B1940" s="138">
        <f>'Short-Term Long-Term Debt 24'!F49</f>
        <v>709909</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13466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13466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13466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369555</v>
      </c>
      <c r="D2008" s="2" t="str">
        <f t="shared" si="30"/>
        <v>Error?</v>
      </c>
    </row>
    <row r="2009" spans="1:4" x14ac:dyDescent="0.2">
      <c r="A2009" s="5">
        <v>1948</v>
      </c>
      <c r="B2009" s="138">
        <f>'Cap Outlay Deprec 26'!C8</f>
        <v>6232979</v>
      </c>
      <c r="D2009" s="2" t="str">
        <f t="shared" si="30"/>
        <v>Error?</v>
      </c>
    </row>
    <row r="2010" spans="1:4" x14ac:dyDescent="0.2">
      <c r="A2010" s="5">
        <v>1949</v>
      </c>
      <c r="B2010" s="138">
        <f>'Cap Outlay Deprec 26'!C10</f>
        <v>261654</v>
      </c>
      <c r="D2010" s="2" t="str">
        <f t="shared" si="30"/>
        <v>Error?</v>
      </c>
    </row>
    <row r="2011" spans="1:4" x14ac:dyDescent="0.2">
      <c r="A2011" s="5">
        <v>1950</v>
      </c>
      <c r="B2011" s="138">
        <f>'Cap Outlay Deprec 26'!C12</f>
        <v>1653894</v>
      </c>
      <c r="D2011" s="2" t="str">
        <f t="shared" si="30"/>
        <v>Error?</v>
      </c>
    </row>
    <row r="2012" spans="1:4" x14ac:dyDescent="0.2">
      <c r="A2012" s="5">
        <v>1951</v>
      </c>
      <c r="B2012" s="138">
        <f>'Cap Outlay Deprec 26'!C13</f>
        <v>192645</v>
      </c>
      <c r="D2012" s="2" t="str">
        <f t="shared" si="30"/>
        <v>Error?</v>
      </c>
    </row>
    <row r="2013" spans="1:4" x14ac:dyDescent="0.2">
      <c r="A2013" s="5">
        <v>1952</v>
      </c>
      <c r="B2013" s="138">
        <f>'Cap Outlay Deprec 26'!C16</f>
        <v>9761146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1182036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148223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1893808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45279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1227315</v>
      </c>
      <c r="C2025" s="2" t="s">
        <v>594</v>
      </c>
      <c r="D2025" s="2" t="str">
        <f t="shared" si="30"/>
        <v>Error?</v>
      </c>
    </row>
    <row r="2026" spans="1:4" x14ac:dyDescent="0.2">
      <c r="A2026" s="5">
        <v>1965</v>
      </c>
      <c r="B2026" s="138">
        <f>'Cap Outlay Deprec 26'!F5</f>
        <v>369555</v>
      </c>
      <c r="C2026" s="2" t="s">
        <v>594</v>
      </c>
      <c r="D2026" s="2" t="str">
        <f t="shared" si="30"/>
        <v>Error?</v>
      </c>
    </row>
    <row r="2027" spans="1:4" x14ac:dyDescent="0.2">
      <c r="A2027" s="5">
        <v>1966</v>
      </c>
      <c r="B2027" s="138">
        <f>'Cap Outlay Deprec 26'!F8</f>
        <v>7415015</v>
      </c>
      <c r="C2027" s="2" t="s">
        <v>594</v>
      </c>
      <c r="D2027" s="2" t="str">
        <f t="shared" si="30"/>
        <v>Error?</v>
      </c>
    </row>
    <row r="2028" spans="1:4" x14ac:dyDescent="0.2">
      <c r="A2028" s="5">
        <v>1967</v>
      </c>
      <c r="B2028" s="138">
        <f>'Cap Outlay Deprec 26'!F10</f>
        <v>261654</v>
      </c>
      <c r="C2028" s="2" t="s">
        <v>594</v>
      </c>
      <c r="D2028" s="2" t="str">
        <f t="shared" si="30"/>
        <v>Error?</v>
      </c>
    </row>
    <row r="2029" spans="1:4" x14ac:dyDescent="0.2">
      <c r="A2029" s="5">
        <v>1968</v>
      </c>
      <c r="B2029" s="138">
        <f>'Cap Outlay Deprec 26'!F12</f>
        <v>1756838</v>
      </c>
      <c r="C2029" s="2" t="s">
        <v>594</v>
      </c>
      <c r="D2029" s="2" t="str">
        <f t="shared" si="30"/>
        <v>Error?</v>
      </c>
    </row>
    <row r="2030" spans="1:4" x14ac:dyDescent="0.2">
      <c r="A2030" s="5">
        <v>1969</v>
      </c>
      <c r="B2030" s="138">
        <f>'Cap Outlay Deprec 26'!F13</f>
        <v>192645</v>
      </c>
      <c r="C2030" s="2" t="s">
        <v>594</v>
      </c>
      <c r="D2030" s="2" t="str">
        <f t="shared" si="30"/>
        <v>Error?</v>
      </c>
    </row>
    <row r="2031" spans="1:4" x14ac:dyDescent="0.2">
      <c r="A2031" s="5">
        <v>1970</v>
      </c>
      <c r="B2031" s="138">
        <f>'Cap Outlay Deprec 26'!F16</f>
        <v>10427639</v>
      </c>
      <c r="C2031" s="2" t="s">
        <v>594</v>
      </c>
      <c r="D2031" s="2" t="str">
        <f t="shared" si="30"/>
        <v>Error?</v>
      </c>
    </row>
    <row r="2032" spans="1:4" x14ac:dyDescent="0.2">
      <c r="A2032" s="10">
        <v>1971</v>
      </c>
      <c r="D2032" s="2" t="str">
        <f t="shared" si="30"/>
        <v>OK</v>
      </c>
    </row>
    <row r="2033" spans="1:4" x14ac:dyDescent="0.2">
      <c r="A2033" s="5">
        <v>1972</v>
      </c>
      <c r="B2033" s="138">
        <f>'Cap Outlay Deprec 26'!H8</f>
        <v>3014245</v>
      </c>
      <c r="D2033" s="2" t="str">
        <f t="shared" si="30"/>
        <v>Error?</v>
      </c>
    </row>
    <row r="2034" spans="1:4" x14ac:dyDescent="0.2">
      <c r="A2034" s="5">
        <v>1973</v>
      </c>
      <c r="B2034" s="138">
        <f>'Cap Outlay Deprec 26'!H10</f>
        <v>45611</v>
      </c>
      <c r="D2034" s="2" t="str">
        <f t="shared" si="30"/>
        <v>Error?</v>
      </c>
    </row>
    <row r="2035" spans="1:4" x14ac:dyDescent="0.2">
      <c r="A2035" s="5">
        <v>1974</v>
      </c>
      <c r="B2035" s="138">
        <f>'Cap Outlay Deprec 26'!H12</f>
        <v>1052501</v>
      </c>
      <c r="D2035" s="2" t="str">
        <f t="shared" si="30"/>
        <v>Error?</v>
      </c>
    </row>
    <row r="2036" spans="1:4" x14ac:dyDescent="0.2">
      <c r="A2036" s="5">
        <v>1975</v>
      </c>
      <c r="B2036" s="138">
        <f>'Cap Outlay Deprec 26'!H13</f>
        <v>189066</v>
      </c>
      <c r="D2036" s="2" t="str">
        <f t="shared" si="30"/>
        <v>Error?</v>
      </c>
    </row>
    <row r="2037" spans="1:4" x14ac:dyDescent="0.2">
      <c r="A2037" s="5">
        <v>1976</v>
      </c>
      <c r="B2037" s="138">
        <f>'Cap Outlay Deprec 26'!H16</f>
        <v>4301423</v>
      </c>
      <c r="C2037" s="2" t="s">
        <v>594</v>
      </c>
      <c r="D2037" s="2" t="str">
        <f t="shared" si="30"/>
        <v>Error?</v>
      </c>
    </row>
    <row r="2038" spans="1:4" x14ac:dyDescent="0.2">
      <c r="A2038" s="10">
        <v>1977</v>
      </c>
      <c r="D2038" s="2" t="str">
        <f t="shared" si="30"/>
        <v>OK</v>
      </c>
    </row>
    <row r="2039" spans="1:4" x14ac:dyDescent="0.2">
      <c r="A2039" s="5">
        <v>1978</v>
      </c>
      <c r="B2039" s="138">
        <f>'Cap Outlay Deprec 26'!I8</f>
        <v>116267</v>
      </c>
      <c r="D2039" s="2" t="str">
        <f t="shared" si="30"/>
        <v>Error?</v>
      </c>
    </row>
    <row r="2040" spans="1:4" x14ac:dyDescent="0.2">
      <c r="A2040" s="5">
        <v>1979</v>
      </c>
      <c r="B2040" s="138">
        <f>'Cap Outlay Deprec 26'!I10</f>
        <v>21748</v>
      </c>
      <c r="D2040" s="2" t="str">
        <f t="shared" si="30"/>
        <v>Error?</v>
      </c>
    </row>
    <row r="2041" spans="1:4" x14ac:dyDescent="0.2">
      <c r="A2041" s="5">
        <v>1980</v>
      </c>
      <c r="B2041" s="138">
        <f>'Cap Outlay Deprec 26'!I12</f>
        <v>90449</v>
      </c>
      <c r="D2041" s="2" t="str">
        <f t="shared" si="30"/>
        <v>Error?</v>
      </c>
    </row>
    <row r="2042" spans="1:4" x14ac:dyDescent="0.2">
      <c r="A2042" s="5">
        <v>1981</v>
      </c>
      <c r="B2042" s="138">
        <f>'Cap Outlay Deprec 26'!I13</f>
        <v>817</v>
      </c>
      <c r="D2042" s="2" t="str">
        <f t="shared" si="30"/>
        <v>Error?</v>
      </c>
    </row>
    <row r="2043" spans="1:4" x14ac:dyDescent="0.2">
      <c r="A2043" s="5">
        <v>1982</v>
      </c>
      <c r="B2043" s="138">
        <f>'Cap Outlay Deprec 26'!I16</f>
        <v>229281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34992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34992</v>
      </c>
      <c r="C2049" s="2" t="s">
        <v>594</v>
      </c>
      <c r="D2049" s="2" t="str">
        <f t="shared" si="31"/>
        <v>Error?</v>
      </c>
    </row>
    <row r="2050" spans="1:4" x14ac:dyDescent="0.2">
      <c r="A2050" s="10">
        <v>1989</v>
      </c>
      <c r="D2050" s="2" t="str">
        <f t="shared" si="31"/>
        <v>OK</v>
      </c>
    </row>
    <row r="2051" spans="1:4" x14ac:dyDescent="0.2">
      <c r="A2051" s="5">
        <v>1990</v>
      </c>
      <c r="B2051" s="138">
        <f>'Cap Outlay Deprec 26'!K8</f>
        <v>3130512</v>
      </c>
      <c r="C2051" s="2" t="s">
        <v>594</v>
      </c>
      <c r="D2051" s="2" t="str">
        <f t="shared" si="31"/>
        <v>Error?</v>
      </c>
    </row>
    <row r="2052" spans="1:4" x14ac:dyDescent="0.2">
      <c r="A2052" s="5">
        <v>1991</v>
      </c>
      <c r="B2052" s="138">
        <f>'Cap Outlay Deprec 26'!K10</f>
        <v>67359</v>
      </c>
      <c r="C2052" s="2" t="s">
        <v>594</v>
      </c>
      <c r="D2052" s="2" t="str">
        <f t="shared" si="31"/>
        <v>Error?</v>
      </c>
    </row>
    <row r="2053" spans="1:4" x14ac:dyDescent="0.2">
      <c r="A2053" s="5">
        <v>1992</v>
      </c>
      <c r="B2053" s="138">
        <f>'Cap Outlay Deprec 26'!K12</f>
        <v>1107958</v>
      </c>
      <c r="C2053" s="2" t="s">
        <v>594</v>
      </c>
      <c r="D2053" s="2" t="str">
        <f t="shared" si="31"/>
        <v>Error?</v>
      </c>
    </row>
    <row r="2054" spans="1:4" x14ac:dyDescent="0.2">
      <c r="A2054" s="5">
        <v>1993</v>
      </c>
      <c r="B2054" s="138">
        <f>'Cap Outlay Deprec 26'!K13</f>
        <v>189883</v>
      </c>
      <c r="C2054" s="2" t="s">
        <v>594</v>
      </c>
      <c r="D2054" s="2" t="str">
        <f t="shared" si="31"/>
        <v>Error?</v>
      </c>
    </row>
    <row r="2055" spans="1:4" x14ac:dyDescent="0.2">
      <c r="A2055" s="5">
        <v>1994</v>
      </c>
      <c r="B2055" s="138">
        <f>'Cap Outlay Deprec 26'!K16</f>
        <v>4495712</v>
      </c>
      <c r="C2055" s="2" t="s">
        <v>594</v>
      </c>
      <c r="D2055" s="2" t="str">
        <f t="shared" si="31"/>
        <v>Error?</v>
      </c>
    </row>
    <row r="2056" spans="1:4" x14ac:dyDescent="0.2">
      <c r="A2056" s="5">
        <v>1995</v>
      </c>
      <c r="B2056" s="138">
        <f>'Cap Outlay Deprec 26'!L5</f>
        <v>369555</v>
      </c>
      <c r="C2056" s="2" t="s">
        <v>594</v>
      </c>
      <c r="D2056" s="2" t="str">
        <f t="shared" si="31"/>
        <v>Error?</v>
      </c>
    </row>
    <row r="2057" spans="1:4" x14ac:dyDescent="0.2">
      <c r="A2057" s="5">
        <v>1996</v>
      </c>
      <c r="B2057" s="138">
        <f>'Cap Outlay Deprec 26'!L8</f>
        <v>4284503</v>
      </c>
      <c r="C2057" s="2" t="s">
        <v>594</v>
      </c>
      <c r="D2057" s="2" t="str">
        <f t="shared" si="31"/>
        <v>Error?</v>
      </c>
    </row>
    <row r="2058" spans="1:4" x14ac:dyDescent="0.2">
      <c r="A2058" s="5">
        <v>1997</v>
      </c>
      <c r="B2058" s="138">
        <f>'Cap Outlay Deprec 26'!L10</f>
        <v>194295</v>
      </c>
      <c r="C2058" s="2" t="s">
        <v>594</v>
      </c>
      <c r="D2058" s="2" t="str">
        <f t="shared" si="31"/>
        <v>Error?</v>
      </c>
    </row>
    <row r="2059" spans="1:4" x14ac:dyDescent="0.2">
      <c r="A2059" s="5">
        <v>1998</v>
      </c>
      <c r="B2059" s="138">
        <f>'Cap Outlay Deprec 26'!L12</f>
        <v>648880</v>
      </c>
      <c r="C2059" s="2" t="s">
        <v>594</v>
      </c>
      <c r="D2059" s="2" t="str">
        <f t="shared" si="31"/>
        <v>Error?</v>
      </c>
    </row>
    <row r="2060" spans="1:4" x14ac:dyDescent="0.2">
      <c r="A2060" s="5">
        <v>1999</v>
      </c>
      <c r="B2060" s="138">
        <f>'Cap Outlay Deprec 26'!L13</f>
        <v>2762</v>
      </c>
      <c r="C2060" s="2" t="s">
        <v>594</v>
      </c>
      <c r="D2060" s="2" t="str">
        <f t="shared" si="31"/>
        <v>Error?</v>
      </c>
    </row>
    <row r="2061" spans="1:4" x14ac:dyDescent="0.2">
      <c r="A2061" s="5">
        <v>2000</v>
      </c>
      <c r="B2061" s="138">
        <f>'Cap Outlay Deprec 26'!L16</f>
        <v>5931927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3586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83637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75531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6662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24695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1082088</v>
      </c>
      <c r="C2551" s="2" t="s">
        <v>594</v>
      </c>
      <c r="D2551" s="2" t="str">
        <f t="shared" si="38"/>
        <v>Error?</v>
      </c>
    </row>
    <row r="2552" spans="1:4" x14ac:dyDescent="0.2">
      <c r="A2552" s="10">
        <v>2491</v>
      </c>
      <c r="D2552" s="2" t="str">
        <f t="shared" si="38"/>
        <v>OK</v>
      </c>
    </row>
    <row r="2553" spans="1:4" x14ac:dyDescent="0.2">
      <c r="A2553" s="5">
        <v>2492</v>
      </c>
      <c r="B2553" s="138">
        <f>'Acct Summary 7-8'!C6</f>
        <v>1594134</v>
      </c>
      <c r="C2553" s="2" t="s">
        <v>594</v>
      </c>
      <c r="D2553" s="2" t="str">
        <f t="shared" si="38"/>
        <v>Error?</v>
      </c>
    </row>
    <row r="2554" spans="1:4" x14ac:dyDescent="0.2">
      <c r="A2554" s="5">
        <v>2493</v>
      </c>
      <c r="B2554" s="138">
        <f>'Acct Summary 7-8'!C7</f>
        <v>274848</v>
      </c>
      <c r="C2554" s="2" t="s">
        <v>594</v>
      </c>
      <c r="D2554" s="2" t="str">
        <f t="shared" si="38"/>
        <v>Error?</v>
      </c>
    </row>
    <row r="2555" spans="1:4" x14ac:dyDescent="0.2">
      <c r="A2555" s="5">
        <v>2494</v>
      </c>
      <c r="B2555" s="138">
        <f>'Acct Summary 7-8'!C8</f>
        <v>3023711</v>
      </c>
      <c r="C2555" s="2" t="s">
        <v>594</v>
      </c>
      <c r="D2555" s="2" t="str">
        <f t="shared" si="38"/>
        <v>Error?</v>
      </c>
    </row>
    <row r="2556" spans="1:4" x14ac:dyDescent="0.2">
      <c r="A2556" s="5">
        <v>2495</v>
      </c>
      <c r="B2556" s="138">
        <f>'Acct Summary 7-8'!C12</f>
        <v>1795934</v>
      </c>
      <c r="C2556" s="2" t="s">
        <v>594</v>
      </c>
      <c r="D2556" s="2" t="str">
        <f t="shared" si="38"/>
        <v>Error?</v>
      </c>
    </row>
    <row r="2557" spans="1:4" x14ac:dyDescent="0.2">
      <c r="A2557" s="5">
        <v>2496</v>
      </c>
      <c r="B2557" s="138">
        <f>'Acct Summary 7-8'!C13</f>
        <v>823770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83637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2703341</v>
      </c>
      <c r="C2561" s="2" t="s">
        <v>594</v>
      </c>
      <c r="D2561" s="2" t="str">
        <f t="shared" si="39"/>
        <v>Error?</v>
      </c>
    </row>
    <row r="2562" spans="1:4" x14ac:dyDescent="0.2">
      <c r="A2562" s="5">
        <v>2501</v>
      </c>
      <c r="B2562" s="138">
        <f>'Acct Summary 7-8'!C20</f>
        <v>320370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195966</v>
      </c>
      <c r="C2564" s="2" t="s">
        <v>594</v>
      </c>
      <c r="D2564" s="2" t="str">
        <f t="shared" si="39"/>
        <v>Error?</v>
      </c>
    </row>
    <row r="2565" spans="1:4" x14ac:dyDescent="0.2">
      <c r="A2565" s="10">
        <v>2504</v>
      </c>
      <c r="D2565" s="2" t="str">
        <f t="shared" si="39"/>
        <v>OK</v>
      </c>
    </row>
    <row r="2566" spans="1:4" x14ac:dyDescent="0.2">
      <c r="A2566" s="5">
        <v>2505</v>
      </c>
      <c r="B2566" s="138">
        <f>'Acct Summary 7-8'!D6</f>
        <v>130000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325966</v>
      </c>
      <c r="C2568" s="2" t="s">
        <v>594</v>
      </c>
      <c r="D2568" s="2" t="str">
        <f t="shared" si="39"/>
        <v>Error?</v>
      </c>
    </row>
    <row r="2569" spans="1:4" x14ac:dyDescent="0.2">
      <c r="A2569" s="5">
        <v>2508</v>
      </c>
      <c r="B2569" s="138">
        <f>'Acct Summary 7-8'!D13</f>
        <v>294724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294724</v>
      </c>
      <c r="C2573" s="2" t="s">
        <v>594</v>
      </c>
      <c r="D2573" s="2" t="str">
        <f t="shared" si="39"/>
        <v>Error?</v>
      </c>
    </row>
    <row r="2574" spans="1:4" x14ac:dyDescent="0.2">
      <c r="A2574" s="5">
        <v>2513</v>
      </c>
      <c r="B2574" s="138">
        <f>'Acct Summary 7-8'!D20</f>
        <v>31242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88508</v>
      </c>
      <c r="C2591" s="2" t="s">
        <v>594</v>
      </c>
      <c r="D2591" s="2" t="str">
        <f t="shared" si="39"/>
        <v>Error?</v>
      </c>
    </row>
    <row r="2592" spans="1:4" x14ac:dyDescent="0.2">
      <c r="A2592" s="10">
        <v>2531</v>
      </c>
      <c r="D2592" s="2" t="str">
        <f t="shared" si="39"/>
        <v>OK</v>
      </c>
    </row>
    <row r="2593" spans="1:4" x14ac:dyDescent="0.2">
      <c r="A2593" s="5">
        <v>2532</v>
      </c>
      <c r="B2593" s="138">
        <f>'Acct Summary 7-8'!F6</f>
        <v>139791</v>
      </c>
      <c r="C2593" s="2" t="s">
        <v>594</v>
      </c>
      <c r="D2593" s="2" t="str">
        <f t="shared" si="39"/>
        <v>Error?</v>
      </c>
    </row>
    <row r="2594" spans="1:4" x14ac:dyDescent="0.2">
      <c r="A2594" s="5">
        <v>2533</v>
      </c>
      <c r="B2594" s="138">
        <f>'Acct Summary 7-8'!F7</f>
        <v>3164</v>
      </c>
      <c r="C2594" s="2" t="s">
        <v>594</v>
      </c>
      <c r="D2594" s="2" t="str">
        <f t="shared" si="39"/>
        <v>Error?</v>
      </c>
    </row>
    <row r="2595" spans="1:4" x14ac:dyDescent="0.2">
      <c r="A2595" s="5">
        <v>2534</v>
      </c>
      <c r="B2595" s="138">
        <f>'Acct Summary 7-8'!F8</f>
        <v>231463</v>
      </c>
      <c r="C2595" s="2" t="s">
        <v>594</v>
      </c>
      <c r="D2595" s="2" t="str">
        <f t="shared" si="39"/>
        <v>Error?</v>
      </c>
    </row>
    <row r="2596" spans="1:4" x14ac:dyDescent="0.2">
      <c r="A2596" s="5">
        <v>2535</v>
      </c>
      <c r="B2596" s="138">
        <f>'Acct Summary 7-8'!F13</f>
        <v>168222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168222</v>
      </c>
      <c r="C2600" s="2" t="s">
        <v>594</v>
      </c>
      <c r="D2600" s="2" t="str">
        <f t="shared" si="39"/>
        <v>Error?</v>
      </c>
    </row>
    <row r="2601" spans="1:4" x14ac:dyDescent="0.2">
      <c r="A2601" s="5">
        <v>2540</v>
      </c>
      <c r="B2601" s="138">
        <f>'Acct Summary 7-8'!F20</f>
        <v>63241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143930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2006</v>
      </c>
      <c r="C2605" s="2" t="s">
        <v>594</v>
      </c>
      <c r="D2605" s="2" t="str">
        <f t="shared" si="39"/>
        <v>Error?</v>
      </c>
    </row>
    <row r="2606" spans="1:4" x14ac:dyDescent="0.2">
      <c r="A2606" s="5">
        <v>2545</v>
      </c>
      <c r="B2606" s="138">
        <f>'Acct Summary 7-8'!G8</f>
        <v>145936</v>
      </c>
      <c r="C2606" s="2" t="s">
        <v>594</v>
      </c>
      <c r="D2606" s="2" t="str">
        <f t="shared" si="39"/>
        <v>Error?</v>
      </c>
    </row>
    <row r="2607" spans="1:4" x14ac:dyDescent="0.2">
      <c r="A2607" s="5">
        <v>2546</v>
      </c>
      <c r="B2607" s="138">
        <f>'Acct Summary 7-8'!G12</f>
        <v>40764</v>
      </c>
      <c r="C2607" s="2" t="s">
        <v>594</v>
      </c>
      <c r="D2607" s="2" t="str">
        <f t="shared" si="39"/>
        <v>Error?</v>
      </c>
    </row>
    <row r="2608" spans="1:4" x14ac:dyDescent="0.2">
      <c r="A2608" s="5">
        <v>2547</v>
      </c>
      <c r="B2608" s="138">
        <f>'Acct Summary 7-8'!G13</f>
        <v>85990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126754</v>
      </c>
      <c r="C2612" s="2" t="s">
        <v>594</v>
      </c>
      <c r="D2612" s="2" t="str">
        <f t="shared" si="39"/>
        <v>Error?</v>
      </c>
    </row>
    <row r="2613" spans="1:4" x14ac:dyDescent="0.2">
      <c r="A2613" s="5">
        <v>2552</v>
      </c>
      <c r="B2613" s="138">
        <f>'Acct Summary 7-8'!G20</f>
        <v>19182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386033</v>
      </c>
      <c r="C2630" s="2" t="s">
        <v>594</v>
      </c>
      <c r="D2630" s="2" t="str">
        <f t="shared" si="40"/>
        <v>Error?</v>
      </c>
    </row>
    <row r="2631" spans="1:4" x14ac:dyDescent="0.2">
      <c r="A2631" s="5">
        <v>2570</v>
      </c>
      <c r="B2631" s="138">
        <f>'Acct Summary 7-8'!E6</f>
        <v>21297</v>
      </c>
      <c r="C2631" s="2" t="s">
        <v>594</v>
      </c>
      <c r="D2631" s="2" t="str">
        <f t="shared" si="40"/>
        <v>Error?</v>
      </c>
    </row>
    <row r="2632" spans="1:4" x14ac:dyDescent="0.2">
      <c r="A2632" s="5">
        <v>2571</v>
      </c>
      <c r="B2632" s="138">
        <f>'Acct Summary 7-8'!E8</f>
        <v>407330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422905</v>
      </c>
      <c r="C2634" s="2" t="s">
        <v>594</v>
      </c>
      <c r="D2634" s="2" t="str">
        <f t="shared" si="40"/>
        <v>Error?</v>
      </c>
    </row>
    <row r="2635" spans="1:4" x14ac:dyDescent="0.2">
      <c r="A2635" s="5">
        <v>2574</v>
      </c>
      <c r="B2635" s="138">
        <f>'Acct Summary 7-8'!E17</f>
        <v>422905</v>
      </c>
      <c r="C2635" s="2" t="s">
        <v>594</v>
      </c>
      <c r="D2635" s="2" t="str">
        <f t="shared" si="40"/>
        <v>Error?</v>
      </c>
    </row>
    <row r="2636" spans="1:4" x14ac:dyDescent="0.2">
      <c r="A2636" s="5">
        <v>2575</v>
      </c>
      <c r="B2636" s="138">
        <f>'Acct Summary 7-8'!E20</f>
        <v>-15575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3323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3323</v>
      </c>
      <c r="C2658" s="2" t="s">
        <v>594</v>
      </c>
      <c r="D2658" s="2" t="str">
        <f t="shared" si="40"/>
        <v>Error?</v>
      </c>
    </row>
    <row r="2659" spans="1:4" x14ac:dyDescent="0.2">
      <c r="A2659" s="5">
        <v>2598</v>
      </c>
      <c r="B2659" s="138">
        <f>'Acct Summary 7-8'!H13</f>
        <v>3818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3818</v>
      </c>
      <c r="C2661" s="2" t="s">
        <v>594</v>
      </c>
      <c r="D2661" s="2" t="str">
        <f t="shared" si="40"/>
        <v>Error?</v>
      </c>
    </row>
    <row r="2662" spans="1:4" x14ac:dyDescent="0.2">
      <c r="A2662" s="5">
        <v>2601</v>
      </c>
      <c r="B2662" s="138">
        <f>'Acct Summary 7-8'!H20</f>
        <v>-495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80051</v>
      </c>
      <c r="C2789" s="2" t="s">
        <v>594</v>
      </c>
      <c r="D2789" s="2" t="str">
        <f t="shared" si="42"/>
        <v>Error?</v>
      </c>
    </row>
    <row r="2790" spans="1:4" x14ac:dyDescent="0.2">
      <c r="A2790" s="5">
        <v>2729</v>
      </c>
      <c r="B2790" s="138">
        <f>'Expenditures 15-22'!E102</f>
        <v>80051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431932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438869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175115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438869</v>
      </c>
      <c r="D2912" s="2" t="str">
        <f t="shared" si="44"/>
        <v>Error?</v>
      </c>
    </row>
    <row r="2913" spans="1:4" x14ac:dyDescent="0.2">
      <c r="A2913" s="5">
        <v>2852</v>
      </c>
      <c r="B2913" s="138">
        <f>'Assets-Liab 5-6'!I41</f>
        <v>438869</v>
      </c>
      <c r="C2913" s="2" t="s">
        <v>594</v>
      </c>
      <c r="D2913" s="2" t="str">
        <f t="shared" si="44"/>
        <v>Error?</v>
      </c>
    </row>
    <row r="2914" spans="1:4" x14ac:dyDescent="0.2">
      <c r="A2914" s="5">
        <v>2853</v>
      </c>
      <c r="B2914" s="138">
        <f>'Assets-Liab 5-6'!L33</f>
        <v>175115</v>
      </c>
      <c r="D2914" s="2" t="str">
        <f t="shared" si="44"/>
        <v>Error?</v>
      </c>
    </row>
    <row r="2915" spans="1:4" x14ac:dyDescent="0.2">
      <c r="A2915" s="10">
        <v>2854</v>
      </c>
      <c r="D2915" s="2" t="str">
        <f t="shared" si="44"/>
        <v>OK</v>
      </c>
    </row>
    <row r="2916" spans="1:4" x14ac:dyDescent="0.2">
      <c r="A2916" s="5">
        <v>2855</v>
      </c>
      <c r="B2916" s="138">
        <f>'Assets-Liab 5-6'!L34</f>
        <v>175115</v>
      </c>
      <c r="C2916" s="2" t="s">
        <v>594</v>
      </c>
      <c r="D2916" s="2" t="str">
        <f t="shared" si="44"/>
        <v>Error?</v>
      </c>
    </row>
    <row r="2917" spans="1:4" x14ac:dyDescent="0.2">
      <c r="A2917" s="5">
        <v>2856</v>
      </c>
      <c r="B2917" s="138">
        <f>'Assets-Liab 5-6'!L41</f>
        <v>175115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80051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3586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80051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3586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15229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15229</v>
      </c>
      <c r="C3062" s="2" t="s">
        <v>594</v>
      </c>
      <c r="D3062" s="2" t="str">
        <f t="shared" si="46"/>
        <v>Error?</v>
      </c>
    </row>
    <row r="3063" spans="1:4" x14ac:dyDescent="0.2">
      <c r="A3063" s="10">
        <v>3002</v>
      </c>
      <c r="D3063" s="2" t="str">
        <f t="shared" si="46"/>
        <v>OK</v>
      </c>
    </row>
    <row r="3064" spans="1:4" x14ac:dyDescent="0.2">
      <c r="A3064" s="5">
        <v>3003</v>
      </c>
      <c r="B3064" s="138">
        <f>'Expenditures 15-22'!D219</f>
        <v>14</v>
      </c>
      <c r="D3064" s="2" t="str">
        <f t="shared" si="46"/>
        <v>Error?</v>
      </c>
    </row>
    <row r="3065" spans="1:4" x14ac:dyDescent="0.2">
      <c r="A3065" s="5">
        <v>3004</v>
      </c>
      <c r="B3065" s="138">
        <f>'Expenditures 15-22'!K219</f>
        <v>14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14198</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34552</v>
      </c>
      <c r="C3225" s="2" t="s">
        <v>594</v>
      </c>
      <c r="D3225" s="2" t="str">
        <f t="shared" si="49"/>
        <v>Error?</v>
      </c>
    </row>
    <row r="3226" spans="1:4" x14ac:dyDescent="0.2">
      <c r="A3226" s="5">
        <v>3165</v>
      </c>
      <c r="B3226" s="138">
        <f>'Acct Summary 7-8'!I8</f>
        <v>34552</v>
      </c>
      <c r="C3226" s="2" t="s">
        <v>594</v>
      </c>
      <c r="D3226" s="2" t="str">
        <f t="shared" si="49"/>
        <v>Error?</v>
      </c>
    </row>
    <row r="3227" spans="1:4" x14ac:dyDescent="0.2">
      <c r="A3227" s="5">
        <v>3166</v>
      </c>
      <c r="B3227" s="138">
        <f>'Acct Summary 7-8'!I20</f>
        <v>34552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320370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31242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63241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19182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14198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14198</v>
      </c>
      <c r="C3277" s="2" t="s">
        <v>594</v>
      </c>
      <c r="D3277" s="2" t="str">
        <f t="shared" si="50"/>
        <v>Error?</v>
      </c>
    </row>
    <row r="3278" spans="1:4" x14ac:dyDescent="0.2">
      <c r="A3278" s="5">
        <v>3217</v>
      </c>
      <c r="B3278" s="138">
        <f>'Acct Summary 7-8'!E78</f>
        <v>-1377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-495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34552</v>
      </c>
      <c r="C3320" s="2" t="s">
        <v>594</v>
      </c>
      <c r="D3320" s="2" t="str">
        <f t="shared" si="50"/>
        <v>Error?</v>
      </c>
    </row>
    <row r="3321" spans="1:4" x14ac:dyDescent="0.2">
      <c r="A3321" s="5">
        <v>3260</v>
      </c>
      <c r="B3321" s="138">
        <f>'Acct Summary 7-8'!I79</f>
        <v>404317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438869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271988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33339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7994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313431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11525</v>
      </c>
      <c r="D3387" s="2" t="str">
        <f t="shared" si="51"/>
        <v>Error?</v>
      </c>
    </row>
    <row r="3388" spans="1:4" x14ac:dyDescent="0.2">
      <c r="A3388" s="5">
        <v>3327</v>
      </c>
      <c r="B3388" s="138">
        <f>'Expenditures 15-22'!D217</f>
        <v>23654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11525</v>
      </c>
      <c r="C3390" s="2" t="s">
        <v>594</v>
      </c>
      <c r="D3390" s="2" t="str">
        <f t="shared" si="51"/>
        <v>Error?</v>
      </c>
    </row>
    <row r="3391" spans="1:4" x14ac:dyDescent="0.2">
      <c r="A3391" s="5">
        <v>3330</v>
      </c>
      <c r="B3391" s="138">
        <f>'Expenditures 15-22'!K217</f>
        <v>23654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72641</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810159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66812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6662</v>
      </c>
      <c r="D3417" s="2" t="str">
        <f t="shared" si="52"/>
        <v>Error?</v>
      </c>
    </row>
    <row r="3418" spans="1:4" x14ac:dyDescent="0.2">
      <c r="A3418" s="10">
        <v>3357</v>
      </c>
      <c r="D3418" s="2" t="str">
        <f t="shared" si="52"/>
        <v>OK</v>
      </c>
    </row>
    <row r="3419" spans="1:4" x14ac:dyDescent="0.2">
      <c r="A3419" s="5">
        <v>3358</v>
      </c>
      <c r="B3419" s="138">
        <f>'Assets-Liab 5-6'!F4</f>
        <v>131646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75531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24695</v>
      </c>
      <c r="D3425" s="2" t="str">
        <f t="shared" si="52"/>
        <v>Error?</v>
      </c>
    </row>
    <row r="3426" spans="1:4" x14ac:dyDescent="0.2">
      <c r="A3426" s="10">
        <v>3365</v>
      </c>
      <c r="D3426" s="2" t="str">
        <f t="shared" si="52"/>
        <v>OK</v>
      </c>
    </row>
    <row r="3427" spans="1:4" x14ac:dyDescent="0.2">
      <c r="A3427" s="5">
        <v>3366</v>
      </c>
      <c r="B3427" s="138">
        <f>'Assets-Liab 5-6'!I4</f>
        <v>438869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175115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65098</v>
      </c>
      <c r="C3446" s="2" t="s">
        <v>594</v>
      </c>
      <c r="D3446" s="2" t="str">
        <f t="shared" si="52"/>
        <v>Error?</v>
      </c>
    </row>
    <row r="3447" spans="1:4" x14ac:dyDescent="0.2">
      <c r="A3447" s="5">
        <v>3386</v>
      </c>
      <c r="B3447" s="138">
        <f>'Tax Sched 23'!D16</f>
        <v>65098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84980</v>
      </c>
      <c r="C3449" s="2" t="s">
        <v>594</v>
      </c>
      <c r="D3449" s="2" t="str">
        <f t="shared" si="52"/>
        <v>Error?</v>
      </c>
    </row>
    <row r="3450" spans="1:4" x14ac:dyDescent="0.2">
      <c r="A3450" s="5">
        <v>3389</v>
      </c>
      <c r="B3450" s="138">
        <f>'Tax Sched 23'!E16</f>
        <v>84980</v>
      </c>
      <c r="D3450" s="2" t="str">
        <f t="shared" si="52"/>
        <v>Error?</v>
      </c>
    </row>
    <row r="3451" spans="1:4" x14ac:dyDescent="0.2">
      <c r="A3451" s="5">
        <v>3390</v>
      </c>
      <c r="B3451" s="138">
        <f>'Cap Outlay Deprec 26'!C15</f>
        <v>1050419</v>
      </c>
      <c r="D3451" s="2" t="str">
        <f t="shared" si="52"/>
        <v>Error?</v>
      </c>
    </row>
    <row r="3452" spans="1:4" x14ac:dyDescent="0.2">
      <c r="A3452" s="5">
        <v>3391</v>
      </c>
      <c r="B3452" s="138">
        <f>'Cap Outlay Deprec 26'!D15</f>
        <v>563549</v>
      </c>
      <c r="D3452" s="2" t="str">
        <f t="shared" si="52"/>
        <v>Error?</v>
      </c>
    </row>
    <row r="3453" spans="1:4" x14ac:dyDescent="0.2">
      <c r="A3453" s="5">
        <v>3392</v>
      </c>
      <c r="B3453" s="138">
        <f>'Cap Outlay Deprec 26'!E15</f>
        <v>1182036</v>
      </c>
      <c r="D3453" s="2" t="str">
        <f t="shared" si="52"/>
        <v>Error?</v>
      </c>
    </row>
    <row r="3454" spans="1:4" x14ac:dyDescent="0.2">
      <c r="A3454" s="5">
        <v>3393</v>
      </c>
      <c r="B3454" s="138">
        <f>'Cap Outlay Deprec 26'!F15</f>
        <v>431932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431932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1357360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1357360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1357360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1357360</v>
      </c>
      <c r="C3568" s="2" t="s">
        <v>594</v>
      </c>
      <c r="D3568" s="2" t="str">
        <f t="shared" si="54"/>
        <v>Error?</v>
      </c>
    </row>
    <row r="3569" spans="1:4" x14ac:dyDescent="0.2">
      <c r="A3569" s="5">
        <v>3508</v>
      </c>
      <c r="B3569" s="138">
        <f>'Acct Summary 7-8'!K4</f>
        <v>36101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36101</v>
      </c>
      <c r="C3571" s="2" t="s">
        <v>594</v>
      </c>
      <c r="D3571" s="2" t="str">
        <f t="shared" si="54"/>
        <v>Error?</v>
      </c>
    </row>
    <row r="3572" spans="1:4" x14ac:dyDescent="0.2">
      <c r="A3572" s="5">
        <v>3511</v>
      </c>
      <c r="B3572" s="138">
        <f>'Acct Summary 7-8'!K13</f>
        <v>574030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574030</v>
      </c>
      <c r="C3575" s="2" t="s">
        <v>594</v>
      </c>
      <c r="D3575" s="2" t="str">
        <f t="shared" si="54"/>
        <v>Error?</v>
      </c>
    </row>
    <row r="3576" spans="1:4" x14ac:dyDescent="0.2">
      <c r="A3576" s="5">
        <v>3515</v>
      </c>
      <c r="B3576" s="138">
        <f>'Acct Summary 7-8'!K20</f>
        <v>-537929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695711</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695711</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695711</v>
      </c>
      <c r="C3587" s="2" t="s">
        <v>594</v>
      </c>
      <c r="D3587" s="2" t="str">
        <f t="shared" si="55"/>
        <v>Error?</v>
      </c>
    </row>
    <row r="3588" spans="1:4" x14ac:dyDescent="0.2">
      <c r="A3588" s="5">
        <v>3527</v>
      </c>
      <c r="B3588" s="138">
        <f>'Acct Summary 7-8'!K78</f>
        <v>157782</v>
      </c>
      <c r="C3588" s="2" t="s">
        <v>594</v>
      </c>
      <c r="D3588" s="2" t="str">
        <f t="shared" si="55"/>
        <v>Error?</v>
      </c>
    </row>
    <row r="3589" spans="1:4" x14ac:dyDescent="0.2">
      <c r="A3589" s="5">
        <v>3528</v>
      </c>
      <c r="B3589" s="138">
        <f>'Acct Summary 7-8'!K79</f>
        <v>1199578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1357360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5806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5806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5806</v>
      </c>
      <c r="C3635" s="2" t="s">
        <v>594</v>
      </c>
      <c r="D3635" s="2" t="str">
        <f t="shared" si="55"/>
        <v>Error?</v>
      </c>
    </row>
    <row r="3636" spans="1:4" x14ac:dyDescent="0.2">
      <c r="A3636" s="5">
        <v>3575</v>
      </c>
      <c r="B3636" s="138">
        <f>'Expenditures 15-22'!E367</f>
        <v>5806</v>
      </c>
      <c r="C3636" s="2" t="s">
        <v>594</v>
      </c>
      <c r="D3636" s="2" t="str">
        <f t="shared" si="55"/>
        <v>Error?</v>
      </c>
    </row>
    <row r="3637" spans="1:4" x14ac:dyDescent="0.2">
      <c r="A3637" s="10">
        <v>3576</v>
      </c>
      <c r="D3637" s="2" t="str">
        <f t="shared" si="55"/>
        <v>OK</v>
      </c>
    </row>
    <row r="3638" spans="1:4" x14ac:dyDescent="0.2">
      <c r="A3638" s="5">
        <v>3577</v>
      </c>
      <c r="B3638" s="138">
        <f>'Expenditures 15-22'!F348</f>
        <v>4907</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4907</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4907</v>
      </c>
      <c r="C3642" s="2" t="s">
        <v>594</v>
      </c>
      <c r="D3642" s="2" t="str">
        <f t="shared" si="55"/>
        <v>Error?</v>
      </c>
    </row>
    <row r="3643" spans="1:4" x14ac:dyDescent="0.2">
      <c r="A3643" s="5">
        <v>3582</v>
      </c>
      <c r="B3643" s="138">
        <f>'Expenditures 15-22'!F367</f>
        <v>4907</v>
      </c>
      <c r="C3643" s="2" t="s">
        <v>594</v>
      </c>
      <c r="D3643" s="2" t="str">
        <f t="shared" si="55"/>
        <v>Error?</v>
      </c>
    </row>
    <row r="3644" spans="1:4" x14ac:dyDescent="0.2">
      <c r="A3644" s="10">
        <v>3583</v>
      </c>
      <c r="D3644" s="2" t="str">
        <f t="shared" si="55"/>
        <v>OK</v>
      </c>
    </row>
    <row r="3645" spans="1:4" x14ac:dyDescent="0.2">
      <c r="A3645" s="5">
        <v>3584</v>
      </c>
      <c r="B3645" s="138">
        <f>'Expenditures 15-22'!G348</f>
        <v>563317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563317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563317</v>
      </c>
      <c r="C3649" s="2" t="s">
        <v>594</v>
      </c>
      <c r="D3649" s="2" t="str">
        <f t="shared" si="56"/>
        <v>Error?</v>
      </c>
    </row>
    <row r="3650" spans="1:4" x14ac:dyDescent="0.2">
      <c r="A3650" s="5">
        <v>3589</v>
      </c>
      <c r="B3650" s="138">
        <f>'Expenditures 15-22'!G367</f>
        <v>563317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574030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574030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574030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574030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-537929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33666</v>
      </c>
      <c r="C3725" s="2" t="s">
        <v>594</v>
      </c>
      <c r="D3725" s="2" t="str">
        <f t="shared" si="57"/>
        <v>Error?</v>
      </c>
    </row>
    <row r="3726" spans="1:4" x14ac:dyDescent="0.2">
      <c r="A3726" s="5">
        <v>3665</v>
      </c>
      <c r="B3726" s="138">
        <f>'Tax Sched 23'!D13</f>
        <v>33666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35838</v>
      </c>
      <c r="C3728" s="2" t="s">
        <v>594</v>
      </c>
      <c r="D3728" s="2" t="str">
        <f t="shared" si="57"/>
        <v>Error?</v>
      </c>
    </row>
    <row r="3729" spans="1:4" x14ac:dyDescent="0.2">
      <c r="A3729" s="5">
        <v>3668</v>
      </c>
      <c r="B3729" s="138">
        <f>'Tax Sched 23'!E13</f>
        <v>35838</v>
      </c>
      <c r="D3729" s="2" t="str">
        <f t="shared" si="57"/>
        <v>Error?</v>
      </c>
    </row>
    <row r="3730" spans="1:4" x14ac:dyDescent="0.2">
      <c r="A3730" s="5">
        <v>3669</v>
      </c>
      <c r="B3730" s="138">
        <f>'ICR Computation 30'!E10</f>
        <v>65931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1131757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4155468</v>
      </c>
      <c r="C4122" s="2" t="s">
        <v>594</v>
      </c>
      <c r="D4122" s="2" t="str">
        <f t="shared" si="63"/>
        <v>Error?</v>
      </c>
    </row>
    <row r="4123" spans="1:4" x14ac:dyDescent="0.2">
      <c r="A4123" s="5">
        <v>4062</v>
      </c>
      <c r="B4123" s="138">
        <f>'Acct Summary 7-8'!D10</f>
        <v>325966</v>
      </c>
      <c r="C4123" s="2" t="s">
        <v>594</v>
      </c>
      <c r="D4123" s="2" t="str">
        <f t="shared" si="63"/>
        <v>Error?</v>
      </c>
    </row>
    <row r="4124" spans="1:4" x14ac:dyDescent="0.2">
      <c r="A4124" s="5">
        <v>4063</v>
      </c>
      <c r="B4124" s="138">
        <f>'Acct Summary 7-8'!E10</f>
        <v>407330</v>
      </c>
      <c r="C4124" s="2" t="s">
        <v>594</v>
      </c>
      <c r="D4124" s="2" t="str">
        <f t="shared" si="63"/>
        <v>Error?</v>
      </c>
    </row>
    <row r="4125" spans="1:4" x14ac:dyDescent="0.2">
      <c r="A4125" s="5">
        <v>4064</v>
      </c>
      <c r="B4125" s="138">
        <f>'Acct Summary 7-8'!F10</f>
        <v>231463</v>
      </c>
      <c r="C4125" s="2" t="s">
        <v>594</v>
      </c>
      <c r="D4125" s="2" t="str">
        <f t="shared" si="63"/>
        <v>Error?</v>
      </c>
    </row>
    <row r="4126" spans="1:4" x14ac:dyDescent="0.2">
      <c r="A4126" s="5">
        <v>4065</v>
      </c>
      <c r="B4126" s="138">
        <f>'Acct Summary 7-8'!G10</f>
        <v>145936</v>
      </c>
      <c r="C4126" s="2" t="s">
        <v>594</v>
      </c>
      <c r="D4126" s="2" t="str">
        <f t="shared" si="63"/>
        <v>Error?</v>
      </c>
    </row>
    <row r="4127" spans="1:4" x14ac:dyDescent="0.2">
      <c r="A4127" s="5">
        <v>4066</v>
      </c>
      <c r="B4127" s="138">
        <f>'Acct Summary 7-8'!H10</f>
        <v>3323</v>
      </c>
      <c r="C4127" s="2" t="s">
        <v>594</v>
      </c>
      <c r="D4127" s="2" t="str">
        <f t="shared" si="63"/>
        <v>Error?</v>
      </c>
    </row>
    <row r="4128" spans="1:4" x14ac:dyDescent="0.2">
      <c r="A4128" s="5">
        <v>4067</v>
      </c>
      <c r="B4128" s="138">
        <f>'Acct Summary 7-8'!I10</f>
        <v>34552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36101</v>
      </c>
      <c r="C4130" s="2" t="s">
        <v>594</v>
      </c>
      <c r="D4130" s="2" t="str">
        <f t="shared" si="63"/>
        <v>Error?</v>
      </c>
    </row>
    <row r="4131" spans="1:4" x14ac:dyDescent="0.2">
      <c r="A4131" s="5">
        <v>4070</v>
      </c>
      <c r="B4131" s="138">
        <f>'Acct Summary 7-8'!C18</f>
        <v>1131757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3835098</v>
      </c>
      <c r="C4136" s="2" t="s">
        <v>594</v>
      </c>
      <c r="D4136" s="2" t="str">
        <f t="shared" si="63"/>
        <v>Error?</v>
      </c>
    </row>
    <row r="4137" spans="1:4" x14ac:dyDescent="0.2">
      <c r="A4137" s="5">
        <v>4076</v>
      </c>
      <c r="B4137" s="138">
        <f>'Acct Summary 7-8'!D19</f>
        <v>294724</v>
      </c>
      <c r="C4137" s="2" t="s">
        <v>594</v>
      </c>
      <c r="D4137" s="2" t="str">
        <f t="shared" si="63"/>
        <v>Error?</v>
      </c>
    </row>
    <row r="4138" spans="1:4" x14ac:dyDescent="0.2">
      <c r="A4138" s="5">
        <v>4077</v>
      </c>
      <c r="B4138" s="138">
        <f>'Acct Summary 7-8'!E19</f>
        <v>422905</v>
      </c>
      <c r="C4138" s="2" t="s">
        <v>594</v>
      </c>
      <c r="D4138" s="2" t="str">
        <f t="shared" si="63"/>
        <v>Error?</v>
      </c>
    </row>
    <row r="4139" spans="1:4" x14ac:dyDescent="0.2">
      <c r="A4139" s="5">
        <v>4078</v>
      </c>
      <c r="B4139" s="138">
        <f>'Acct Summary 7-8'!F19</f>
        <v>168222</v>
      </c>
      <c r="C4139" s="2" t="s">
        <v>594</v>
      </c>
      <c r="D4139" s="2" t="str">
        <f t="shared" si="63"/>
        <v>Error?</v>
      </c>
    </row>
    <row r="4140" spans="1:4" x14ac:dyDescent="0.2">
      <c r="A4140" s="5">
        <v>4079</v>
      </c>
      <c r="B4140" s="138">
        <f>'Acct Summary 7-8'!G19</f>
        <v>126754</v>
      </c>
      <c r="C4140" s="2" t="s">
        <v>594</v>
      </c>
      <c r="D4140" s="2" t="str">
        <f t="shared" si="63"/>
        <v>Error?</v>
      </c>
    </row>
    <row r="4141" spans="1:4" x14ac:dyDescent="0.2">
      <c r="A4141" s="5">
        <v>4080</v>
      </c>
      <c r="B4141" s="138">
        <f>'Acct Summary 7-8'!H19</f>
        <v>3818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574030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3590909</v>
      </c>
      <c r="C4171" s="2" t="s">
        <v>594</v>
      </c>
      <c r="D4171" s="2" t="str">
        <f t="shared" si="64"/>
        <v>Error?</v>
      </c>
    </row>
    <row r="4172" spans="1:4" x14ac:dyDescent="0.2">
      <c r="A4172" s="5">
        <v>4111</v>
      </c>
      <c r="B4172" s="138">
        <f>'Short-Term Long-Term Debt 24'!J49</f>
        <v>3584247</v>
      </c>
      <c r="C4172" s="2" t="s">
        <v>594</v>
      </c>
      <c r="D4172" s="2" t="str">
        <f t="shared" si="64"/>
        <v>Error?</v>
      </c>
    </row>
    <row r="4173" spans="1:4" x14ac:dyDescent="0.2">
      <c r="A4173" s="5">
        <v>4112</v>
      </c>
      <c r="B4173" s="138">
        <f>'Short-Term Long-Term Debt 24'!H49</f>
        <v>352000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1463661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47705</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52777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52777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59927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16151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71676664</v>
      </c>
      <c r="D4995" s="2" t="str">
        <f t="shared" si="77"/>
        <v>Error?</v>
      </c>
    </row>
    <row r="4996" spans="1:4" x14ac:dyDescent="0.2">
      <c r="A4996" s="12">
        <v>4935</v>
      </c>
      <c r="B4996" s="138">
        <f>'FP Info 3'!H31</f>
        <v>4945689.8160000006</v>
      </c>
      <c r="D4996" s="2" t="str">
        <f t="shared" si="77"/>
        <v>Error?</v>
      </c>
    </row>
    <row r="4997" spans="1:4" x14ac:dyDescent="0.2">
      <c r="A4997" s="12">
        <v>4936</v>
      </c>
      <c r="B4997" s="138">
        <f>'FP Info 3'!H37</f>
        <v>3590909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33666</v>
      </c>
      <c r="D5026" s="2" t="str">
        <f t="shared" si="77"/>
        <v>Error?</v>
      </c>
    </row>
    <row r="5027" spans="1:4" x14ac:dyDescent="0.2">
      <c r="A5027" s="5">
        <v>4966</v>
      </c>
      <c r="B5027" s="138">
        <f>'Revenues 9-14'!F104</f>
        <v>6990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619348</v>
      </c>
      <c r="D5061" s="2" t="str">
        <f t="shared" si="78"/>
        <v>Error?</v>
      </c>
    </row>
    <row r="5062" spans="1:4" x14ac:dyDescent="0.2">
      <c r="A5062" s="10">
        <v>5001</v>
      </c>
      <c r="D5062" s="2" t="str">
        <f t="shared" si="78"/>
        <v>OK</v>
      </c>
    </row>
    <row r="5063" spans="1:4" x14ac:dyDescent="0.2">
      <c r="A5063" s="5">
        <v>5002</v>
      </c>
      <c r="B5063" s="138">
        <f>'Revenues 9-14'!C7</f>
        <v>13466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666480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234624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234624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1232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1232</v>
      </c>
      <c r="C5090" s="2" t="s">
        <v>594</v>
      </c>
      <c r="D5090" s="2" t="str">
        <f t="shared" si="78"/>
        <v>Error?</v>
      </c>
    </row>
    <row r="5091" spans="1:4" x14ac:dyDescent="0.2">
      <c r="A5091" s="5">
        <v>5030</v>
      </c>
      <c r="B5091" s="138">
        <f>'Revenues 9-14'!C70</f>
        <v>8201</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20348</v>
      </c>
      <c r="D5093" s="2" t="str">
        <f t="shared" si="78"/>
        <v>Error?</v>
      </c>
    </row>
    <row r="5094" spans="1:4" x14ac:dyDescent="0.2">
      <c r="A5094" s="5">
        <v>5033</v>
      </c>
      <c r="B5094" s="138">
        <f>'Revenues 9-14'!C73</f>
        <v>2161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48669</v>
      </c>
      <c r="C5096" s="2" t="s">
        <v>594</v>
      </c>
      <c r="D5096" s="2" t="str">
        <f t="shared" si="78"/>
        <v>Error?</v>
      </c>
    </row>
    <row r="5097" spans="1:4" x14ac:dyDescent="0.2">
      <c r="A5097" s="5">
        <v>5036</v>
      </c>
      <c r="B5097" s="138">
        <f>'Revenues 9-14'!C77</f>
        <v>25200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4200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29400</v>
      </c>
      <c r="C5102" s="2" t="s">
        <v>594</v>
      </c>
      <c r="D5102" s="2" t="str">
        <f t="shared" si="78"/>
        <v>Error?</v>
      </c>
    </row>
    <row r="5103" spans="1:4" x14ac:dyDescent="0.2">
      <c r="A5103" s="5">
        <v>5042</v>
      </c>
      <c r="B5103" s="138">
        <f>'Revenues 9-14'!C84</f>
        <v>11708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11708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9711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7582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5042</v>
      </c>
      <c r="D5119" s="2" t="str">
        <f t="shared" ref="D5119:D5182" si="79">IF(ISBLANK(B5119),"OK",IF(A5119-B5119=0,"OK","Error?"))</f>
        <v>Error?</v>
      </c>
    </row>
    <row r="5120" spans="1:4" x14ac:dyDescent="0.2">
      <c r="A5120" s="5">
        <v>5059</v>
      </c>
      <c r="B5120" s="138">
        <f>'Revenues 9-14'!C108</f>
        <v>89975</v>
      </c>
      <c r="C5120" s="2" t="s">
        <v>594</v>
      </c>
      <c r="D5120" s="2" t="str">
        <f t="shared" si="79"/>
        <v>Error?</v>
      </c>
    </row>
    <row r="5121" spans="1:4" x14ac:dyDescent="0.2">
      <c r="A5121" s="5">
        <v>5060</v>
      </c>
      <c r="B5121" s="138">
        <f>'Revenues 9-14'!C109</f>
        <v>1082088</v>
      </c>
      <c r="C5121" s="2" t="s">
        <v>594</v>
      </c>
      <c r="D5121" s="2" t="str">
        <f t="shared" si="79"/>
        <v>Error?</v>
      </c>
    </row>
    <row r="5122" spans="1:4" x14ac:dyDescent="0.2">
      <c r="A5122" s="5">
        <v>5061</v>
      </c>
      <c r="B5122" s="138">
        <f>'Revenues 9-14'!C111</f>
        <v>40023</v>
      </c>
      <c r="D5122" s="2" t="str">
        <f t="shared" si="79"/>
        <v>Error?</v>
      </c>
    </row>
    <row r="5123" spans="1:4" x14ac:dyDescent="0.2">
      <c r="A5123" s="5">
        <v>5062</v>
      </c>
      <c r="B5123" s="138">
        <f>'Revenues 9-14'!C112</f>
        <v>32618</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72641</v>
      </c>
      <c r="C5125" s="2" t="s">
        <v>594</v>
      </c>
      <c r="D5125" s="2" t="str">
        <f t="shared" si="79"/>
        <v>Error?</v>
      </c>
    </row>
    <row r="5126" spans="1:4" x14ac:dyDescent="0.2">
      <c r="A5126" s="5">
        <v>5065</v>
      </c>
      <c r="B5126" s="138">
        <f>'Revenues 9-14'!C117</f>
        <v>1495418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1495418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24595</v>
      </c>
      <c r="D5134" s="2" t="str">
        <f t="shared" si="79"/>
        <v>Error?</v>
      </c>
    </row>
    <row r="5135" spans="1:4" x14ac:dyDescent="0.2">
      <c r="A5135" s="5">
        <v>5074</v>
      </c>
      <c r="B5135" s="138">
        <f>'Revenues 9-14'!C126</f>
        <v>34750</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64548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809</v>
      </c>
      <c r="D5167" s="2" t="str">
        <f t="shared" si="79"/>
        <v>Error?</v>
      </c>
    </row>
    <row r="5168" spans="1:4" x14ac:dyDescent="0.2">
      <c r="A5168" s="5">
        <v>5107</v>
      </c>
      <c r="B5168" s="138">
        <f>'Revenues 9-14'!C147</f>
        <v>17208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98716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1594134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49273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16658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113636</v>
      </c>
      <c r="C5246" s="2" t="s">
        <v>594</v>
      </c>
      <c r="D5246" s="2" t="str">
        <f t="shared" si="80"/>
        <v>Error?</v>
      </c>
    </row>
    <row r="5247" spans="1:4" x14ac:dyDescent="0.2">
      <c r="A5247" s="5">
        <v>5186</v>
      </c>
      <c r="B5247" s="138">
        <f>'Revenues 9-14'!C203</f>
        <v>103436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103436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274848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274848</v>
      </c>
      <c r="C5326" s="2" t="s">
        <v>594</v>
      </c>
      <c r="D5326" s="2" t="str">
        <f t="shared" si="82"/>
        <v>Error?</v>
      </c>
    </row>
    <row r="5327" spans="1:4" x14ac:dyDescent="0.2">
      <c r="A5327" s="5">
        <v>5266</v>
      </c>
      <c r="B5327" s="138">
        <f>'Revenues 9-14'!C275</f>
        <v>3023711</v>
      </c>
      <c r="C5327" s="2" t="s">
        <v>594</v>
      </c>
      <c r="D5327" s="2" t="str">
        <f t="shared" si="82"/>
        <v>Error?</v>
      </c>
    </row>
    <row r="5328" spans="1:4" x14ac:dyDescent="0.2">
      <c r="A5328" s="5">
        <v>5267</v>
      </c>
      <c r="B5328" s="138">
        <f>'Revenues 9-14'!D5</f>
        <v>168330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168330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234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3520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22289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1593</v>
      </c>
      <c r="D5354" s="2" t="str">
        <f t="shared" si="82"/>
        <v>Error?</v>
      </c>
    </row>
    <row r="5355" spans="1:4" x14ac:dyDescent="0.2">
      <c r="A5355" s="5">
        <v>5294</v>
      </c>
      <c r="B5355" s="138">
        <f>'Revenues 9-14'!D108</f>
        <v>27402</v>
      </c>
      <c r="C5355" s="2" t="s">
        <v>594</v>
      </c>
      <c r="D5355" s="2" t="str">
        <f t="shared" si="82"/>
        <v>Error?</v>
      </c>
    </row>
    <row r="5356" spans="1:4" x14ac:dyDescent="0.2">
      <c r="A5356" s="5">
        <v>5295</v>
      </c>
      <c r="B5356" s="138">
        <f>'Revenues 9-14'!D109</f>
        <v>195966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130000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130000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130000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325966</v>
      </c>
      <c r="C5508" s="2" t="s">
        <v>594</v>
      </c>
      <c r="D5508" s="2" t="str">
        <f t="shared" si="85"/>
        <v>Error?</v>
      </c>
    </row>
    <row r="5509" spans="1:4" x14ac:dyDescent="0.2">
      <c r="A5509" s="5">
        <v>5448</v>
      </c>
      <c r="B5509" s="138">
        <f>'Revenues 9-14'!E5</f>
        <v>385941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385941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92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386033</v>
      </c>
      <c r="C5527" s="2" t="s">
        <v>594</v>
      </c>
      <c r="D5527" s="2" t="str">
        <f t="shared" si="85"/>
        <v>Error?</v>
      </c>
    </row>
    <row r="5528" spans="1:4" x14ac:dyDescent="0.2">
      <c r="A5528" s="5">
        <v>5467</v>
      </c>
      <c r="B5528" s="138">
        <f>'Revenues 9-14'!E117</f>
        <v>21297</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21297</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21297</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407330</v>
      </c>
      <c r="C5552" s="2" t="s">
        <v>594</v>
      </c>
      <c r="D5552" s="2" t="str">
        <f t="shared" si="85"/>
        <v>Error?</v>
      </c>
    </row>
    <row r="5553" spans="1:4" x14ac:dyDescent="0.2">
      <c r="A5553" s="5">
        <v>5492</v>
      </c>
      <c r="B5553" s="138">
        <f>'Revenues 9-14'!F5</f>
        <v>80798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80798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260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460</v>
      </c>
      <c r="D5586" s="2" t="str">
        <f t="shared" si="86"/>
        <v>Error?</v>
      </c>
    </row>
    <row r="5587" spans="1:4" x14ac:dyDescent="0.2">
      <c r="A5587" s="5">
        <v>5526</v>
      </c>
      <c r="B5587" s="138">
        <f>'Revenues 9-14'!F108</f>
        <v>7450</v>
      </c>
      <c r="C5587" s="2" t="s">
        <v>594</v>
      </c>
      <c r="D5587" s="2" t="str">
        <f t="shared" si="86"/>
        <v>Error?</v>
      </c>
    </row>
    <row r="5588" spans="1:4" x14ac:dyDescent="0.2">
      <c r="A5588" s="5">
        <v>5527</v>
      </c>
      <c r="B5588" s="138">
        <f>'Revenues 9-14'!F109</f>
        <v>88508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40000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40000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88460</v>
      </c>
      <c r="D5615" s="2" t="str">
        <f t="shared" si="86"/>
        <v>Error?</v>
      </c>
    </row>
    <row r="5616" spans="1:4" x14ac:dyDescent="0.2">
      <c r="A5616" s="10">
        <v>5555</v>
      </c>
      <c r="D5616" s="2" t="str">
        <f t="shared" si="86"/>
        <v>OK</v>
      </c>
    </row>
    <row r="5617" spans="1:4" x14ac:dyDescent="0.2">
      <c r="A5617" s="5">
        <v>5556</v>
      </c>
      <c r="B5617" s="138">
        <f>'Revenues 9-14'!F152</f>
        <v>11331</v>
      </c>
      <c r="D5617" s="2" t="str">
        <f t="shared" si="86"/>
        <v>Error?</v>
      </c>
    </row>
    <row r="5618" spans="1:4" x14ac:dyDescent="0.2">
      <c r="A5618" s="5">
        <v>5557</v>
      </c>
      <c r="B5618" s="138">
        <f>'Revenues 9-14'!F154</f>
        <v>99791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99791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139791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3164</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3164</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3164</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3164</v>
      </c>
      <c r="C5719" s="2" t="s">
        <v>594</v>
      </c>
      <c r="D5719" s="2" t="str">
        <f t="shared" si="88"/>
        <v>Error?</v>
      </c>
    </row>
    <row r="5720" spans="1:4" x14ac:dyDescent="0.2">
      <c r="A5720" s="5">
        <v>5659</v>
      </c>
      <c r="B5720" s="138">
        <f>'Revenues 9-14'!F275</f>
        <v>231463</v>
      </c>
      <c r="C5720" s="2" t="s">
        <v>594</v>
      </c>
      <c r="D5720" s="2" t="str">
        <f t="shared" si="88"/>
        <v>Error?</v>
      </c>
    </row>
    <row r="5721" spans="1:4" x14ac:dyDescent="0.2">
      <c r="A5721" s="5">
        <v>5660</v>
      </c>
      <c r="B5721" s="138">
        <f>'Revenues 9-14'!G5</f>
        <v>65102</v>
      </c>
      <c r="D5721" s="2" t="str">
        <f t="shared" si="88"/>
        <v>Error?</v>
      </c>
    </row>
    <row r="5722" spans="1:4" x14ac:dyDescent="0.2">
      <c r="A5722" s="5">
        <v>5661</v>
      </c>
      <c r="B5722" s="138">
        <f>'Revenues 9-14'!G7</f>
        <v>0</v>
      </c>
      <c r="D5722" s="2" t="str">
        <f t="shared" si="88"/>
        <v>Error?</v>
      </c>
    </row>
    <row r="5723" spans="1:4" x14ac:dyDescent="0.2">
      <c r="A5723" s="5">
        <v>5662</v>
      </c>
      <c r="B5723" s="138">
        <f>'Revenues 9-14'!G8</f>
        <v>65098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130200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13547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13547</v>
      </c>
      <c r="C5730" s="2" t="s">
        <v>594</v>
      </c>
      <c r="D5730" s="2" t="str">
        <f t="shared" si="88"/>
        <v>Error?</v>
      </c>
    </row>
    <row r="5731" spans="1:4" x14ac:dyDescent="0.2">
      <c r="A5731" s="5">
        <v>5670</v>
      </c>
      <c r="B5731" s="138">
        <f>'Revenues 9-14'!G65</f>
        <v>183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2006</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2006</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2006</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2006</v>
      </c>
      <c r="C5869" s="2" t="s">
        <v>594</v>
      </c>
      <c r="D5869" s="2" t="str">
        <f t="shared" si="90"/>
        <v>Error?</v>
      </c>
    </row>
    <row r="5870" spans="1:4" x14ac:dyDescent="0.2">
      <c r="A5870" s="5">
        <v>5809</v>
      </c>
      <c r="B5870" s="138">
        <f>'Revenues 9-14'!G275</f>
        <v>145936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3275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3323</v>
      </c>
      <c r="C5915" s="2" t="s">
        <v>594</v>
      </c>
      <c r="D5915" s="2" t="str">
        <f t="shared" si="91"/>
        <v>Error?</v>
      </c>
    </row>
    <row r="5916" spans="1:4" x14ac:dyDescent="0.2">
      <c r="A5916" s="5">
        <v>5855</v>
      </c>
      <c r="B5916" s="138">
        <f>'Revenues 9-14'!I5</f>
        <v>33666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33666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886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886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34552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33668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33668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2433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2433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36101</v>
      </c>
      <c r="C6023" s="2" t="s">
        <v>594</v>
      </c>
      <c r="D6023" s="2" t="str">
        <f t="shared" si="93"/>
        <v>Error?</v>
      </c>
    </row>
    <row r="6024" spans="1:5" x14ac:dyDescent="0.2">
      <c r="A6024" s="5">
        <v>5963</v>
      </c>
      <c r="B6024" s="138">
        <f>'Revenues 9-14'!G109</f>
        <v>143930</v>
      </c>
      <c r="C6024" s="2" t="s">
        <v>594</v>
      </c>
      <c r="D6024" s="2" t="str">
        <f t="shared" si="93"/>
        <v>Error?</v>
      </c>
    </row>
    <row r="6025" spans="1:5" x14ac:dyDescent="0.2">
      <c r="A6025" s="5">
        <v>5964</v>
      </c>
      <c r="B6025" s="138">
        <f>'Revenues 9-14'!H109</f>
        <v>3323</v>
      </c>
      <c r="C6025" s="2" t="s">
        <v>594</v>
      </c>
      <c r="D6025" s="2" t="str">
        <f t="shared" si="93"/>
        <v>Error?</v>
      </c>
    </row>
    <row r="6026" spans="1:5" x14ac:dyDescent="0.2">
      <c r="A6026" s="5">
        <v>5965</v>
      </c>
      <c r="B6026" s="138">
        <f>'Revenues 9-14'!I109</f>
        <v>34552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36101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17959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349.59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87021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87021</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87021</v>
      </c>
      <c r="D6216" s="2" t="str">
        <f t="shared" si="96"/>
        <v>Error?</v>
      </c>
      <c r="E6216" s="2" t="s">
        <v>199</v>
      </c>
    </row>
    <row r="6217" spans="1:5" x14ac:dyDescent="0.2">
      <c r="A6217">
        <v>6156</v>
      </c>
      <c r="B6217" s="138">
        <f>'Assets-Liab 5-6'!J4</f>
        <v>87021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150385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150385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150385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109064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109064</v>
      </c>
      <c r="D6229" s="2" t="str">
        <f t="shared" si="96"/>
        <v>Error?</v>
      </c>
      <c r="E6229" s="2" t="s">
        <v>199</v>
      </c>
    </row>
    <row r="6230" spans="1:5" x14ac:dyDescent="0.2">
      <c r="A6230">
        <v>6169</v>
      </c>
      <c r="B6230" s="138">
        <f>'Acct Summary 7-8'!J20</f>
        <v>41321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41321</v>
      </c>
      <c r="D6263" s="2" t="str">
        <f t="shared" si="96"/>
        <v>Error?</v>
      </c>
      <c r="E6263" s="2" t="s">
        <v>199</v>
      </c>
    </row>
    <row r="6264" spans="1:5" x14ac:dyDescent="0.2">
      <c r="A6264">
        <v>6203</v>
      </c>
      <c r="B6264" s="138">
        <f>'Acct Summary 7-8'!J79</f>
        <v>45700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87021</v>
      </c>
      <c r="D6266" s="2" t="str">
        <f t="shared" si="96"/>
        <v>Error?</v>
      </c>
      <c r="E6266" s="2" t="s">
        <v>199</v>
      </c>
    </row>
    <row r="6267" spans="1:5" x14ac:dyDescent="0.2">
      <c r="A6267">
        <v>6206</v>
      </c>
      <c r="B6267" s="138">
        <f>'Acct Summary 7-8'!C82</f>
        <v>320370</v>
      </c>
      <c r="D6267" s="2" t="str">
        <f t="shared" si="96"/>
        <v>Error?</v>
      </c>
      <c r="E6267" s="2" t="s">
        <v>199</v>
      </c>
    </row>
    <row r="6268" spans="1:5" x14ac:dyDescent="0.2">
      <c r="A6268">
        <v>6207</v>
      </c>
      <c r="B6268" s="138">
        <f>'Acct Summary 7-8'!D82</f>
        <v>31242</v>
      </c>
      <c r="D6268" s="2" t="str">
        <f t="shared" si="96"/>
        <v>Error?</v>
      </c>
      <c r="E6268" s="2" t="s">
        <v>199</v>
      </c>
    </row>
    <row r="6269" spans="1:5" x14ac:dyDescent="0.2">
      <c r="A6269">
        <v>6208</v>
      </c>
      <c r="B6269" s="138">
        <f>'Acct Summary 7-8'!E82</f>
        <v>-1377</v>
      </c>
      <c r="D6269" s="2" t="str">
        <f t="shared" si="96"/>
        <v>Error?</v>
      </c>
      <c r="E6269" s="2" t="s">
        <v>199</v>
      </c>
    </row>
    <row r="6270" spans="1:5" x14ac:dyDescent="0.2">
      <c r="A6270">
        <v>6209</v>
      </c>
      <c r="B6270" s="138">
        <f>'Acct Summary 7-8'!F82</f>
        <v>63241</v>
      </c>
      <c r="D6270" s="2" t="str">
        <f t="shared" si="96"/>
        <v>Error?</v>
      </c>
      <c r="E6270" s="2" t="s">
        <v>199</v>
      </c>
    </row>
    <row r="6271" spans="1:5" x14ac:dyDescent="0.2">
      <c r="A6271">
        <v>6210</v>
      </c>
      <c r="B6271" s="138">
        <f>'Acct Summary 7-8'!G82</f>
        <v>19182</v>
      </c>
      <c r="D6271" s="2" t="str">
        <f t="shared" ref="D6271:D6334" si="97">IF(ISBLANK(B6271),"OK",IF(A6271-B6271=0,"OK","Error?"))</f>
        <v>Error?</v>
      </c>
      <c r="E6271" s="2" t="s">
        <v>199</v>
      </c>
    </row>
    <row r="6272" spans="1:5" x14ac:dyDescent="0.2">
      <c r="A6272">
        <v>6211</v>
      </c>
      <c r="B6272" s="138">
        <f>'Acct Summary 7-8'!H82</f>
        <v>-495</v>
      </c>
      <c r="D6272" s="2" t="str">
        <f t="shared" si="97"/>
        <v>Error?</v>
      </c>
      <c r="E6272" s="2" t="s">
        <v>199</v>
      </c>
    </row>
    <row r="6273" spans="1:5" x14ac:dyDescent="0.2">
      <c r="A6273">
        <v>6212</v>
      </c>
      <c r="B6273" s="138">
        <f>'Acct Summary 7-8'!I82</f>
        <v>34552</v>
      </c>
      <c r="D6273" s="2" t="str">
        <f t="shared" si="97"/>
        <v>Error?</v>
      </c>
      <c r="E6273" s="2" t="s">
        <v>199</v>
      </c>
    </row>
    <row r="6274" spans="1:5" x14ac:dyDescent="0.2">
      <c r="A6274">
        <v>6213</v>
      </c>
      <c r="B6274" s="138">
        <f>'Acct Summary 7-8'!J82</f>
        <v>41321</v>
      </c>
      <c r="D6274" s="2" t="str">
        <f t="shared" si="97"/>
        <v>Error?</v>
      </c>
      <c r="E6274" s="2" t="s">
        <v>199</v>
      </c>
    </row>
    <row r="6275" spans="1:5" x14ac:dyDescent="0.2">
      <c r="A6275">
        <v>6214</v>
      </c>
      <c r="B6275" s="138">
        <f>'Acct Summary 7-8'!K82</f>
        <v>157782</v>
      </c>
      <c r="D6275" s="2" t="str">
        <f t="shared" si="97"/>
        <v>Error?</v>
      </c>
      <c r="E6275" s="2" t="s">
        <v>199</v>
      </c>
    </row>
    <row r="6276" spans="1:5" x14ac:dyDescent="0.2">
      <c r="A6276">
        <v>6215</v>
      </c>
      <c r="B6276" s="138">
        <f>'Acct Summary 7-8'!C83</f>
        <v>0.3879684606842399</v>
      </c>
      <c r="D6276" s="2" t="str">
        <f t="shared" si="97"/>
        <v>Error?</v>
      </c>
      <c r="E6276" s="2" t="s">
        <v>199</v>
      </c>
    </row>
    <row r="6277" spans="1:5" x14ac:dyDescent="0.2">
      <c r="A6277">
        <v>6216</v>
      </c>
      <c r="B6277" s="138">
        <f>'Acct Summary 7-8'!D83</f>
        <v>0.46675829922012729</v>
      </c>
      <c r="D6277" s="2" t="str">
        <f t="shared" si="97"/>
        <v>Error?</v>
      </c>
      <c r="E6277" s="2" t="s">
        <v>199</v>
      </c>
    </row>
    <row r="6278" spans="1:5" x14ac:dyDescent="0.2">
      <c r="A6278">
        <v>6217</v>
      </c>
      <c r="B6278" s="138">
        <f>'Acct Summary 7-8'!E83</f>
        <v>-0.20669468628039628</v>
      </c>
      <c r="D6278" s="2" t="str">
        <f t="shared" si="97"/>
        <v>Error?</v>
      </c>
      <c r="E6278" s="2" t="s">
        <v>199</v>
      </c>
    </row>
    <row r="6279" spans="1:5" x14ac:dyDescent="0.2">
      <c r="A6279">
        <v>6218</v>
      </c>
      <c r="B6279" s="138">
        <f>'Acct Summary 7-8'!F83</f>
        <v>0.47875392709792197</v>
      </c>
      <c r="D6279" s="2" t="str">
        <f t="shared" si="97"/>
        <v>Error?</v>
      </c>
      <c r="E6279" s="2" t="s">
        <v>199</v>
      </c>
    </row>
    <row r="6280" spans="1:5" x14ac:dyDescent="0.2">
      <c r="A6280">
        <v>6219</v>
      </c>
      <c r="B6280" s="138">
        <f>'Acct Summary 7-8'!G83</f>
        <v>0.25396194939826033</v>
      </c>
      <c r="D6280" s="2" t="str">
        <f t="shared" si="97"/>
        <v>Error?</v>
      </c>
      <c r="E6280" s="2" t="s">
        <v>199</v>
      </c>
    </row>
    <row r="6281" spans="1:5" x14ac:dyDescent="0.2">
      <c r="A6281">
        <v>6220</v>
      </c>
      <c r="B6281" s="138">
        <f>'Acct Summary 7-8'!H83</f>
        <v>-2.0044543429844099E-2</v>
      </c>
      <c r="D6281" s="2" t="str">
        <f t="shared" si="97"/>
        <v>Error?</v>
      </c>
      <c r="E6281" s="2" t="s">
        <v>199</v>
      </c>
    </row>
    <row r="6282" spans="1:5" x14ac:dyDescent="0.2">
      <c r="A6282">
        <v>6221</v>
      </c>
      <c r="B6282" s="138">
        <f>'Acct Summary 7-8'!I83</f>
        <v>7.8729643697777699E-2</v>
      </c>
      <c r="D6282" s="2" t="str">
        <f t="shared" si="97"/>
        <v>Error?</v>
      </c>
      <c r="E6282" s="2" t="s">
        <v>199</v>
      </c>
    </row>
    <row r="6283" spans="1:5" x14ac:dyDescent="0.2">
      <c r="A6283">
        <v>6222</v>
      </c>
      <c r="B6283" s="138">
        <f>'Acct Summary 7-8'!J83</f>
        <v>0.47483940658002094</v>
      </c>
      <c r="D6283" s="2" t="str">
        <f t="shared" si="97"/>
        <v>Error?</v>
      </c>
      <c r="E6283" s="2" t="s">
        <v>199</v>
      </c>
    </row>
    <row r="6284" spans="1:5" x14ac:dyDescent="0.2">
      <c r="A6284">
        <v>6223</v>
      </c>
      <c r="B6284" s="138">
        <f>'Acct Summary 7-8'!K83</f>
        <v>0.11624182236105381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150216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150216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7713</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150385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40641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109064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150385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493</v>
      </c>
      <c r="D7079" s="2" t="str">
        <f t="shared" si="109"/>
        <v>Error?</v>
      </c>
    </row>
    <row r="7080" spans="1:4" x14ac:dyDescent="0.2">
      <c r="A7080">
        <v>7019</v>
      </c>
      <c r="B7080" s="138">
        <f>'Expenditures 15-22'!K226</f>
        <v>493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17154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17154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4685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4685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14671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14671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436</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436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41578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41578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108628</v>
      </c>
      <c r="D7201" s="2" t="str">
        <f t="shared" si="111"/>
        <v>Error?</v>
      </c>
    </row>
    <row r="7202" spans="1:4" x14ac:dyDescent="0.2">
      <c r="A7202">
        <v>7141</v>
      </c>
      <c r="B7202" s="138">
        <f>'Expenditures 15-22'!F330</f>
        <v>436</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109064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108628</v>
      </c>
      <c r="D7218" s="2" t="str">
        <f t="shared" si="111"/>
        <v>Error?</v>
      </c>
    </row>
    <row r="7219" spans="1:4" x14ac:dyDescent="0.2">
      <c r="A7219">
        <v>7158</v>
      </c>
      <c r="B7219" s="138">
        <f>'Expenditures 15-22'!F342</f>
        <v>436</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109064</v>
      </c>
      <c r="D7224" s="2" t="str">
        <f t="shared" si="111"/>
        <v>Error?</v>
      </c>
    </row>
    <row r="7225" spans="1:4" x14ac:dyDescent="0.2">
      <c r="A7225">
        <v>7164</v>
      </c>
      <c r="B7225" s="138">
        <f>'Expenditures 15-22'!K343</f>
        <v>41321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35657</v>
      </c>
      <c r="D7263" s="2" t="str">
        <f t="shared" si="112"/>
        <v>Error?</v>
      </c>
    </row>
    <row r="7264" spans="1:4" x14ac:dyDescent="0.2">
      <c r="A7264">
        <f t="shared" si="113"/>
        <v>7203</v>
      </c>
      <c r="B7264" s="138">
        <f>'Expenditures 15-22'!D17</f>
        <v>2810</v>
      </c>
      <c r="D7264" s="2" t="str">
        <f t="shared" si="112"/>
        <v>Error?</v>
      </c>
    </row>
    <row r="7265" spans="1:5" x14ac:dyDescent="0.2">
      <c r="A7265">
        <f t="shared" si="113"/>
        <v>7204</v>
      </c>
      <c r="B7265" s="138">
        <f>'Expenditures 15-22'!E17</f>
        <v>82</v>
      </c>
      <c r="D7265" s="2" t="str">
        <f t="shared" si="112"/>
        <v>Error?</v>
      </c>
    </row>
    <row r="7266" spans="1:5" x14ac:dyDescent="0.2">
      <c r="A7266">
        <f t="shared" si="113"/>
        <v>7205</v>
      </c>
      <c r="B7266" s="138">
        <f>'Expenditures 15-22'!F17</f>
        <v>2092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229281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26668</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26668</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3872</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3872</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7713</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17208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24921</v>
      </c>
      <c r="D7719" s="2" t="str">
        <f t="shared" si="126"/>
        <v>Error?</v>
      </c>
      <c r="E7719" s="2" t="s">
        <v>881</v>
      </c>
    </row>
    <row r="7720" spans="1:6" x14ac:dyDescent="0.2">
      <c r="A7720">
        <v>7659</v>
      </c>
      <c r="B7720" s="138">
        <f>'Rest Tax Levies-Tort Im 25'!H14</f>
        <v>13466</v>
      </c>
      <c r="D7720" s="2" t="str">
        <f t="shared" si="126"/>
        <v>Error?</v>
      </c>
      <c r="E7720" s="2" t="s">
        <v>881</v>
      </c>
    </row>
    <row r="7721" spans="1:6" x14ac:dyDescent="0.2">
      <c r="A7721">
        <v>7660</v>
      </c>
      <c r="B7721" s="138">
        <f>'Rest Tax Levies-Tort Im 25'!K14</f>
        <v>24921</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3275</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6" t="s">
        <v>1253</v>
      </c>
      <c r="B2" s="2406"/>
      <c r="C2" s="2406"/>
      <c r="D2" s="2406"/>
      <c r="E2" s="2406"/>
      <c r="F2" s="2406"/>
      <c r="G2" s="2406"/>
      <c r="H2" s="2406"/>
      <c r="I2" s="2406"/>
      <c r="J2" s="2406"/>
      <c r="K2" s="2406"/>
      <c r="L2" s="2406"/>
    </row>
    <row r="3" spans="1:29" ht="13.5" customHeight="1" x14ac:dyDescent="0.2">
      <c r="A3" s="2437" t="s">
        <v>1252</v>
      </c>
      <c r="B3" s="2437"/>
      <c r="C3" s="2437"/>
      <c r="D3" s="2437"/>
      <c r="E3" s="2437"/>
      <c r="F3" s="2437"/>
      <c r="G3" s="2437"/>
      <c r="H3" s="2437"/>
      <c r="I3" s="2437"/>
      <c r="J3" s="2437"/>
      <c r="K3" s="2437"/>
      <c r="L3" s="2437"/>
    </row>
    <row r="4" spans="1:29" ht="13.5" customHeight="1" x14ac:dyDescent="0.2">
      <c r="A4" s="2406" t="s">
        <v>1799</v>
      </c>
      <c r="B4" s="2427"/>
      <c r="C4" s="2427"/>
      <c r="D4" s="2427"/>
      <c r="E4" s="2427"/>
      <c r="F4" s="2427"/>
      <c r="G4" s="2427"/>
      <c r="H4" s="2427"/>
      <c r="I4" s="2427"/>
      <c r="J4" s="2427"/>
      <c r="K4" s="2427"/>
      <c r="L4" s="242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8" t="str">
        <f>COVER!A17</f>
        <v>Vienna HSD 13-3</v>
      </c>
      <c r="B7" s="2429"/>
      <c r="C7" s="2429"/>
      <c r="D7" s="2430"/>
      <c r="E7" s="2431">
        <f>COVER!A13</f>
        <v>21044013317</v>
      </c>
      <c r="F7" s="2432"/>
      <c r="G7" s="2438" t="str">
        <f>COVER!T23</f>
        <v>066-003889</v>
      </c>
      <c r="H7" s="2439"/>
      <c r="I7" s="2439"/>
      <c r="J7" s="2439"/>
      <c r="K7" s="2439"/>
      <c r="L7" s="244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1"/>
      <c r="B9" s="2442"/>
      <c r="C9" s="2442"/>
      <c r="D9" s="2442"/>
      <c r="E9" s="2442"/>
      <c r="F9" s="2443"/>
      <c r="G9" s="2412" t="str">
        <f>COVER!T13</f>
        <v>Beussink, Hey, Roe &amp; Stroder, LLC</v>
      </c>
      <c r="H9" s="2444"/>
      <c r="I9" s="2444"/>
      <c r="J9" s="2444"/>
      <c r="K9" s="2444"/>
      <c r="L9" s="2445"/>
    </row>
    <row r="10" spans="1:29" ht="13.5" customHeight="1" x14ac:dyDescent="0.2">
      <c r="A10" s="2418" t="str">
        <f>COVER!A38</f>
        <v>Mr. Joshua Stafford</v>
      </c>
      <c r="B10" s="2419"/>
      <c r="C10" s="2419"/>
      <c r="D10" s="2419"/>
      <c r="E10" s="2419"/>
      <c r="F10" s="2420"/>
      <c r="G10" s="2412" t="str">
        <f>COVER!T17</f>
        <v>16 South Silver Springs Road</v>
      </c>
      <c r="H10" s="2413"/>
      <c r="I10" s="2413"/>
      <c r="J10" s="2413"/>
      <c r="K10" s="2413"/>
      <c r="L10" s="2414"/>
    </row>
    <row r="11" spans="1:29" ht="13.5" customHeight="1" x14ac:dyDescent="0.2">
      <c r="A11" s="1185" t="s">
        <v>1599</v>
      </c>
      <c r="B11" s="1186"/>
      <c r="C11" s="1187"/>
      <c r="D11" s="1192"/>
      <c r="E11" s="1187"/>
      <c r="F11" s="1191"/>
      <c r="G11" s="2412" t="str">
        <f>COVER!T19</f>
        <v>Cape Girardeau</v>
      </c>
      <c r="H11" s="2413"/>
      <c r="I11" s="2413"/>
      <c r="J11" s="2413"/>
      <c r="K11" s="2413"/>
      <c r="L11" s="2414"/>
    </row>
    <row r="12" spans="1:29" ht="13.5" customHeight="1" x14ac:dyDescent="0.2">
      <c r="A12" s="2421" t="s">
        <v>1598</v>
      </c>
      <c r="B12" s="2422"/>
      <c r="C12" s="2422"/>
      <c r="D12" s="2422"/>
      <c r="E12" s="2422"/>
      <c r="F12" s="2423"/>
      <c r="G12" s="2415"/>
      <c r="H12" s="2416"/>
      <c r="I12" s="2416"/>
      <c r="J12" s="2416"/>
      <c r="K12" s="2416"/>
      <c r="L12" s="2417"/>
    </row>
    <row r="13" spans="1:29" ht="13.5" customHeight="1" x14ac:dyDescent="0.2">
      <c r="A13" s="2412"/>
      <c r="B13" s="2413"/>
      <c r="C13" s="2413"/>
      <c r="D13" s="2413"/>
      <c r="E13" s="2413"/>
      <c r="F13" s="2414"/>
      <c r="G13" s="2407" t="s">
        <v>1600</v>
      </c>
      <c r="H13" s="2408"/>
      <c r="I13" s="2424" t="str">
        <f>COVER!T25</f>
        <v>jstroder@bhrcpas.com</v>
      </c>
      <c r="J13" s="2425"/>
      <c r="K13" s="2425"/>
      <c r="L13" s="2426"/>
    </row>
    <row r="14" spans="1:29" ht="13.5" customHeight="1" x14ac:dyDescent="0.2">
      <c r="A14" s="2412" t="str">
        <f>COVER!A19</f>
        <v>601 N. First Street</v>
      </c>
      <c r="B14" s="2413"/>
      <c r="C14" s="2413"/>
      <c r="D14" s="2413"/>
      <c r="E14" s="2413"/>
      <c r="F14" s="2414"/>
      <c r="G14" s="1196" t="s">
        <v>1247</v>
      </c>
      <c r="H14" s="1194"/>
      <c r="I14" s="1194"/>
      <c r="J14" s="1194"/>
      <c r="K14" s="1194"/>
      <c r="L14" s="1195"/>
    </row>
    <row r="15" spans="1:29" ht="13.5" customHeight="1" x14ac:dyDescent="0.2">
      <c r="A15" s="2412" t="str">
        <f>COVER!A21</f>
        <v xml:space="preserve">Vienna </v>
      </c>
      <c r="B15" s="2413"/>
      <c r="C15" s="2413"/>
      <c r="D15" s="2413"/>
      <c r="E15" s="2413"/>
      <c r="F15" s="2414"/>
      <c r="G15" s="2409" t="str">
        <f>COVER!T15</f>
        <v>Jeffrey C. Stroder, CPA</v>
      </c>
      <c r="H15" s="2410"/>
      <c r="I15" s="2410"/>
      <c r="J15" s="2410"/>
      <c r="K15" s="2410"/>
      <c r="L15" s="2411"/>
    </row>
    <row r="16" spans="1:29" ht="12.2" customHeight="1" x14ac:dyDescent="0.2">
      <c r="A16" s="2434">
        <f>COVER!A25</f>
        <v>62995</v>
      </c>
      <c r="B16" s="2435"/>
      <c r="C16" s="2435"/>
      <c r="D16" s="2435"/>
      <c r="E16" s="2435"/>
      <c r="F16" s="2436"/>
      <c r="G16" s="2446"/>
      <c r="H16" s="2447"/>
      <c r="I16" s="2447"/>
      <c r="J16" s="2447"/>
      <c r="K16" s="2447"/>
      <c r="L16" s="2448"/>
    </row>
    <row r="17" spans="1:13" ht="12.2" customHeight="1" x14ac:dyDescent="0.2">
      <c r="A17" s="2449"/>
      <c r="B17" s="2435"/>
      <c r="C17" s="2435"/>
      <c r="D17" s="2435"/>
      <c r="E17" s="2435"/>
      <c r="F17" s="2436"/>
      <c r="G17" s="1196" t="s">
        <v>1246</v>
      </c>
      <c r="H17" s="1194"/>
      <c r="I17" s="1194"/>
      <c r="J17" s="1194"/>
      <c r="K17" s="1198" t="s">
        <v>1245</v>
      </c>
      <c r="L17" s="1191"/>
      <c r="M17" s="1184"/>
    </row>
    <row r="18" spans="1:13" ht="12.2" customHeight="1" x14ac:dyDescent="0.2">
      <c r="A18" s="2418"/>
      <c r="B18" s="2419"/>
      <c r="C18" s="2419"/>
      <c r="D18" s="2419"/>
      <c r="E18" s="2419"/>
      <c r="F18" s="2420"/>
      <c r="G18" s="2428" t="str">
        <f>COVER!T21</f>
        <v>573-334-7971</v>
      </c>
      <c r="H18" s="2429"/>
      <c r="I18" s="2429"/>
      <c r="J18" s="2429"/>
      <c r="K18" s="2428" t="str">
        <f>COVER!X21</f>
        <v>573-334-8875</v>
      </c>
      <c r="L18" s="243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0" t="str">
        <f>'Single Audit Cover'!A7</f>
        <v>Vienna HSD 13-3</v>
      </c>
      <c r="B1" s="2427"/>
      <c r="C1" s="2427"/>
      <c r="D1" s="2427"/>
    </row>
    <row r="2" spans="1:11" s="1215" customFormat="1" ht="12.75" x14ac:dyDescent="0.2">
      <c r="A2" s="2451">
        <f>'Single Audit Cover'!E7</f>
        <v>21044013317</v>
      </c>
      <c r="B2" s="2452"/>
      <c r="C2" s="2452"/>
      <c r="D2" s="2452"/>
    </row>
    <row r="3" spans="1:11" s="1215" customFormat="1" ht="12.75" x14ac:dyDescent="0.2">
      <c r="A3" s="2450" t="s">
        <v>1593</v>
      </c>
      <c r="B3" s="2427"/>
      <c r="C3" s="2427"/>
      <c r="D3" s="242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4" t="str">
        <f>'Single Audit Cover'!A7</f>
        <v>Vienna HSD 13-3</v>
      </c>
      <c r="B1" s="2454"/>
      <c r="C1" s="2454"/>
      <c r="D1" s="2454"/>
      <c r="E1" s="2454"/>
    </row>
    <row r="2" spans="1:5" x14ac:dyDescent="0.2">
      <c r="A2" s="2455">
        <f>'Single Audit Cover'!E7</f>
        <v>21044013317</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60" t="s">
        <v>1305</v>
      </c>
    </row>
    <row r="10" spans="1:5" x14ac:dyDescent="0.2">
      <c r="A10" s="1261" t="s">
        <v>1304</v>
      </c>
      <c r="B10" s="1262" t="s">
        <v>1303</v>
      </c>
      <c r="C10" s="1262"/>
      <c r="D10" s="1263">
        <f>SUM('Acct Summary 7-8'!C7:K7)</f>
        <v>280018</v>
      </c>
    </row>
    <row r="11" spans="1:5" ht="18" customHeight="1" x14ac:dyDescent="0.2">
      <c r="A11" s="1261" t="s">
        <v>1302</v>
      </c>
      <c r="B11" s="1262"/>
      <c r="C11" s="1262"/>
    </row>
    <row r="12" spans="1:5" x14ac:dyDescent="0.2">
      <c r="A12" s="1261" t="s">
        <v>1301</v>
      </c>
      <c r="B12" s="1262" t="s">
        <v>1300</v>
      </c>
      <c r="C12" s="1262"/>
      <c r="D12" s="1264">
        <f>SUM('Revenues 9-14'!C112:D112,'Revenues 9-14'!F112:G112)</f>
        <v>32618</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312636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6"/>
      <c r="B24" s="2456"/>
      <c r="D24" s="1268"/>
    </row>
    <row r="25" spans="1:4" x14ac:dyDescent="0.2">
      <c r="A25" s="2453"/>
      <c r="B25" s="2453"/>
      <c r="D25" s="1268"/>
    </row>
    <row r="26" spans="1:4" x14ac:dyDescent="0.2">
      <c r="A26" s="2453"/>
      <c r="B26" s="2453"/>
      <c r="D26" s="1268"/>
    </row>
    <row r="27" spans="1:4" x14ac:dyDescent="0.2">
      <c r="A27" s="2453"/>
      <c r="B27" s="2453"/>
      <c r="D27" s="1268"/>
    </row>
    <row r="28" spans="1:4" x14ac:dyDescent="0.2">
      <c r="A28" s="2453"/>
      <c r="B28" s="2453"/>
      <c r="D28" s="1268"/>
    </row>
    <row r="29" spans="1:4" x14ac:dyDescent="0.2">
      <c r="A29" s="2453"/>
      <c r="B29" s="2453"/>
      <c r="D29" s="1268"/>
    </row>
    <row r="30" spans="1:4" x14ac:dyDescent="0.2">
      <c r="A30" s="2453"/>
      <c r="B30" s="2453"/>
      <c r="D30" s="1268"/>
    </row>
    <row r="32" spans="1:4" x14ac:dyDescent="0.2">
      <c r="A32" s="1260" t="s">
        <v>1295</v>
      </c>
      <c r="D32" s="1263">
        <f>SUM(D19:D30)</f>
        <v>312636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3"/>
      <c r="B40" s="2453"/>
      <c r="D40" s="1268"/>
    </row>
    <row r="41" spans="1:4" x14ac:dyDescent="0.2">
      <c r="A41" s="2453"/>
      <c r="B41" s="2453"/>
      <c r="D41" s="1271"/>
    </row>
    <row r="42" spans="1:4" x14ac:dyDescent="0.2">
      <c r="A42" s="2453"/>
      <c r="B42" s="2453"/>
      <c r="D42" s="1271"/>
    </row>
    <row r="43" spans="1:4" x14ac:dyDescent="0.2">
      <c r="A43" s="2453"/>
      <c r="B43" s="2453"/>
      <c r="D43" s="1271"/>
    </row>
    <row r="44" spans="1:4" x14ac:dyDescent="0.2">
      <c r="A44" s="2453"/>
      <c r="B44" s="2453"/>
      <c r="D44" s="1271"/>
    </row>
    <row r="45" spans="1:4" x14ac:dyDescent="0.2">
      <c r="A45" s="2453"/>
      <c r="B45" s="2453"/>
      <c r="D45" s="1271"/>
    </row>
    <row r="47" spans="1:4" x14ac:dyDescent="0.2">
      <c r="B47" s="1272" t="s">
        <v>1289</v>
      </c>
      <c r="C47" s="1272"/>
      <c r="D47" s="1273">
        <f>SUM(D35:D45)</f>
        <v>0</v>
      </c>
    </row>
    <row r="49" spans="2:4" x14ac:dyDescent="0.2">
      <c r="B49" s="1272" t="s">
        <v>1288</v>
      </c>
      <c r="C49" s="1272"/>
      <c r="D49" s="1273">
        <f>D32-D47</f>
        <v>312636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7" t="str">
        <f>'Single Audit Cover'!A7</f>
        <v>Vienna HSD 13-3</v>
      </c>
      <c r="C1" s="2458"/>
      <c r="D1" s="2458"/>
      <c r="E1" s="2458"/>
      <c r="F1" s="2458"/>
      <c r="G1" s="2458"/>
      <c r="H1" s="2458"/>
      <c r="I1" s="2458"/>
      <c r="J1" s="2458"/>
      <c r="K1" s="2458"/>
      <c r="L1" s="2458"/>
      <c r="M1" s="2458"/>
    </row>
    <row r="2" spans="2:14" ht="15" x14ac:dyDescent="0.2">
      <c r="B2" s="2459">
        <f>'Single Audit Cover'!E7</f>
        <v>21044013317</v>
      </c>
      <c r="C2" s="2459"/>
      <c r="D2" s="2459"/>
      <c r="E2" s="2459"/>
      <c r="F2" s="2459"/>
      <c r="G2" s="2459"/>
      <c r="H2" s="2459"/>
      <c r="I2" s="2459"/>
      <c r="J2" s="2459"/>
      <c r="K2" s="2459"/>
      <c r="L2" s="2459"/>
      <c r="M2" s="2459"/>
      <c r="N2" s="1302"/>
    </row>
    <row r="3" spans="2:14" ht="15" x14ac:dyDescent="0.2">
      <c r="B3" s="2460" t="s">
        <v>1281</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verticalCentered="1"/>
  <pageMargins left="1" right="1" top="1" bottom="1" header="0.25" footer="0.75"/>
  <pageSetup scale="71"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1" t="str">
        <f>'Single Audit Cover'!A7</f>
        <v>Vienna HSD 13-3</v>
      </c>
      <c r="B1" s="2471"/>
      <c r="C1" s="2471"/>
      <c r="D1" s="2471"/>
      <c r="E1" s="2471"/>
      <c r="F1" s="2471"/>
    </row>
    <row r="2" spans="1:7" ht="13.5" customHeight="1" x14ac:dyDescent="0.2">
      <c r="A2" s="2459">
        <f>'Single Audit Cover'!E7</f>
        <v>21044013317</v>
      </c>
      <c r="B2" s="2459"/>
      <c r="C2" s="2459"/>
      <c r="D2" s="2459"/>
      <c r="E2" s="2459"/>
      <c r="F2" s="2459"/>
      <c r="G2" s="1275"/>
    </row>
    <row r="3" spans="1:7" ht="15.75" customHeight="1" x14ac:dyDescent="0.2">
      <c r="A3" s="2472" t="s">
        <v>1333</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7"/>
      <c r="D5" s="317"/>
    </row>
    <row r="6" spans="1:7" ht="13.5" customHeight="1" x14ac:dyDescent="0.2">
      <c r="A6" s="1276" t="s">
        <v>1831</v>
      </c>
      <c r="C6" s="317"/>
      <c r="D6" s="317"/>
    </row>
    <row r="7" spans="1:7" ht="60.95" customHeight="1" x14ac:dyDescent="0.2">
      <c r="A7" s="2470" t="s">
        <v>1832</v>
      </c>
      <c r="B7" s="2470"/>
      <c r="C7" s="2470"/>
      <c r="D7" s="2470"/>
      <c r="E7" s="2470"/>
      <c r="F7" s="247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70" t="s">
        <v>1834</v>
      </c>
      <c r="B13" s="2470"/>
      <c r="C13" s="2470"/>
      <c r="D13" s="2470"/>
      <c r="E13" s="2470"/>
      <c r="F13" s="2470"/>
    </row>
    <row r="14" spans="1:7" ht="9.75" customHeight="1" x14ac:dyDescent="0.2">
      <c r="C14" s="1260"/>
      <c r="D14" s="1260"/>
    </row>
    <row r="15" spans="1:7" ht="13.5" customHeight="1" x14ac:dyDescent="0.2">
      <c r="C15" s="1871" t="s">
        <v>1332</v>
      </c>
      <c r="D15" s="2468" t="s">
        <v>1331</v>
      </c>
      <c r="E15" s="2468"/>
      <c r="F15" s="2468"/>
    </row>
    <row r="16" spans="1:7" ht="13.5" customHeight="1" x14ac:dyDescent="0.2">
      <c r="A16" s="1282"/>
      <c r="B16" s="1276" t="s">
        <v>1330</v>
      </c>
      <c r="C16" s="1871" t="s">
        <v>1329</v>
      </c>
      <c r="D16" s="2469" t="s">
        <v>1670</v>
      </c>
      <c r="E16" s="2469"/>
      <c r="F16" s="2469"/>
    </row>
    <row r="17" spans="1:6" ht="20.45" customHeight="1" x14ac:dyDescent="0.2">
      <c r="A17" s="1283"/>
      <c r="B17" s="1284"/>
      <c r="C17" s="1285"/>
      <c r="D17" s="2463"/>
      <c r="E17" s="2463"/>
      <c r="F17" s="2463"/>
    </row>
    <row r="18" spans="1:6" ht="20.65" customHeight="1" x14ac:dyDescent="0.2">
      <c r="A18" s="1283"/>
      <c r="B18" s="1284"/>
      <c r="C18" s="1285"/>
      <c r="D18" s="2463"/>
      <c r="E18" s="2463"/>
      <c r="F18" s="2463"/>
    </row>
    <row r="19" spans="1:6" ht="20.65" customHeight="1" x14ac:dyDescent="0.2">
      <c r="A19" s="1283"/>
      <c r="B19" s="1284"/>
      <c r="C19" s="1285"/>
      <c r="D19" s="2463"/>
      <c r="E19" s="2463"/>
      <c r="F19" s="2463"/>
    </row>
    <row r="20" spans="1:6" ht="20.65" customHeight="1" x14ac:dyDescent="0.2">
      <c r="A20" s="1283"/>
      <c r="B20" s="1284"/>
      <c r="C20" s="1285"/>
      <c r="D20" s="2463"/>
      <c r="E20" s="2463"/>
      <c r="F20" s="2463"/>
    </row>
    <row r="21" spans="1:6" ht="20.65" customHeight="1" x14ac:dyDescent="0.2">
      <c r="A21" s="1283"/>
      <c r="B21" s="1284"/>
      <c r="C21" s="1285"/>
      <c r="D21" s="2463"/>
      <c r="E21" s="2463"/>
      <c r="F21" s="2463"/>
    </row>
    <row r="22" spans="1:6" ht="20.65" customHeight="1" x14ac:dyDescent="0.2">
      <c r="A22" s="1283"/>
      <c r="B22" s="1284"/>
      <c r="C22" s="1285"/>
      <c r="D22" s="2463"/>
      <c r="E22" s="2463"/>
      <c r="F22" s="2463"/>
    </row>
    <row r="23" spans="1:6" ht="20.65" customHeight="1" x14ac:dyDescent="0.2">
      <c r="A23" s="1283"/>
      <c r="B23" s="1284"/>
      <c r="C23" s="1285"/>
      <c r="D23" s="2463"/>
      <c r="E23" s="2463"/>
      <c r="F23" s="2463"/>
    </row>
    <row r="24" spans="1:6" ht="20.65" customHeight="1" x14ac:dyDescent="0.2">
      <c r="A24" s="1283"/>
      <c r="B24" s="1284"/>
      <c r="C24" s="1285"/>
      <c r="D24" s="2463"/>
      <c r="E24" s="2463"/>
      <c r="F24" s="2463"/>
    </row>
    <row r="25" spans="1:6" ht="20.65" customHeight="1" x14ac:dyDescent="0.2">
      <c r="A25" s="1283"/>
      <c r="B25" s="1284"/>
      <c r="C25" s="1285"/>
      <c r="D25" s="2463"/>
      <c r="E25" s="2463"/>
      <c r="F25" s="2463"/>
    </row>
    <row r="26" spans="1:6" ht="20.65" customHeight="1" x14ac:dyDescent="0.2">
      <c r="A26" s="1283"/>
      <c r="B26" s="1284"/>
      <c r="C26" s="1285"/>
      <c r="D26" s="2463"/>
      <c r="E26" s="2463"/>
      <c r="F26" s="2463"/>
    </row>
    <row r="27" spans="1:6" ht="20.65" customHeight="1" x14ac:dyDescent="0.2">
      <c r="A27" s="1283"/>
      <c r="B27" s="1284"/>
      <c r="C27" s="1285"/>
      <c r="D27" s="2463"/>
      <c r="E27" s="2463"/>
      <c r="F27" s="2463"/>
    </row>
    <row r="28" spans="1:6" ht="20.65" customHeight="1" x14ac:dyDescent="0.2">
      <c r="A28" s="1283"/>
      <c r="B28" s="1284"/>
      <c r="C28" s="1285"/>
      <c r="D28" s="2463"/>
      <c r="E28" s="2463"/>
      <c r="F28" s="2463"/>
    </row>
    <row r="29" spans="1:6" ht="20.65" customHeight="1" x14ac:dyDescent="0.2">
      <c r="A29" s="1283"/>
      <c r="B29" s="1284"/>
      <c r="C29" s="1285"/>
      <c r="D29" s="2463"/>
      <c r="E29" s="2463"/>
      <c r="F29" s="246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4" t="s">
        <v>1835</v>
      </c>
      <c r="B32" s="2464"/>
      <c r="C32" s="2464"/>
      <c r="D32" s="2464"/>
      <c r="E32" s="2464"/>
      <c r="F32" s="2464"/>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5">
        <f>+C33+C34</f>
        <v>0</v>
      </c>
      <c r="F34" s="2466"/>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1672</v>
      </c>
      <c r="C49" s="2467"/>
      <c r="D49" s="2467"/>
      <c r="E49" s="1399"/>
    </row>
    <row r="50" spans="1:5" s="1300" customFormat="1" ht="3.75" customHeight="1" x14ac:dyDescent="0.2">
      <c r="A50" s="1299"/>
      <c r="B50" s="1870"/>
      <c r="C50" s="1870"/>
      <c r="D50" s="1870"/>
      <c r="E50" s="1399"/>
    </row>
    <row r="51" spans="1:5" s="1300" customFormat="1" ht="20.25" customHeight="1" x14ac:dyDescent="0.2">
      <c r="A51" s="1301">
        <v>6</v>
      </c>
      <c r="B51" s="2462" t="s">
        <v>1632</v>
      </c>
      <c r="C51" s="2462"/>
      <c r="D51" s="2462"/>
    </row>
    <row r="52" spans="1:5" ht="14.25" customHeight="1" x14ac:dyDescent="0.2">
      <c r="A52" s="1301"/>
      <c r="B52" s="2462"/>
      <c r="C52" s="2462"/>
      <c r="D52" s="246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t="s">
        <v>2093</v>
      </c>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Vienna HSD 13-3</v>
      </c>
      <c r="C1" s="2486"/>
      <c r="D1" s="2486"/>
      <c r="E1" s="2486"/>
      <c r="F1" s="2486"/>
      <c r="G1" s="2486"/>
      <c r="H1" s="2486"/>
      <c r="I1" s="2486"/>
      <c r="J1" s="1422"/>
    </row>
    <row r="2" spans="2:10" s="317" customFormat="1" ht="12.75" customHeight="1" x14ac:dyDescent="0.2">
      <c r="B2" s="2487">
        <f>'Single Audit Cover'!E7</f>
        <v>21044013317</v>
      </c>
      <c r="C2" s="2488"/>
      <c r="D2" s="2488"/>
      <c r="E2" s="2488"/>
      <c r="F2" s="2488"/>
      <c r="G2" s="2488"/>
      <c r="H2" s="2488"/>
      <c r="I2" s="2488"/>
      <c r="J2" s="1422"/>
    </row>
    <row r="3" spans="2:10" s="317" customFormat="1" ht="12.75" customHeight="1" x14ac:dyDescent="0.2">
      <c r="B3" s="2489" t="s">
        <v>1347</v>
      </c>
      <c r="C3" s="2490"/>
      <c r="D3" s="2490"/>
      <c r="E3" s="2490"/>
      <c r="F3" s="2490"/>
      <c r="G3" s="2490"/>
      <c r="H3" s="2490"/>
      <c r="I3" s="2490"/>
      <c r="J3" s="1423"/>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9" t="s">
        <v>1346</v>
      </c>
      <c r="C7" s="2490"/>
      <c r="D7" s="2490"/>
      <c r="E7" s="2490"/>
      <c r="F7" s="2490"/>
      <c r="G7" s="2490"/>
      <c r="H7" s="2490"/>
      <c r="I7" s="249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1"/>
      <c r="D11" s="249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2"/>
      <c r="E29" s="2492"/>
      <c r="F29" s="2492"/>
      <c r="G29" s="2492"/>
      <c r="H29" s="2492"/>
      <c r="I29" s="2492"/>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3" t="s">
        <v>1854</v>
      </c>
      <c r="D37" s="2494"/>
      <c r="E37" s="2494"/>
      <c r="F37" s="2495"/>
      <c r="G37" s="2493" t="s">
        <v>1674</v>
      </c>
      <c r="H37" s="2494"/>
      <c r="I37" s="2495"/>
    </row>
    <row r="38" spans="2:9" ht="16.5" customHeight="1" x14ac:dyDescent="0.2">
      <c r="B38" s="1444"/>
      <c r="C38" s="2481"/>
      <c r="D38" s="2482"/>
      <c r="E38" s="2482"/>
      <c r="F38" s="2483"/>
      <c r="G38" s="2496"/>
      <c r="H38" s="2497"/>
      <c r="I38" s="2498"/>
    </row>
    <row r="39" spans="2:9" ht="16.5" customHeight="1" x14ac:dyDescent="0.2">
      <c r="B39" s="1444"/>
      <c r="C39" s="2481"/>
      <c r="D39" s="2482"/>
      <c r="E39" s="2482"/>
      <c r="F39" s="2483"/>
      <c r="G39" s="2484"/>
      <c r="H39" s="2484"/>
      <c r="I39" s="2484"/>
    </row>
    <row r="40" spans="2:9" ht="16.5" customHeight="1" x14ac:dyDescent="0.2">
      <c r="B40" s="1444"/>
      <c r="C40" s="2481"/>
      <c r="D40" s="2482"/>
      <c r="E40" s="2482"/>
      <c r="F40" s="2483"/>
      <c r="G40" s="2484"/>
      <c r="H40" s="2484"/>
      <c r="I40" s="2484"/>
    </row>
    <row r="41" spans="2:9" ht="16.5" customHeight="1" x14ac:dyDescent="0.2">
      <c r="B41" s="1444"/>
      <c r="C41" s="2481"/>
      <c r="D41" s="2482"/>
      <c r="E41" s="2482"/>
      <c r="F41" s="2483"/>
      <c r="G41" s="2484"/>
      <c r="H41" s="2484"/>
      <c r="I41" s="2484"/>
    </row>
    <row r="42" spans="2:9" ht="16.5" customHeight="1" x14ac:dyDescent="0.2">
      <c r="B42" s="1444"/>
      <c r="C42" s="2481"/>
      <c r="D42" s="2482"/>
      <c r="E42" s="2482"/>
      <c r="F42" s="2483"/>
      <c r="G42" s="2484"/>
      <c r="H42" s="2484"/>
      <c r="I42" s="2484"/>
    </row>
    <row r="43" spans="2:9" ht="16.5" customHeight="1" x14ac:dyDescent="0.2">
      <c r="B43" s="1444"/>
      <c r="C43" s="2474" t="s">
        <v>1675</v>
      </c>
      <c r="D43" s="2475"/>
      <c r="E43" s="2475"/>
      <c r="F43" s="2476"/>
      <c r="G43" s="2477">
        <f>SUM(G38:I42)</f>
        <v>0</v>
      </c>
      <c r="H43" s="2477"/>
      <c r="I43" s="2477"/>
    </row>
    <row r="44" spans="2:9" ht="12.75" customHeight="1" x14ac:dyDescent="0.2"/>
    <row r="45" spans="2:9" ht="12.75" customHeight="1" x14ac:dyDescent="0.2">
      <c r="B45" s="1435" t="s">
        <v>1952</v>
      </c>
      <c r="D45" s="2478">
        <v>0</v>
      </c>
      <c r="E45" s="247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0"/>
      <c r="F49" s="2480"/>
      <c r="G49" s="248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verticalCentered="1"/>
  <pageMargins left="1" right="1" top="1" bottom="1" header="0.51" footer="0.28999999999999998"/>
  <pageSetup scale="83"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Vienna HSD 13-3</v>
      </c>
      <c r="C1" s="2485"/>
      <c r="D1" s="2485"/>
      <c r="E1" s="2485"/>
      <c r="F1" s="2485"/>
      <c r="G1" s="2485"/>
      <c r="H1" s="2485"/>
      <c r="I1" s="2485"/>
      <c r="J1" s="2485"/>
      <c r="K1" s="2485"/>
      <c r="L1" s="1374"/>
      <c r="M1" s="1374"/>
    </row>
    <row r="2" spans="1:13" ht="12" customHeight="1" x14ac:dyDescent="0.2">
      <c r="B2" s="2487">
        <f>'Single Audit Cover'!E7</f>
        <v>21044013317</v>
      </c>
      <c r="C2" s="2487"/>
      <c r="D2" s="2487"/>
      <c r="E2" s="2487"/>
      <c r="F2" s="2487"/>
      <c r="G2" s="2487"/>
      <c r="H2" s="2487"/>
      <c r="I2" s="2487"/>
      <c r="J2" s="2487"/>
      <c r="K2" s="2487"/>
      <c r="L2" s="1375"/>
      <c r="M2" s="1376"/>
    </row>
    <row r="3" spans="1:13" ht="10.35" customHeight="1" x14ac:dyDescent="0.2">
      <c r="B3" s="2501" t="s">
        <v>1347</v>
      </c>
      <c r="C3" s="2501"/>
      <c r="D3" s="2501"/>
      <c r="E3" s="2501"/>
      <c r="F3" s="2501"/>
      <c r="G3" s="2501"/>
      <c r="H3" s="2501"/>
      <c r="I3" s="2501"/>
      <c r="J3" s="2501"/>
      <c r="K3" s="2501"/>
      <c r="L3" s="1377"/>
      <c r="M3" s="1377"/>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2" t="s">
        <v>1363</v>
      </c>
      <c r="C7" s="2502"/>
      <c r="D7" s="2503"/>
      <c r="E7" s="2503"/>
      <c r="F7" s="2503"/>
      <c r="G7" s="2503"/>
      <c r="H7" s="2503"/>
      <c r="I7" s="2503"/>
      <c r="J7" s="2503"/>
      <c r="K7" s="250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0"/>
      <c r="C14" s="2500"/>
      <c r="D14" s="2500"/>
      <c r="E14" s="2500"/>
      <c r="F14" s="2500"/>
      <c r="G14" s="2500"/>
      <c r="H14" s="2500"/>
      <c r="I14" s="2500"/>
      <c r="J14" s="2500"/>
      <c r="K14" s="250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0"/>
      <c r="C17" s="2500"/>
      <c r="D17" s="2500"/>
      <c r="E17" s="2500"/>
      <c r="F17" s="2500"/>
      <c r="G17" s="2500"/>
      <c r="H17" s="2500"/>
      <c r="I17" s="2500"/>
      <c r="J17" s="2500"/>
      <c r="K17" s="2500"/>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4"/>
      <c r="C20" s="2504"/>
      <c r="D20" s="2500"/>
      <c r="E20" s="2500"/>
      <c r="F20" s="2500"/>
      <c r="G20" s="2500"/>
      <c r="H20" s="2500"/>
      <c r="I20" s="2500"/>
      <c r="J20" s="2500"/>
      <c r="K20" s="250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0"/>
      <c r="C23" s="2500"/>
      <c r="D23" s="2500"/>
      <c r="E23" s="2500"/>
      <c r="F23" s="2500"/>
      <c r="G23" s="2500"/>
      <c r="H23" s="2500"/>
      <c r="I23" s="2500"/>
      <c r="J23" s="2500"/>
      <c r="K23" s="250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0"/>
      <c r="C26" s="2500"/>
      <c r="D26" s="2500"/>
      <c r="E26" s="2500"/>
      <c r="F26" s="2500"/>
      <c r="G26" s="2500"/>
      <c r="H26" s="2500"/>
      <c r="I26" s="2500"/>
      <c r="J26" s="2500"/>
      <c r="K26" s="250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9"/>
      <c r="C29" s="2499"/>
      <c r="D29" s="2500"/>
      <c r="E29" s="2500"/>
      <c r="F29" s="2500"/>
      <c r="G29" s="2500"/>
      <c r="H29" s="2500"/>
      <c r="I29" s="2500"/>
      <c r="J29" s="2500"/>
      <c r="K29" s="250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9"/>
      <c r="C32" s="2499"/>
      <c r="D32" s="2500"/>
      <c r="E32" s="2500"/>
      <c r="F32" s="2500"/>
      <c r="G32" s="2500"/>
      <c r="H32" s="2500"/>
      <c r="I32" s="2500"/>
      <c r="J32" s="2500"/>
      <c r="K32" s="250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Vienna HSD 13-3</v>
      </c>
      <c r="C1" s="2508"/>
      <c r="D1" s="2508"/>
      <c r="E1" s="2508"/>
      <c r="F1" s="2508"/>
      <c r="G1" s="2508"/>
      <c r="H1" s="2508"/>
      <c r="I1" s="2508"/>
      <c r="J1" s="2508"/>
      <c r="K1" s="2508"/>
      <c r="L1" s="1465"/>
    </row>
    <row r="2" spans="1:12" ht="12.75" customHeight="1" x14ac:dyDescent="0.2">
      <c r="B2" s="2509">
        <f>'Single Audit Cover'!E7</f>
        <v>21044013317</v>
      </c>
      <c r="C2" s="2509"/>
      <c r="D2" s="2509"/>
      <c r="E2" s="2509"/>
      <c r="F2" s="2509"/>
      <c r="G2" s="2509"/>
      <c r="H2" s="2509"/>
      <c r="I2" s="2509"/>
      <c r="J2" s="2509"/>
      <c r="K2" s="2509"/>
      <c r="L2" s="1466"/>
    </row>
    <row r="3" spans="1:12" ht="12.75" customHeight="1" x14ac:dyDescent="0.2">
      <c r="B3" s="2501" t="s">
        <v>1347</v>
      </c>
      <c r="C3" s="2501"/>
      <c r="D3" s="2501"/>
      <c r="E3" s="2501"/>
      <c r="F3" s="2501"/>
      <c r="G3" s="2501"/>
      <c r="H3" s="2501"/>
      <c r="I3" s="2501"/>
      <c r="J3" s="2501"/>
      <c r="K3" s="2501"/>
      <c r="L3" s="1377"/>
    </row>
    <row r="4" spans="1:12" ht="12.75" customHeight="1" x14ac:dyDescent="0.2">
      <c r="B4" s="2501" t="str">
        <f>'Single Audit Cover'!A4</f>
        <v>Year Ending June 30, 2018</v>
      </c>
      <c r="C4" s="2501"/>
      <c r="D4" s="2501"/>
      <c r="E4" s="2501"/>
      <c r="F4" s="2501"/>
      <c r="G4" s="2501"/>
      <c r="H4" s="2501"/>
      <c r="I4" s="2501"/>
      <c r="J4" s="2501"/>
      <c r="K4" s="2501"/>
      <c r="L4" s="1377"/>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2"/>
      <c r="G12" s="2492"/>
      <c r="H12" s="2492"/>
      <c r="I12" s="2492"/>
      <c r="J12" s="2492"/>
      <c r="K12" s="249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5"/>
      <c r="E14" s="2505"/>
      <c r="F14" s="2505"/>
      <c r="H14" s="1475" t="s">
        <v>1370</v>
      </c>
      <c r="I14" s="2506"/>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6"/>
      <c r="E16" s="2506"/>
      <c r="F16" s="2506"/>
      <c r="G16" s="2506"/>
      <c r="H16" s="2506"/>
      <c r="I16" s="2506"/>
      <c r="J16" s="2506"/>
      <c r="K16" s="2506"/>
      <c r="L16" s="322"/>
    </row>
    <row r="17" spans="2:12" ht="13.5" customHeight="1" x14ac:dyDescent="0.2">
      <c r="B17" s="1387" t="s">
        <v>1368</v>
      </c>
      <c r="C17" s="1387"/>
      <c r="D17" s="2507"/>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0"/>
      <c r="C20" s="2500"/>
      <c r="D20" s="2500"/>
      <c r="E20" s="2500"/>
      <c r="F20" s="2500"/>
      <c r="G20" s="2500"/>
      <c r="H20" s="2500"/>
      <c r="I20" s="2500"/>
      <c r="J20" s="2500"/>
      <c r="K20" s="250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verticalCentered="1"/>
  <pageMargins left="1" right="1" top="1" bottom="1" header="0.5" footer="0.18"/>
  <pageSetup scale="85"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L27" sqref="L2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5" t="str">
        <f>'Single Audit Cover'!A7</f>
        <v>Vienna HSD 13-3</v>
      </c>
      <c r="C1" s="2485"/>
      <c r="D1" s="2485"/>
      <c r="E1" s="1491"/>
    </row>
    <row r="2" spans="2:5" s="1282" customFormat="1" ht="12.75" customHeight="1" x14ac:dyDescent="0.2">
      <c r="B2" s="2487">
        <f>'Single Audit Cover'!E7</f>
        <v>21044013317</v>
      </c>
      <c r="C2" s="2487"/>
      <c r="D2" s="2487"/>
      <c r="E2" s="1492"/>
    </row>
    <row r="3" spans="2:5" ht="12.75" customHeight="1" x14ac:dyDescent="0.2">
      <c r="B3" s="2501" t="s">
        <v>1869</v>
      </c>
      <c r="C3" s="2501"/>
      <c r="D3" s="2501"/>
      <c r="E3" s="1274"/>
    </row>
    <row r="4" spans="2:5" s="1282" customFormat="1" ht="12.75" customHeight="1" x14ac:dyDescent="0.2">
      <c r="B4" s="2511" t="str">
        <f>'Single Audit Cover'!A4</f>
        <v>Year Ending June 30, 2018</v>
      </c>
      <c r="C4" s="2511"/>
      <c r="D4" s="2511"/>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8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24" zoomScaleNormal="124"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71676664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4">
        <f>ROUND(D10+F10+H10,5)</f>
        <v>1.29E-2</v>
      </c>
      <c r="K10" s="222"/>
      <c r="L10" s="355">
        <v>5.0000000000000001E-4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3615692</v>
      </c>
      <c r="E16" s="356"/>
      <c r="F16" s="1755">
        <f>SUM('Acct Summary 7-8'!C17,'Acct Summary 7-8'!D17,'Acct Summary 7-8'!F17)</f>
        <v>3166287</v>
      </c>
      <c r="G16" s="356"/>
      <c r="H16" s="1755">
        <f>SUM(D16-F16)</f>
        <v>449405</v>
      </c>
      <c r="I16" s="222"/>
      <c r="J16" s="1755">
        <f>SUM('Acct Summary 7-8'!C81,'Acct Summary 7-8'!D81,'Acct Summary 7-8'!F81,'Acct Summary 7-8'!I81)</f>
        <v>1463661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4945689.8160000006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3590909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verticalCentered="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sqref="A1:D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Vienna HSD 13-3</v>
      </c>
      <c r="E7" s="391"/>
      <c r="G7" s="252"/>
      <c r="H7" s="387"/>
      <c r="I7" s="387"/>
      <c r="J7" s="387"/>
      <c r="K7" s="387"/>
      <c r="L7" s="329"/>
      <c r="M7" s="329"/>
      <c r="N7" s="329"/>
      <c r="O7" s="329"/>
      <c r="P7" s="329"/>
    </row>
    <row r="8" spans="1:18" ht="12.75" x14ac:dyDescent="0.2">
      <c r="A8" s="329"/>
      <c r="B8" s="329"/>
      <c r="C8" s="389" t="s">
        <v>1187</v>
      </c>
      <c r="D8" s="392">
        <f>COVER!A13</f>
        <v>21044013317</v>
      </c>
      <c r="E8" s="393"/>
      <c r="G8" s="329"/>
      <c r="H8" s="329"/>
      <c r="I8" s="329"/>
      <c r="J8" s="329"/>
      <c r="K8" s="329"/>
      <c r="L8" s="329"/>
      <c r="M8" s="329"/>
      <c r="N8" s="329"/>
      <c r="O8" s="329"/>
      <c r="P8" s="329"/>
    </row>
    <row r="9" spans="1:18" ht="12.75" x14ac:dyDescent="0.2">
      <c r="A9" s="329"/>
      <c r="B9" s="329"/>
      <c r="C9" s="389" t="s">
        <v>737</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1463661</v>
      </c>
      <c r="I12" s="404"/>
      <c r="J12" s="404"/>
      <c r="K12" s="405">
        <f>TRUNC((H12/H13*100000),5)/100000</f>
        <v>0.40480798690000003</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3615692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3166287</v>
      </c>
      <c r="I17" s="404"/>
      <c r="J17" s="416"/>
      <c r="K17" s="405">
        <f>TRUNC((H17/H18*100000),5)/100000</f>
        <v>0.87570705690000006</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3615692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1447486</v>
      </c>
      <c r="I24" s="422"/>
      <c r="J24" s="422"/>
      <c r="K24" s="423">
        <f>TRUNC(((H24/H25*100000)/100000),2)</f>
        <v>164.57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8795.2416699999994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785934.62075999996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3590909</v>
      </c>
      <c r="I32" s="420"/>
      <c r="J32" s="420"/>
      <c r="K32" s="423">
        <f>TRUNC(100-((((H32/H33*100))*100)/100),2)</f>
        <v>27.39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4945689.8160000006</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sqref="A1:D1"/>
      <selection pane="bottomLeft" sqref="A1:D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1"/>
      <c r="D3" s="1582"/>
      <c r="E3" s="1582"/>
      <c r="F3" s="1582"/>
      <c r="G3" s="1582"/>
      <c r="H3" s="1582"/>
      <c r="I3" s="1582"/>
      <c r="J3" s="1582"/>
      <c r="K3" s="1582"/>
      <c r="L3" s="1582"/>
      <c r="M3" s="1583"/>
      <c r="N3" s="1584"/>
    </row>
    <row r="4" spans="1:14" ht="13.5" customHeight="1" x14ac:dyDescent="0.2">
      <c r="A4" s="463" t="s">
        <v>1750</v>
      </c>
      <c r="B4" s="464"/>
      <c r="C4" s="465">
        <v>810159</v>
      </c>
      <c r="D4" s="466">
        <v>66812</v>
      </c>
      <c r="E4" s="466">
        <v>6662</v>
      </c>
      <c r="F4" s="466">
        <v>131646</v>
      </c>
      <c r="G4" s="466">
        <v>75531</v>
      </c>
      <c r="H4" s="466">
        <v>24695</v>
      </c>
      <c r="I4" s="466">
        <v>438869</v>
      </c>
      <c r="J4" s="467">
        <v>87021</v>
      </c>
      <c r="K4" s="466">
        <v>1357360</v>
      </c>
      <c r="L4" s="466">
        <v>175115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15604</v>
      </c>
      <c r="D12" s="466">
        <v>122</v>
      </c>
      <c r="E12" s="466"/>
      <c r="F12" s="466">
        <v>449</v>
      </c>
      <c r="G12" s="466"/>
      <c r="H12" s="466"/>
      <c r="I12" s="466"/>
      <c r="J12" s="467"/>
      <c r="K12" s="466"/>
      <c r="L12" s="466"/>
      <c r="M12" s="469"/>
      <c r="N12" s="469"/>
    </row>
    <row r="13" spans="1:14" ht="13.5" customHeight="1" thickBot="1" x14ac:dyDescent="0.25">
      <c r="A13" s="1758" t="s">
        <v>665</v>
      </c>
      <c r="B13" s="1731"/>
      <c r="C13" s="1759">
        <f>SUM(C4:C12)</f>
        <v>825763</v>
      </c>
      <c r="D13" s="1759">
        <f t="shared" ref="D13:L13" si="0">SUM(D4:D12)</f>
        <v>66934</v>
      </c>
      <c r="E13" s="1759">
        <f t="shared" si="0"/>
        <v>6662</v>
      </c>
      <c r="F13" s="1759">
        <f t="shared" si="0"/>
        <v>132095</v>
      </c>
      <c r="G13" s="1759">
        <f t="shared" si="0"/>
        <v>75531</v>
      </c>
      <c r="H13" s="1759">
        <f t="shared" si="0"/>
        <v>24695</v>
      </c>
      <c r="I13" s="1759">
        <f t="shared" si="0"/>
        <v>438869</v>
      </c>
      <c r="J13" s="1759">
        <f t="shared" si="0"/>
        <v>87021</v>
      </c>
      <c r="K13" s="1759">
        <f t="shared" si="0"/>
        <v>1357360</v>
      </c>
      <c r="L13" s="1759">
        <f t="shared" si="0"/>
        <v>175115</v>
      </c>
      <c r="M13" s="468"/>
      <c r="N13" s="469"/>
    </row>
    <row r="14" spans="1:14" ht="18" customHeight="1" thickTop="1" x14ac:dyDescent="0.2">
      <c r="A14" s="2133" t="s">
        <v>149</v>
      </c>
      <c r="B14" s="213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369555</v>
      </c>
      <c r="N16" s="484"/>
    </row>
    <row r="17" spans="1:14" s="485" customFormat="1" ht="12.75" customHeight="1" x14ac:dyDescent="0.2">
      <c r="A17" s="482" t="s">
        <v>1470</v>
      </c>
      <c r="B17" s="483">
        <v>230</v>
      </c>
      <c r="C17" s="477"/>
      <c r="D17" s="477"/>
      <c r="E17" s="477"/>
      <c r="F17" s="477"/>
      <c r="G17" s="477"/>
      <c r="H17" s="477"/>
      <c r="I17" s="477"/>
      <c r="J17" s="477"/>
      <c r="K17" s="477"/>
      <c r="L17" s="477"/>
      <c r="M17" s="467">
        <v>7415015</v>
      </c>
      <c r="N17" s="484"/>
    </row>
    <row r="18" spans="1:14" s="485" customFormat="1" ht="12.75" customHeight="1" x14ac:dyDescent="0.2">
      <c r="A18" s="482" t="s">
        <v>1471</v>
      </c>
      <c r="B18" s="483">
        <v>240</v>
      </c>
      <c r="C18" s="477"/>
      <c r="D18" s="477"/>
      <c r="E18" s="477"/>
      <c r="F18" s="477"/>
      <c r="G18" s="477"/>
      <c r="H18" s="477"/>
      <c r="I18" s="477"/>
      <c r="J18" s="477"/>
      <c r="K18" s="477"/>
      <c r="L18" s="477"/>
      <c r="M18" s="467">
        <v>261654</v>
      </c>
      <c r="N18" s="484"/>
    </row>
    <row r="19" spans="1:14" s="485" customFormat="1" ht="12.75" customHeight="1" x14ac:dyDescent="0.2">
      <c r="A19" s="482" t="s">
        <v>1472</v>
      </c>
      <c r="B19" s="483">
        <v>250</v>
      </c>
      <c r="C19" s="477"/>
      <c r="D19" s="477"/>
      <c r="E19" s="477"/>
      <c r="F19" s="477"/>
      <c r="G19" s="477"/>
      <c r="H19" s="477"/>
      <c r="I19" s="477"/>
      <c r="J19" s="477"/>
      <c r="K19" s="477"/>
      <c r="L19" s="477"/>
      <c r="M19" s="467">
        <v>1949483</v>
      </c>
      <c r="N19" s="484"/>
    </row>
    <row r="20" spans="1:14" s="485" customFormat="1" ht="12.75" customHeight="1" x14ac:dyDescent="0.2">
      <c r="A20" s="482" t="s">
        <v>1473</v>
      </c>
      <c r="B20" s="483">
        <v>260</v>
      </c>
      <c r="C20" s="477"/>
      <c r="D20" s="477"/>
      <c r="E20" s="477"/>
      <c r="F20" s="477"/>
      <c r="G20" s="477"/>
      <c r="H20" s="477"/>
      <c r="I20" s="477"/>
      <c r="J20" s="477"/>
      <c r="K20" s="477"/>
      <c r="L20" s="477"/>
      <c r="M20" s="467">
        <v>431932</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6662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3584247</v>
      </c>
    </row>
    <row r="23" spans="1:14" ht="13.5" customHeight="1" thickBot="1" x14ac:dyDescent="0.25">
      <c r="A23" s="1758" t="s">
        <v>664</v>
      </c>
      <c r="B23" s="1763"/>
      <c r="C23" s="468"/>
      <c r="D23" s="468"/>
      <c r="E23" s="468"/>
      <c r="F23" s="468"/>
      <c r="G23" s="468"/>
      <c r="H23" s="468"/>
      <c r="I23" s="468"/>
      <c r="J23" s="468"/>
      <c r="K23" s="468"/>
      <c r="L23" s="468"/>
      <c r="M23" s="1710">
        <f>SUM(M15:M22)</f>
        <v>10427639</v>
      </c>
      <c r="N23" s="1710">
        <f>SUM(N21:N22)</f>
        <v>3590909</v>
      </c>
    </row>
    <row r="24" spans="1:14" ht="18" customHeight="1" thickTop="1" x14ac:dyDescent="0.2">
      <c r="A24" s="2135" t="s">
        <v>619</v>
      </c>
      <c r="B24" s="213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175115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175115</v>
      </c>
      <c r="M34" s="468"/>
      <c r="N34" s="480"/>
    </row>
    <row r="35" spans="1:14" ht="18" customHeight="1" thickTop="1" x14ac:dyDescent="0.2">
      <c r="A35" s="2137" t="s">
        <v>550</v>
      </c>
      <c r="B35" s="213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3590909</v>
      </c>
    </row>
    <row r="37" spans="1:14" ht="13.5" thickBot="1" x14ac:dyDescent="0.25">
      <c r="A37" s="1758" t="s">
        <v>674</v>
      </c>
      <c r="B37" s="1763"/>
      <c r="C37" s="477"/>
      <c r="D37" s="477"/>
      <c r="E37" s="477"/>
      <c r="F37" s="477"/>
      <c r="G37" s="477"/>
      <c r="H37" s="477"/>
      <c r="I37" s="477"/>
      <c r="J37" s="477"/>
      <c r="K37" s="477"/>
      <c r="L37" s="480"/>
      <c r="M37" s="468"/>
      <c r="N37" s="1710">
        <f>SUM(N36:N36)</f>
        <v>3590909</v>
      </c>
    </row>
    <row r="38" spans="1:14" s="329" customFormat="1" ht="13.5" customHeight="1" thickTop="1" x14ac:dyDescent="0.2">
      <c r="A38" s="496" t="s">
        <v>440</v>
      </c>
      <c r="B38" s="483">
        <v>714</v>
      </c>
      <c r="C38" s="466"/>
      <c r="D38" s="466"/>
      <c r="E38" s="466">
        <v>6662</v>
      </c>
      <c r="F38" s="466"/>
      <c r="G38" s="466">
        <v>75531</v>
      </c>
      <c r="H38" s="466">
        <v>24695</v>
      </c>
      <c r="I38" s="466"/>
      <c r="J38" s="467">
        <v>87021</v>
      </c>
      <c r="K38" s="466">
        <v>1357360</v>
      </c>
      <c r="L38" s="481"/>
      <c r="M38" s="497"/>
      <c r="N38" s="497"/>
    </row>
    <row r="39" spans="1:14" s="329" customFormat="1" ht="13.5" customHeight="1" x14ac:dyDescent="0.2">
      <c r="A39" s="496" t="s">
        <v>360</v>
      </c>
      <c r="B39" s="483">
        <v>730</v>
      </c>
      <c r="C39" s="466">
        <v>825763</v>
      </c>
      <c r="D39" s="466">
        <v>66934</v>
      </c>
      <c r="E39" s="466"/>
      <c r="F39" s="466">
        <v>132095</v>
      </c>
      <c r="G39" s="466"/>
      <c r="H39" s="466"/>
      <c r="I39" s="466">
        <v>438869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10427639</v>
      </c>
      <c r="N40" s="497"/>
    </row>
    <row r="41" spans="1:14" ht="13.5" customHeight="1" thickBot="1" x14ac:dyDescent="0.25">
      <c r="A41" s="1758" t="s">
        <v>676</v>
      </c>
      <c r="B41" s="1728"/>
      <c r="C41" s="1710">
        <f>(SUM(C34,C37,C38,C39))</f>
        <v>825763</v>
      </c>
      <c r="D41" s="1710">
        <f t="shared" ref="D41:L41" si="2">SUM(D34,D37,D38:D39)</f>
        <v>66934</v>
      </c>
      <c r="E41" s="1710">
        <f t="shared" si="2"/>
        <v>6662</v>
      </c>
      <c r="F41" s="1710">
        <f t="shared" si="2"/>
        <v>132095</v>
      </c>
      <c r="G41" s="1710">
        <f t="shared" si="2"/>
        <v>75531</v>
      </c>
      <c r="H41" s="1710">
        <f t="shared" si="2"/>
        <v>24695</v>
      </c>
      <c r="I41" s="1710">
        <f t="shared" si="2"/>
        <v>438869</v>
      </c>
      <c r="J41" s="1710">
        <f t="shared" si="2"/>
        <v>87021</v>
      </c>
      <c r="K41" s="1710">
        <f t="shared" si="2"/>
        <v>1357360</v>
      </c>
      <c r="L41" s="1710">
        <f t="shared" si="2"/>
        <v>175115</v>
      </c>
      <c r="M41" s="1710">
        <f>SUM(M40)</f>
        <v>10427639</v>
      </c>
      <c r="N41" s="1710">
        <f>SUM(N37)</f>
        <v>3590909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sqref="A1:D1"/>
      <selection pane="bottomLeft" sqref="A1:D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7" t="s">
        <v>1237</v>
      </c>
      <c r="B3" s="2158"/>
      <c r="C3" s="1595"/>
      <c r="D3" s="1596"/>
      <c r="E3" s="1596"/>
      <c r="F3" s="1596"/>
      <c r="G3" s="1596"/>
      <c r="H3" s="1596"/>
      <c r="I3" s="1596"/>
      <c r="J3" s="1596"/>
      <c r="K3" s="1597"/>
      <c r="L3" s="506"/>
    </row>
    <row r="4" spans="1:13" ht="15.75" customHeight="1" x14ac:dyDescent="0.2">
      <c r="A4" s="2159" t="s">
        <v>1579</v>
      </c>
      <c r="B4" s="2160"/>
      <c r="C4" s="1764">
        <f>'Revenues 9-14'!C109</f>
        <v>1082088</v>
      </c>
      <c r="D4" s="1764">
        <f>'Revenues 9-14'!D109</f>
        <v>195966</v>
      </c>
      <c r="E4" s="1764">
        <f>'Revenues 9-14'!E109</f>
        <v>386033</v>
      </c>
      <c r="F4" s="1764">
        <f>'Revenues 9-14'!F109</f>
        <v>88508</v>
      </c>
      <c r="G4" s="1764">
        <f>'Revenues 9-14'!G109</f>
        <v>143930</v>
      </c>
      <c r="H4" s="1764">
        <f>'Revenues 9-14'!H109</f>
        <v>3323</v>
      </c>
      <c r="I4" s="1764">
        <f>'Revenues 9-14'!I109</f>
        <v>34552</v>
      </c>
      <c r="J4" s="1764">
        <f>'Revenues 9-14'!J109</f>
        <v>150385</v>
      </c>
      <c r="K4" s="1764">
        <f>'Revenues 9-14'!K109</f>
        <v>36101</v>
      </c>
      <c r="L4" s="347"/>
    </row>
    <row r="5" spans="1:13" ht="15.75" customHeight="1" x14ac:dyDescent="0.2">
      <c r="A5" s="1598" t="s">
        <v>1580</v>
      </c>
      <c r="B5" s="1599">
        <v>2000</v>
      </c>
      <c r="C5" s="1765">
        <f>'Revenues 9-14'!C114</f>
        <v>72641</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1594134</v>
      </c>
      <c r="D6" s="1765">
        <f>'Revenues 9-14'!D173</f>
        <v>130000</v>
      </c>
      <c r="E6" s="1765">
        <f>'Revenues 9-14'!E173</f>
        <v>21297</v>
      </c>
      <c r="F6" s="1765">
        <f>'Revenues 9-14'!F173</f>
        <v>139791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274848</v>
      </c>
      <c r="D7" s="1765">
        <f>'Revenues 9-14'!D274</f>
        <v>0</v>
      </c>
      <c r="E7" s="1765">
        <f>'Revenues 9-14'!E274</f>
        <v>0</v>
      </c>
      <c r="F7" s="1765">
        <f>'Revenues 9-14'!F274</f>
        <v>3164</v>
      </c>
      <c r="G7" s="1765">
        <f>'Revenues 9-14'!G274</f>
        <v>2006</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3023711</v>
      </c>
      <c r="D8" s="1710">
        <f t="shared" ref="D8:K8" si="0">SUM(D4:D7)</f>
        <v>325966</v>
      </c>
      <c r="E8" s="1710">
        <f t="shared" si="0"/>
        <v>407330</v>
      </c>
      <c r="F8" s="1710">
        <f t="shared" si="0"/>
        <v>231463</v>
      </c>
      <c r="G8" s="1710">
        <f t="shared" si="0"/>
        <v>145936</v>
      </c>
      <c r="H8" s="1710">
        <f t="shared" si="0"/>
        <v>3323</v>
      </c>
      <c r="I8" s="1710">
        <f t="shared" si="0"/>
        <v>34552</v>
      </c>
      <c r="J8" s="1710">
        <f t="shared" si="0"/>
        <v>150385</v>
      </c>
      <c r="K8" s="1710">
        <f t="shared" si="0"/>
        <v>36101</v>
      </c>
      <c r="L8" s="347"/>
    </row>
    <row r="9" spans="1:13" ht="15.75" thickTop="1" x14ac:dyDescent="0.2">
      <c r="A9" s="514" t="s">
        <v>1752</v>
      </c>
      <c r="B9" s="515">
        <v>3998</v>
      </c>
      <c r="C9" s="481">
        <v>1131757</v>
      </c>
      <c r="D9" s="516"/>
      <c r="E9" s="481"/>
      <c r="F9" s="481"/>
      <c r="G9" s="517"/>
      <c r="H9" s="481"/>
      <c r="I9" s="509" t="s">
        <v>1231</v>
      </c>
      <c r="J9" s="478"/>
      <c r="K9" s="481"/>
      <c r="L9" s="347"/>
    </row>
    <row r="10" spans="1:13" s="519" customFormat="1" ht="13.5" thickBot="1" x14ac:dyDescent="0.25">
      <c r="A10" s="1758" t="s">
        <v>1235</v>
      </c>
      <c r="B10" s="1731"/>
      <c r="C10" s="1710">
        <f>SUM(C8:C9)</f>
        <v>4155468</v>
      </c>
      <c r="D10" s="1710">
        <f t="shared" ref="D10:K10" si="1">SUM(D8:D9)</f>
        <v>325966</v>
      </c>
      <c r="E10" s="1710">
        <f t="shared" si="1"/>
        <v>407330</v>
      </c>
      <c r="F10" s="1710">
        <f t="shared" si="1"/>
        <v>231463</v>
      </c>
      <c r="G10" s="1710">
        <f t="shared" si="1"/>
        <v>145936</v>
      </c>
      <c r="H10" s="1710">
        <f t="shared" si="1"/>
        <v>3323</v>
      </c>
      <c r="I10" s="1710">
        <f t="shared" si="1"/>
        <v>34552</v>
      </c>
      <c r="J10" s="1710">
        <f t="shared" si="1"/>
        <v>150385</v>
      </c>
      <c r="K10" s="1710">
        <f t="shared" si="1"/>
        <v>36101</v>
      </c>
      <c r="L10" s="518"/>
    </row>
    <row r="11" spans="1:13" s="519" customFormat="1" ht="16.7" customHeight="1" thickTop="1" x14ac:dyDescent="0.2">
      <c r="A11" s="2133" t="s">
        <v>1238</v>
      </c>
      <c r="B11" s="2134"/>
      <c r="C11" s="1592"/>
      <c r="D11" s="1593"/>
      <c r="E11" s="1593"/>
      <c r="F11" s="1593"/>
      <c r="G11" s="1593"/>
      <c r="H11" s="1593"/>
      <c r="I11" s="1593"/>
      <c r="J11" s="1593"/>
      <c r="K11" s="1594"/>
      <c r="L11" s="518"/>
    </row>
    <row r="12" spans="1:13" ht="15.75" customHeight="1" x14ac:dyDescent="0.2">
      <c r="A12" s="1598" t="s">
        <v>476</v>
      </c>
      <c r="B12" s="1600">
        <v>1000</v>
      </c>
      <c r="C12" s="1764">
        <f>'Expenditures 15-22'!K33</f>
        <v>1795934</v>
      </c>
      <c r="D12" s="520" t="s">
        <v>1231</v>
      </c>
      <c r="E12" s="468" t="s">
        <v>1231</v>
      </c>
      <c r="F12" s="468" t="s">
        <v>1231</v>
      </c>
      <c r="G12" s="1764">
        <f>'Expenditures 15-22'!K229</f>
        <v>40764</v>
      </c>
      <c r="H12" s="521"/>
      <c r="I12" s="468" t="s">
        <v>1231</v>
      </c>
      <c r="J12" s="468" t="s">
        <v>1231</v>
      </c>
      <c r="K12" s="521" t="s">
        <v>1231</v>
      </c>
      <c r="L12" s="347"/>
    </row>
    <row r="13" spans="1:13" ht="15.75" customHeight="1" x14ac:dyDescent="0.2">
      <c r="A13" s="1598" t="s">
        <v>477</v>
      </c>
      <c r="B13" s="1600">
        <v>2000</v>
      </c>
      <c r="C13" s="1765">
        <f>'Expenditures 15-22'!K74</f>
        <v>823770</v>
      </c>
      <c r="D13" s="1765">
        <f>'Expenditures 15-22'!K129</f>
        <v>294724</v>
      </c>
      <c r="E13" s="469" t="s">
        <v>1231</v>
      </c>
      <c r="F13" s="1765">
        <f>'Expenditures 15-22'!K184</f>
        <v>168222</v>
      </c>
      <c r="G13" s="1765">
        <f>'Expenditures 15-22'!K279</f>
        <v>85990</v>
      </c>
      <c r="H13" s="1765">
        <f>'Expenditures 15-22'!K303</f>
        <v>3818</v>
      </c>
      <c r="I13" s="468" t="s">
        <v>1231</v>
      </c>
      <c r="J13" s="1765">
        <f>'Expenditures 15-22'!K330</f>
        <v>109064</v>
      </c>
      <c r="K13" s="1769">
        <f>'Expenditures 15-22'!K352</f>
        <v>574030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83637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422905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2703341</v>
      </c>
      <c r="D17" s="1710">
        <f t="shared" si="2"/>
        <v>294724</v>
      </c>
      <c r="E17" s="1710">
        <f t="shared" si="2"/>
        <v>422905</v>
      </c>
      <c r="F17" s="1710">
        <f t="shared" si="2"/>
        <v>168222</v>
      </c>
      <c r="G17" s="1710">
        <f t="shared" si="2"/>
        <v>126754</v>
      </c>
      <c r="H17" s="1710">
        <f t="shared" si="2"/>
        <v>3818</v>
      </c>
      <c r="I17" s="468"/>
      <c r="J17" s="1710">
        <f>SUM(J12:J16)</f>
        <v>109064</v>
      </c>
      <c r="K17" s="1710">
        <f>SUM(K12:K16)</f>
        <v>574030</v>
      </c>
      <c r="L17" s="347"/>
    </row>
    <row r="18" spans="1:12" ht="15" customHeight="1" thickTop="1" x14ac:dyDescent="0.2">
      <c r="A18" s="1766" t="s">
        <v>1753</v>
      </c>
      <c r="B18" s="1767">
        <v>4180</v>
      </c>
      <c r="C18" s="1764">
        <f t="shared" ref="C18:H18" si="3">C9</f>
        <v>1131757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3835098</v>
      </c>
      <c r="D19" s="1710">
        <f t="shared" si="4"/>
        <v>294724</v>
      </c>
      <c r="E19" s="1710">
        <f t="shared" si="4"/>
        <v>422905</v>
      </c>
      <c r="F19" s="1710">
        <f t="shared" si="4"/>
        <v>168222</v>
      </c>
      <c r="G19" s="1710">
        <f t="shared" si="4"/>
        <v>126754</v>
      </c>
      <c r="H19" s="1710">
        <f t="shared" si="4"/>
        <v>3818</v>
      </c>
      <c r="I19" s="468"/>
      <c r="J19" s="1710">
        <f>SUM(J17:J18)</f>
        <v>109064</v>
      </c>
      <c r="K19" s="1710">
        <f>SUM(K17:K18)</f>
        <v>574030</v>
      </c>
      <c r="L19" s="347"/>
    </row>
    <row r="20" spans="1:12" ht="16.5" thickTop="1" thickBot="1" x14ac:dyDescent="0.25">
      <c r="A20" s="2147" t="s">
        <v>1754</v>
      </c>
      <c r="B20" s="2148"/>
      <c r="C20" s="1768">
        <f>C8-C17</f>
        <v>320370</v>
      </c>
      <c r="D20" s="1768">
        <f t="shared" ref="D20:K20" si="5">D8-D17</f>
        <v>31242</v>
      </c>
      <c r="E20" s="1768">
        <f t="shared" si="5"/>
        <v>-15575</v>
      </c>
      <c r="F20" s="1768">
        <f t="shared" si="5"/>
        <v>63241</v>
      </c>
      <c r="G20" s="1768">
        <f t="shared" si="5"/>
        <v>19182</v>
      </c>
      <c r="H20" s="1768">
        <f t="shared" si="5"/>
        <v>-495</v>
      </c>
      <c r="I20" s="1768">
        <f t="shared" si="5"/>
        <v>34552</v>
      </c>
      <c r="J20" s="1768">
        <f t="shared" si="5"/>
        <v>41321</v>
      </c>
      <c r="K20" s="1768">
        <f t="shared" si="5"/>
        <v>-537929</v>
      </c>
      <c r="L20" s="347"/>
    </row>
    <row r="21" spans="1:12" ht="16.7" customHeight="1" thickTop="1" x14ac:dyDescent="0.2">
      <c r="A21" s="2161" t="s">
        <v>616</v>
      </c>
      <c r="B21" s="2162"/>
      <c r="C21" s="1592"/>
      <c r="D21" s="1593"/>
      <c r="E21" s="1593"/>
      <c r="F21" s="1593"/>
      <c r="G21" s="1593"/>
      <c r="H21" s="1593"/>
      <c r="I21" s="1593"/>
      <c r="J21" s="1593"/>
      <c r="K21" s="1594"/>
      <c r="L21" s="524"/>
    </row>
    <row r="22" spans="1:12" ht="15.75" customHeight="1" collapsed="1" x14ac:dyDescent="0.2">
      <c r="A22" s="2155" t="s">
        <v>617</v>
      </c>
      <c r="B22" s="2156"/>
      <c r="C22" s="477"/>
      <c r="D22" s="477"/>
      <c r="E22" s="477"/>
      <c r="F22" s="477"/>
      <c r="G22" s="477"/>
      <c r="H22" s="477"/>
      <c r="I22" s="477"/>
      <c r="J22" s="477"/>
      <c r="K22" s="477"/>
      <c r="L22" s="347"/>
    </row>
    <row r="23" spans="1:12" s="485" customFormat="1" ht="15.75" customHeight="1" x14ac:dyDescent="0.2">
      <c r="A23" s="2151" t="s">
        <v>311</v>
      </c>
      <c r="B23" s="2152"/>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3" t="s">
        <v>1038</v>
      </c>
      <c r="B32" s="2154"/>
      <c r="C32" s="477"/>
      <c r="D32" s="477"/>
      <c r="E32" s="475"/>
      <c r="F32" s="477"/>
      <c r="G32" s="477"/>
      <c r="H32" s="477"/>
      <c r="I32" s="477"/>
      <c r="J32" s="477"/>
      <c r="K32" s="477"/>
      <c r="L32" s="524"/>
    </row>
    <row r="33" spans="1:12" s="485" customFormat="1" x14ac:dyDescent="0.2">
      <c r="A33" s="1511" t="s">
        <v>432</v>
      </c>
      <c r="B33" s="525">
        <v>7210</v>
      </c>
      <c r="C33" s="467"/>
      <c r="D33" s="467"/>
      <c r="E33" s="467">
        <v>14198</v>
      </c>
      <c r="F33" s="467"/>
      <c r="G33" s="477"/>
      <c r="H33" s="467"/>
      <c r="I33" s="467"/>
      <c r="J33" s="467"/>
      <c r="K33" s="467">
        <v>695711</v>
      </c>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25">
        <f>SUM(C24:C43)</f>
        <v>0</v>
      </c>
      <c r="D44" s="1725">
        <f t="shared" ref="D44:K44" si="6">SUM(D24:D43)</f>
        <v>0</v>
      </c>
      <c r="E44" s="1725">
        <f t="shared" si="6"/>
        <v>14198</v>
      </c>
      <c r="F44" s="1725">
        <f t="shared" si="6"/>
        <v>0</v>
      </c>
      <c r="G44" s="1725">
        <f t="shared" si="6"/>
        <v>0</v>
      </c>
      <c r="H44" s="1725">
        <f t="shared" si="6"/>
        <v>0</v>
      </c>
      <c r="I44" s="1725">
        <f t="shared" si="6"/>
        <v>0</v>
      </c>
      <c r="J44" s="1725">
        <f t="shared" si="6"/>
        <v>0</v>
      </c>
      <c r="K44" s="1725">
        <f t="shared" si="6"/>
        <v>695711</v>
      </c>
      <c r="L44" s="524"/>
    </row>
    <row r="45" spans="1:12" ht="15.75" customHeight="1" thickTop="1" x14ac:dyDescent="0.2">
      <c r="A45" s="2155" t="s">
        <v>110</v>
      </c>
      <c r="B45" s="2156"/>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7" t="s">
        <v>460</v>
      </c>
      <c r="B76" s="2168"/>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9" t="s">
        <v>1239</v>
      </c>
      <c r="B77" s="2140"/>
      <c r="C77" s="1725">
        <f t="shared" ref="C77:K77" si="8">C44-C76</f>
        <v>0</v>
      </c>
      <c r="D77" s="1725">
        <f t="shared" si="8"/>
        <v>0</v>
      </c>
      <c r="E77" s="1725">
        <f t="shared" si="8"/>
        <v>14198</v>
      </c>
      <c r="F77" s="1725">
        <f t="shared" si="8"/>
        <v>0</v>
      </c>
      <c r="G77" s="1725">
        <f t="shared" si="8"/>
        <v>0</v>
      </c>
      <c r="H77" s="1725">
        <f t="shared" si="8"/>
        <v>0</v>
      </c>
      <c r="I77" s="1725">
        <f t="shared" si="8"/>
        <v>0</v>
      </c>
      <c r="J77" s="1725">
        <f t="shared" si="8"/>
        <v>0</v>
      </c>
      <c r="K77" s="1725">
        <f t="shared" si="8"/>
        <v>695711</v>
      </c>
      <c r="L77" s="347"/>
    </row>
    <row r="78" spans="1:12" ht="21.75" customHeight="1" thickTop="1" thickBot="1" x14ac:dyDescent="0.25">
      <c r="A78" s="2143" t="s">
        <v>618</v>
      </c>
      <c r="B78" s="2144"/>
      <c r="C78" s="1724">
        <f t="shared" ref="C78:K78" si="9">C20+C77</f>
        <v>320370</v>
      </c>
      <c r="D78" s="1724">
        <f t="shared" si="9"/>
        <v>31242</v>
      </c>
      <c r="E78" s="1724">
        <f t="shared" si="9"/>
        <v>-1377</v>
      </c>
      <c r="F78" s="1724">
        <f t="shared" si="9"/>
        <v>63241</v>
      </c>
      <c r="G78" s="1724">
        <f t="shared" si="9"/>
        <v>19182</v>
      </c>
      <c r="H78" s="1724">
        <f t="shared" si="9"/>
        <v>-495</v>
      </c>
      <c r="I78" s="1724">
        <f t="shared" si="9"/>
        <v>34552</v>
      </c>
      <c r="J78" s="1724">
        <f t="shared" si="9"/>
        <v>41321</v>
      </c>
      <c r="K78" s="1724">
        <f t="shared" si="9"/>
        <v>157782</v>
      </c>
      <c r="L78" s="533"/>
    </row>
    <row r="79" spans="1:12" ht="13.5" thickTop="1" x14ac:dyDescent="0.2">
      <c r="A79" s="1516" t="s">
        <v>2073</v>
      </c>
      <c r="B79" s="534"/>
      <c r="C79" s="478">
        <v>505393</v>
      </c>
      <c r="D79" s="535">
        <v>35692</v>
      </c>
      <c r="E79" s="535">
        <v>8039</v>
      </c>
      <c r="F79" s="535">
        <v>68854</v>
      </c>
      <c r="G79" s="535">
        <v>56349</v>
      </c>
      <c r="H79" s="535">
        <v>25190</v>
      </c>
      <c r="I79" s="535">
        <v>404317</v>
      </c>
      <c r="J79" s="535">
        <v>45700</v>
      </c>
      <c r="K79" s="535">
        <v>1199578</v>
      </c>
      <c r="L79" s="347"/>
    </row>
    <row r="80" spans="1:12" x14ac:dyDescent="0.2">
      <c r="A80" s="2149" t="s">
        <v>1898</v>
      </c>
      <c r="B80" s="2150"/>
      <c r="C80" s="467"/>
      <c r="D80" s="467"/>
      <c r="E80" s="467"/>
      <c r="F80" s="467"/>
      <c r="G80" s="467"/>
      <c r="H80" s="467"/>
      <c r="I80" s="467"/>
      <c r="J80" s="467"/>
      <c r="K80" s="467"/>
      <c r="L80" s="347"/>
    </row>
    <row r="81" spans="1:12" ht="13.5" thickBot="1" x14ac:dyDescent="0.25">
      <c r="A81" s="2141" t="s">
        <v>2074</v>
      </c>
      <c r="B81" s="2142"/>
      <c r="C81" s="1710">
        <f>(SUM(C78:C80))</f>
        <v>825763</v>
      </c>
      <c r="D81" s="1710">
        <f>SUM(D78:D80)</f>
        <v>66934</v>
      </c>
      <c r="E81" s="1710">
        <f t="shared" ref="E81:K81" si="10">SUM(E78:E80)</f>
        <v>6662</v>
      </c>
      <c r="F81" s="1710">
        <f t="shared" si="10"/>
        <v>132095</v>
      </c>
      <c r="G81" s="1710">
        <f t="shared" si="10"/>
        <v>75531</v>
      </c>
      <c r="H81" s="1710">
        <f t="shared" si="10"/>
        <v>24695</v>
      </c>
      <c r="I81" s="1710">
        <f t="shared" si="10"/>
        <v>438869</v>
      </c>
      <c r="J81" s="1710">
        <f t="shared" si="10"/>
        <v>87021</v>
      </c>
      <c r="K81" s="1710">
        <f t="shared" si="10"/>
        <v>1357360</v>
      </c>
      <c r="L81" s="347"/>
    </row>
    <row r="82" spans="1:12" ht="0.75" customHeight="1" thickTop="1" thickBot="1" x14ac:dyDescent="0.25">
      <c r="A82" s="536" t="s">
        <v>361</v>
      </c>
      <c r="B82" s="537"/>
      <c r="C82" s="538">
        <f>(C81-C79)</f>
        <v>320370</v>
      </c>
      <c r="D82" s="538">
        <f t="shared" ref="D82:K82" si="11">(D81-D79)</f>
        <v>31242</v>
      </c>
      <c r="E82" s="538">
        <f t="shared" si="11"/>
        <v>-1377</v>
      </c>
      <c r="F82" s="538">
        <f t="shared" si="11"/>
        <v>63241</v>
      </c>
      <c r="G82" s="538">
        <f t="shared" si="11"/>
        <v>19182</v>
      </c>
      <c r="H82" s="538">
        <f t="shared" si="11"/>
        <v>-495</v>
      </c>
      <c r="I82" s="538">
        <f t="shared" si="11"/>
        <v>34552</v>
      </c>
      <c r="J82" s="538">
        <f t="shared" si="11"/>
        <v>41321</v>
      </c>
      <c r="K82" s="538">
        <f t="shared" si="11"/>
        <v>157782</v>
      </c>
    </row>
    <row r="83" spans="1:12" ht="14.25" hidden="1" thickTop="1" thickBot="1" x14ac:dyDescent="0.25">
      <c r="A83" s="539" t="s">
        <v>362</v>
      </c>
      <c r="B83" s="464"/>
      <c r="C83" s="540">
        <f>C82/C81</f>
        <v>0.3879684606842399</v>
      </c>
      <c r="D83" s="540">
        <f t="shared" ref="D83:K83" si="12">D82/D81</f>
        <v>0.46675829922012729</v>
      </c>
      <c r="E83" s="540">
        <f t="shared" si="12"/>
        <v>-0.20669468628039628</v>
      </c>
      <c r="F83" s="540">
        <f t="shared" si="12"/>
        <v>0.47875392709792197</v>
      </c>
      <c r="G83" s="540">
        <f t="shared" si="12"/>
        <v>0.25396194939826033</v>
      </c>
      <c r="H83" s="540">
        <f t="shared" si="12"/>
        <v>-2.0044543429844099E-2</v>
      </c>
      <c r="I83" s="540">
        <f t="shared" si="12"/>
        <v>7.8729643697777699E-2</v>
      </c>
      <c r="J83" s="540">
        <f t="shared" si="12"/>
        <v>0.47483940658002094</v>
      </c>
      <c r="K83" s="540">
        <f t="shared" si="12"/>
        <v>0.11624182236105381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orizontalCentered="1" gridLine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view="pageBreakPreview" colorId="8" zoomScale="75" zoomScaleNormal="110" zoomScaleSheetLayoutView="75" workbookViewId="0">
      <pane ySplit="2" topLeftCell="A165" activePane="bottomLeft" state="frozen"/>
      <selection sqref="A1:D1"/>
      <selection pane="bottomLeft" sqref="A1:D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5" t="s">
        <v>1905</v>
      </c>
      <c r="B1" s="452"/>
      <c r="C1" s="453" t="s">
        <v>445</v>
      </c>
      <c r="D1" s="453" t="s">
        <v>446</v>
      </c>
      <c r="E1" s="453" t="s">
        <v>447</v>
      </c>
      <c r="F1" s="453" t="s">
        <v>448</v>
      </c>
      <c r="G1" s="453" t="s">
        <v>449</v>
      </c>
      <c r="H1" s="453" t="s">
        <v>450</v>
      </c>
      <c r="I1" s="453" t="s">
        <v>451</v>
      </c>
      <c r="J1" s="453" t="s">
        <v>452</v>
      </c>
      <c r="K1" s="453" t="s">
        <v>780</v>
      </c>
    </row>
    <row r="2" spans="1:12" ht="36" x14ac:dyDescent="0.2">
      <c r="A2" s="214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619348</v>
      </c>
      <c r="D5" s="481">
        <v>168330</v>
      </c>
      <c r="E5" s="466">
        <v>385941</v>
      </c>
      <c r="F5" s="548">
        <v>80798</v>
      </c>
      <c r="G5" s="466">
        <v>65102</v>
      </c>
      <c r="H5" s="466"/>
      <c r="I5" s="466">
        <v>33666</v>
      </c>
      <c r="J5" s="467">
        <v>150216</v>
      </c>
      <c r="K5" s="466">
        <v>33668</v>
      </c>
    </row>
    <row r="6" spans="1:12" ht="15" x14ac:dyDescent="0.2">
      <c r="A6" s="463" t="s">
        <v>1761</v>
      </c>
      <c r="B6" s="470">
        <v>1130</v>
      </c>
      <c r="C6" s="466">
        <v>33666</v>
      </c>
      <c r="D6" s="466"/>
      <c r="E6" s="475"/>
      <c r="F6" s="475"/>
      <c r="G6" s="468"/>
      <c r="H6" s="468"/>
      <c r="I6" s="468"/>
      <c r="J6" s="468"/>
      <c r="K6" s="468"/>
    </row>
    <row r="7" spans="1:12" x14ac:dyDescent="0.2">
      <c r="A7" s="463" t="s">
        <v>112</v>
      </c>
      <c r="B7" s="549">
        <v>1140</v>
      </c>
      <c r="C7" s="466">
        <v>13466</v>
      </c>
      <c r="D7" s="466"/>
      <c r="E7" s="468"/>
      <c r="F7" s="467"/>
      <c r="G7" s="467"/>
      <c r="H7" s="467"/>
      <c r="I7" s="468"/>
      <c r="J7" s="468"/>
      <c r="K7" s="468"/>
    </row>
    <row r="8" spans="1:12" x14ac:dyDescent="0.2">
      <c r="A8" s="463" t="s">
        <v>433</v>
      </c>
      <c r="B8" s="470">
        <v>1150</v>
      </c>
      <c r="C8" s="475"/>
      <c r="D8" s="475"/>
      <c r="E8" s="477"/>
      <c r="F8" s="477"/>
      <c r="G8" s="481">
        <v>65098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666480</v>
      </c>
      <c r="D12" s="1729">
        <f t="shared" si="0"/>
        <v>168330</v>
      </c>
      <c r="E12" s="1729">
        <f t="shared" si="0"/>
        <v>385941</v>
      </c>
      <c r="F12" s="1729">
        <f t="shared" si="0"/>
        <v>80798</v>
      </c>
      <c r="G12" s="1729">
        <f t="shared" si="0"/>
        <v>130200</v>
      </c>
      <c r="H12" s="1729">
        <f t="shared" si="0"/>
        <v>0</v>
      </c>
      <c r="I12" s="1729">
        <f t="shared" si="0"/>
        <v>33666</v>
      </c>
      <c r="J12" s="1729">
        <f t="shared" si="0"/>
        <v>150216</v>
      </c>
      <c r="K12" s="1710">
        <f t="shared" si="0"/>
        <v>33668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234624</v>
      </c>
      <c r="D16" s="466"/>
      <c r="E16" s="466"/>
      <c r="F16" s="466"/>
      <c r="G16" s="466">
        <v>13547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234624</v>
      </c>
      <c r="D18" s="1732">
        <f t="shared" ref="D18:K18" si="1">SUM(D14:D17)</f>
        <v>0</v>
      </c>
      <c r="E18" s="1732">
        <f t="shared" si="1"/>
        <v>0</v>
      </c>
      <c r="F18" s="1732">
        <f t="shared" si="1"/>
        <v>0</v>
      </c>
      <c r="G18" s="1732">
        <f t="shared" si="1"/>
        <v>13547</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1232</v>
      </c>
      <c r="D65" s="466">
        <v>234</v>
      </c>
      <c r="E65" s="466">
        <v>92</v>
      </c>
      <c r="F65" s="467">
        <v>260</v>
      </c>
      <c r="G65" s="466">
        <v>183</v>
      </c>
      <c r="H65" s="466">
        <v>48</v>
      </c>
      <c r="I65" s="466">
        <v>886</v>
      </c>
      <c r="J65" s="467">
        <v>169</v>
      </c>
      <c r="K65" s="466">
        <v>2433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1232</v>
      </c>
      <c r="D67" s="1710">
        <f t="shared" ref="D67:K67" si="2">SUM(D65:D66)</f>
        <v>234</v>
      </c>
      <c r="E67" s="1710">
        <f t="shared" si="2"/>
        <v>92</v>
      </c>
      <c r="F67" s="1710">
        <f t="shared" si="2"/>
        <v>260</v>
      </c>
      <c r="G67" s="1710">
        <f t="shared" si="2"/>
        <v>183</v>
      </c>
      <c r="H67" s="1710">
        <f t="shared" si="2"/>
        <v>48</v>
      </c>
      <c r="I67" s="1710">
        <f t="shared" si="2"/>
        <v>886</v>
      </c>
      <c r="J67" s="1710">
        <f t="shared" si="2"/>
        <v>169</v>
      </c>
      <c r="K67" s="1710">
        <f t="shared" si="2"/>
        <v>2433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17959</v>
      </c>
      <c r="D69" s="468"/>
      <c r="E69" s="468"/>
      <c r="F69" s="468"/>
      <c r="G69" s="468"/>
      <c r="H69" s="468"/>
      <c r="I69" s="468"/>
      <c r="J69" s="468"/>
      <c r="K69" s="468"/>
    </row>
    <row r="70" spans="1:11" ht="12.75" customHeight="1" x14ac:dyDescent="0.2">
      <c r="A70" s="463" t="s">
        <v>1054</v>
      </c>
      <c r="B70" s="470">
        <v>1612</v>
      </c>
      <c r="C70" s="551">
        <v>8201</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20348</v>
      </c>
      <c r="D72" s="468"/>
      <c r="E72" s="468"/>
      <c r="F72" s="468"/>
      <c r="G72" s="468"/>
      <c r="H72" s="468"/>
      <c r="I72" s="468"/>
      <c r="J72" s="468"/>
      <c r="K72" s="468"/>
    </row>
    <row r="73" spans="1:11" ht="12.75" customHeight="1" x14ac:dyDescent="0.2">
      <c r="A73" s="463" t="s">
        <v>1055</v>
      </c>
      <c r="B73" s="470">
        <v>1620</v>
      </c>
      <c r="C73" s="551">
        <v>2161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48669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25200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v>4200</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29400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11708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11708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3520</v>
      </c>
      <c r="E95" s="521"/>
      <c r="F95" s="521"/>
      <c r="G95" s="521"/>
      <c r="H95" s="521"/>
      <c r="I95" s="521"/>
      <c r="J95" s="521"/>
      <c r="K95" s="521"/>
    </row>
    <row r="96" spans="1:11" ht="12.75" customHeight="1" x14ac:dyDescent="0.2">
      <c r="A96" s="463" t="s">
        <v>409</v>
      </c>
      <c r="B96" s="470">
        <v>1920</v>
      </c>
      <c r="C96" s="551">
        <v>9711</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7582</v>
      </c>
      <c r="D99" s="466">
        <v>22289</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7713</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3275</v>
      </c>
      <c r="I103" s="468"/>
      <c r="J103" s="510"/>
      <c r="K103" s="510"/>
    </row>
    <row r="104" spans="1:12" ht="12.75" customHeight="1" x14ac:dyDescent="0.2">
      <c r="A104" s="463" t="s">
        <v>885</v>
      </c>
      <c r="B104" s="470">
        <v>1991</v>
      </c>
      <c r="C104" s="489">
        <v>59927</v>
      </c>
      <c r="D104" s="466"/>
      <c r="E104" s="481"/>
      <c r="F104" s="467">
        <v>6990</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5042</v>
      </c>
      <c r="D107" s="466">
        <v>1593</v>
      </c>
      <c r="E107" s="466"/>
      <c r="F107" s="466">
        <v>460</v>
      </c>
      <c r="G107" s="466"/>
      <c r="H107" s="466"/>
      <c r="I107" s="466"/>
      <c r="J107" s="467"/>
      <c r="K107" s="466"/>
    </row>
    <row r="108" spans="1:12" ht="12.75" customHeight="1" thickBot="1" x14ac:dyDescent="0.25">
      <c r="A108" s="1730" t="s">
        <v>508</v>
      </c>
      <c r="B108" s="1734"/>
      <c r="C108" s="1729">
        <f>SUM(C95:C107)</f>
        <v>89975</v>
      </c>
      <c r="D108" s="1729">
        <f t="shared" ref="D108:K108" si="3">SUM(D95:D107)</f>
        <v>27402</v>
      </c>
      <c r="E108" s="1729">
        <f t="shared" si="3"/>
        <v>0</v>
      </c>
      <c r="F108" s="1729">
        <f t="shared" si="3"/>
        <v>7450</v>
      </c>
      <c r="G108" s="1729">
        <f t="shared" si="3"/>
        <v>0</v>
      </c>
      <c r="H108" s="1729">
        <f t="shared" si="3"/>
        <v>3275</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1082088</v>
      </c>
      <c r="D109" s="1737">
        <f t="shared" si="4"/>
        <v>195966</v>
      </c>
      <c r="E109" s="1737">
        <f t="shared" si="4"/>
        <v>386033</v>
      </c>
      <c r="F109" s="1737">
        <f t="shared" si="4"/>
        <v>88508</v>
      </c>
      <c r="G109" s="1737">
        <f t="shared" si="4"/>
        <v>143930</v>
      </c>
      <c r="H109" s="1737">
        <f t="shared" si="4"/>
        <v>3323</v>
      </c>
      <c r="I109" s="1737">
        <f t="shared" si="4"/>
        <v>34552</v>
      </c>
      <c r="J109" s="1737">
        <f t="shared" si="4"/>
        <v>150385</v>
      </c>
      <c r="K109" s="1724">
        <f t="shared" si="4"/>
        <v>36101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40023</v>
      </c>
      <c r="D111" s="481"/>
      <c r="E111" s="561"/>
      <c r="F111" s="481"/>
      <c r="G111" s="481"/>
      <c r="H111" s="561"/>
      <c r="I111" s="468"/>
      <c r="J111" s="468"/>
      <c r="K111" s="468"/>
    </row>
    <row r="112" spans="1:12" ht="12.75" customHeight="1" x14ac:dyDescent="0.2">
      <c r="A112" s="463" t="s">
        <v>878</v>
      </c>
      <c r="B112" s="470">
        <v>2200</v>
      </c>
      <c r="C112" s="551">
        <v>32618</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72641</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1495418</v>
      </c>
      <c r="D117" s="481">
        <v>130000</v>
      </c>
      <c r="E117" s="466">
        <v>21297</v>
      </c>
      <c r="F117" s="481">
        <v>40000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1495418</v>
      </c>
      <c r="D121" s="1729">
        <f t="shared" si="5"/>
        <v>130000</v>
      </c>
      <c r="E121" s="1729">
        <f t="shared" si="5"/>
        <v>21297</v>
      </c>
      <c r="F121" s="1729">
        <f t="shared" si="5"/>
        <v>40000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24595</v>
      </c>
      <c r="D125" s="561"/>
      <c r="E125" s="468"/>
      <c r="F125" s="466"/>
      <c r="G125" s="468"/>
      <c r="H125" s="468"/>
      <c r="I125" s="468"/>
      <c r="J125" s="468"/>
      <c r="K125" s="468"/>
    </row>
    <row r="126" spans="1:11" ht="12.75" customHeight="1" x14ac:dyDescent="0.2">
      <c r="A126" s="463" t="s">
        <v>922</v>
      </c>
      <c r="B126" s="562">
        <v>3110</v>
      </c>
      <c r="C126" s="551">
        <v>34750</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64548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809</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17208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88460</v>
      </c>
      <c r="G151" s="467"/>
      <c r="H151" s="468"/>
      <c r="I151" s="468"/>
      <c r="J151" s="468"/>
      <c r="K151" s="468"/>
    </row>
    <row r="152" spans="1:11" ht="12.75" customHeight="1" x14ac:dyDescent="0.2">
      <c r="A152" s="463" t="s">
        <v>1117</v>
      </c>
      <c r="B152" s="562">
        <v>3510</v>
      </c>
      <c r="C152" s="551"/>
      <c r="D152" s="466"/>
      <c r="E152" s="561"/>
      <c r="F152" s="466">
        <v>11331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99791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16151</v>
      </c>
      <c r="D171" s="580"/>
      <c r="E171" s="580"/>
      <c r="F171" s="580"/>
      <c r="G171" s="581"/>
      <c r="H171" s="582"/>
      <c r="I171" s="581"/>
      <c r="J171" s="581"/>
      <c r="K171" s="582"/>
    </row>
    <row r="172" spans="1:11" ht="12.75" customHeight="1" thickTop="1" thickBot="1" x14ac:dyDescent="0.25">
      <c r="A172" s="2169" t="s">
        <v>418</v>
      </c>
      <c r="B172" s="2170"/>
      <c r="C172" s="1744">
        <f t="shared" ref="C172:K172" si="6">SUM(C131,C140,C144,C145:C149,C154,C155:C170,C171)</f>
        <v>98716</v>
      </c>
      <c r="D172" s="1744">
        <f t="shared" si="6"/>
        <v>0</v>
      </c>
      <c r="E172" s="1744">
        <f t="shared" si="6"/>
        <v>0</v>
      </c>
      <c r="F172" s="1744">
        <f t="shared" si="6"/>
        <v>99791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1594134</v>
      </c>
      <c r="D173" s="1737">
        <f>SUM(D121,D172)</f>
        <v>130000</v>
      </c>
      <c r="E173" s="1737">
        <f>SUM(E121,E172)</f>
        <v>21297</v>
      </c>
      <c r="F173" s="1737">
        <f t="shared" ref="F173:K173" si="7">SUM(F121,F172)</f>
        <v>139791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1" t="s">
        <v>1572</v>
      </c>
      <c r="B175" s="217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5" t="s">
        <v>1764</v>
      </c>
      <c r="B178" s="217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9" t="s">
        <v>1763</v>
      </c>
      <c r="B179" s="218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7" t="s">
        <v>818</v>
      </c>
      <c r="B184" s="217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3" t="s">
        <v>1906</v>
      </c>
      <c r="B185" s="217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52777</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52777</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49273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16658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47705</v>
      </c>
      <c r="D200" s="468"/>
      <c r="E200" s="561"/>
      <c r="F200" s="468"/>
      <c r="G200" s="585"/>
      <c r="H200" s="468"/>
      <c r="I200" s="468"/>
      <c r="J200" s="468"/>
      <c r="K200" s="468"/>
    </row>
    <row r="201" spans="1:11" ht="12.75" customHeight="1" thickBot="1" x14ac:dyDescent="0.25">
      <c r="A201" s="1730" t="s">
        <v>569</v>
      </c>
      <c r="B201" s="1731"/>
      <c r="C201" s="1710">
        <f>SUM(C193:C200)</f>
        <v>113636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103436</v>
      </c>
      <c r="D203" s="466"/>
      <c r="E203" s="468"/>
      <c r="F203" s="466">
        <v>3164</v>
      </c>
      <c r="G203" s="466">
        <v>2006</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103436</v>
      </c>
      <c r="D211" s="1729">
        <f>SUM(D203:D210)</f>
        <v>0</v>
      </c>
      <c r="E211" s="468"/>
      <c r="F211" s="1729">
        <f>SUM(F203:F210)</f>
        <v>3164</v>
      </c>
      <c r="G211" s="1729">
        <f>SUM(G203:G210)</f>
        <v>2006</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4999</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274848</v>
      </c>
      <c r="D273" s="1737">
        <f t="shared" si="10"/>
        <v>0</v>
      </c>
      <c r="E273" s="1737">
        <f t="shared" si="10"/>
        <v>0</v>
      </c>
      <c r="F273" s="1737">
        <f t="shared" si="10"/>
        <v>3164</v>
      </c>
      <c r="G273" s="1737">
        <f t="shared" si="10"/>
        <v>2006</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274848</v>
      </c>
      <c r="D274" s="1737">
        <f>SUM(D178,D184,D273)</f>
        <v>0</v>
      </c>
      <c r="E274" s="1737">
        <f>SUM(E178,E273)</f>
        <v>0</v>
      </c>
      <c r="F274" s="1737">
        <f t="shared" ref="F274:K274" si="11">SUM(F178,F184,F273)</f>
        <v>3164</v>
      </c>
      <c r="G274" s="1737">
        <f t="shared" si="11"/>
        <v>2006</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3023711</v>
      </c>
      <c r="D275" s="1737">
        <f t="shared" si="12"/>
        <v>325966</v>
      </c>
      <c r="E275" s="1737">
        <f t="shared" si="12"/>
        <v>407330</v>
      </c>
      <c r="F275" s="1737">
        <f t="shared" si="12"/>
        <v>231463</v>
      </c>
      <c r="G275" s="1737">
        <f t="shared" si="12"/>
        <v>145936</v>
      </c>
      <c r="H275" s="1737">
        <f t="shared" si="12"/>
        <v>3323</v>
      </c>
      <c r="I275" s="1737">
        <f t="shared" si="12"/>
        <v>34552</v>
      </c>
      <c r="J275" s="1737">
        <f t="shared" si="12"/>
        <v>150385</v>
      </c>
      <c r="K275" s="1724">
        <f t="shared" si="12"/>
        <v>36101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1" right="0.3" top="1" bottom="0.46" header="0.5" footer="0.3"/>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130" zoomScaleNormal="110" zoomScaleSheetLayoutView="130" workbookViewId="0">
      <pane ySplit="2" topLeftCell="A69" activePane="bottomLeft" state="frozen"/>
      <selection sqref="A1:D1"/>
      <selection pane="bottomLeft" sqref="A1:D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837034</v>
      </c>
      <c r="D5" s="466">
        <v>142884</v>
      </c>
      <c r="E5" s="466">
        <v>34527</v>
      </c>
      <c r="F5" s="466">
        <v>26068</v>
      </c>
      <c r="G5" s="466"/>
      <c r="H5" s="466">
        <v>8576</v>
      </c>
      <c r="I5" s="467"/>
      <c r="J5" s="467"/>
      <c r="K5" s="1693">
        <f>SUM(C5:J5)</f>
        <v>1049089</v>
      </c>
      <c r="L5" s="466">
        <v>1078921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271988</v>
      </c>
      <c r="D8" s="466">
        <v>33339</v>
      </c>
      <c r="E8" s="466">
        <v>110</v>
      </c>
      <c r="F8" s="466">
        <v>7994</v>
      </c>
      <c r="G8" s="466"/>
      <c r="H8" s="466"/>
      <c r="I8" s="467"/>
      <c r="J8" s="467"/>
      <c r="K8" s="1693">
        <f t="shared" si="0"/>
        <v>313431</v>
      </c>
      <c r="L8" s="466">
        <v>313431</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v>15229</v>
      </c>
      <c r="G10" s="466"/>
      <c r="H10" s="466"/>
      <c r="I10" s="467"/>
      <c r="J10" s="467"/>
      <c r="K10" s="1693">
        <f t="shared" si="0"/>
        <v>15229</v>
      </c>
      <c r="L10" s="466">
        <v>15229</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203589</v>
      </c>
      <c r="D13" s="466">
        <v>35395</v>
      </c>
      <c r="E13" s="466">
        <v>1784</v>
      </c>
      <c r="F13" s="466">
        <v>6182</v>
      </c>
      <c r="G13" s="466">
        <v>6423</v>
      </c>
      <c r="H13" s="466">
        <v>9731</v>
      </c>
      <c r="I13" s="467"/>
      <c r="J13" s="467"/>
      <c r="K13" s="1693">
        <f t="shared" si="0"/>
        <v>263104</v>
      </c>
      <c r="L13" s="466">
        <v>261292</v>
      </c>
    </row>
    <row r="14" spans="1:14" x14ac:dyDescent="0.2">
      <c r="A14" s="1526" t="s">
        <v>1020</v>
      </c>
      <c r="B14" s="615">
        <v>1500</v>
      </c>
      <c r="C14" s="466">
        <v>78946</v>
      </c>
      <c r="D14" s="466">
        <v>5056</v>
      </c>
      <c r="E14" s="466">
        <v>12078</v>
      </c>
      <c r="F14" s="466">
        <v>13649</v>
      </c>
      <c r="G14" s="466"/>
      <c r="H14" s="466">
        <v>4711</v>
      </c>
      <c r="I14" s="467"/>
      <c r="J14" s="467"/>
      <c r="K14" s="1693">
        <f t="shared" si="0"/>
        <v>114440</v>
      </c>
      <c r="L14" s="466">
        <v>114440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35657</v>
      </c>
      <c r="D17" s="467">
        <v>2810</v>
      </c>
      <c r="E17" s="467">
        <v>82</v>
      </c>
      <c r="F17" s="467">
        <v>2092</v>
      </c>
      <c r="G17" s="467"/>
      <c r="H17" s="467"/>
      <c r="I17" s="467"/>
      <c r="J17" s="467"/>
      <c r="K17" s="1693">
        <f t="shared" si="0"/>
        <v>40641</v>
      </c>
      <c r="L17" s="466">
        <v>40641</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1427214</v>
      </c>
      <c r="D33" s="1692">
        <f t="shared" ref="D33:L33" si="1">SUM(D5:D32)</f>
        <v>219484</v>
      </c>
      <c r="E33" s="1692">
        <f t="shared" si="1"/>
        <v>48581</v>
      </c>
      <c r="F33" s="1692">
        <f t="shared" si="1"/>
        <v>71214</v>
      </c>
      <c r="G33" s="1692">
        <f t="shared" si="1"/>
        <v>6423</v>
      </c>
      <c r="H33" s="1692">
        <f t="shared" si="1"/>
        <v>23018</v>
      </c>
      <c r="I33" s="1692">
        <f t="shared" si="1"/>
        <v>0</v>
      </c>
      <c r="J33" s="1692">
        <f t="shared" si="1"/>
        <v>0</v>
      </c>
      <c r="K33" s="1692">
        <f t="shared" si="1"/>
        <v>1795934</v>
      </c>
      <c r="L33" s="1692">
        <f t="shared" si="1"/>
        <v>1823954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63169</v>
      </c>
      <c r="D37" s="466">
        <v>7941</v>
      </c>
      <c r="E37" s="466">
        <v>5493</v>
      </c>
      <c r="F37" s="466">
        <v>359</v>
      </c>
      <c r="G37" s="466"/>
      <c r="H37" s="466">
        <v>596</v>
      </c>
      <c r="I37" s="467"/>
      <c r="J37" s="467"/>
      <c r="K37" s="1693">
        <f t="shared" si="2"/>
        <v>77558</v>
      </c>
      <c r="L37" s="466">
        <v>77558</v>
      </c>
    </row>
    <row r="38" spans="1:14" x14ac:dyDescent="0.2">
      <c r="A38" s="1526" t="s">
        <v>207</v>
      </c>
      <c r="B38" s="615">
        <v>2130</v>
      </c>
      <c r="C38" s="466">
        <v>39720</v>
      </c>
      <c r="D38" s="466">
        <v>3600</v>
      </c>
      <c r="E38" s="466">
        <v>202</v>
      </c>
      <c r="F38" s="466">
        <v>698</v>
      </c>
      <c r="G38" s="466"/>
      <c r="H38" s="466">
        <v>533</v>
      </c>
      <c r="I38" s="467"/>
      <c r="J38" s="467"/>
      <c r="K38" s="1693">
        <f t="shared" si="2"/>
        <v>44753</v>
      </c>
      <c r="L38" s="466">
        <v>44753</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102889</v>
      </c>
      <c r="D42" s="1692">
        <f t="shared" ref="D42:L42" si="3">SUM(D36:D41)</f>
        <v>11541</v>
      </c>
      <c r="E42" s="1692">
        <f t="shared" si="3"/>
        <v>5695</v>
      </c>
      <c r="F42" s="1692">
        <f t="shared" si="3"/>
        <v>1057</v>
      </c>
      <c r="G42" s="1692">
        <f t="shared" si="3"/>
        <v>0</v>
      </c>
      <c r="H42" s="1692">
        <f t="shared" si="3"/>
        <v>1129</v>
      </c>
      <c r="I42" s="1692">
        <f t="shared" si="3"/>
        <v>0</v>
      </c>
      <c r="J42" s="1692">
        <f t="shared" si="3"/>
        <v>0</v>
      </c>
      <c r="K42" s="1692">
        <f t="shared" si="3"/>
        <v>122311</v>
      </c>
      <c r="L42" s="1692">
        <f t="shared" si="3"/>
        <v>122311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6428</v>
      </c>
      <c r="D44" s="481">
        <v>883</v>
      </c>
      <c r="E44" s="481">
        <v>28027</v>
      </c>
      <c r="F44" s="481">
        <v>10368</v>
      </c>
      <c r="G44" s="481">
        <v>47312</v>
      </c>
      <c r="H44" s="481">
        <v>611</v>
      </c>
      <c r="I44" s="467"/>
      <c r="J44" s="467"/>
      <c r="K44" s="1694">
        <f>SUM(C44:J44)</f>
        <v>93629</v>
      </c>
      <c r="L44" s="481">
        <v>84845</v>
      </c>
    </row>
    <row r="45" spans="1:14" x14ac:dyDescent="0.2">
      <c r="A45" s="1526" t="s">
        <v>869</v>
      </c>
      <c r="B45" s="615">
        <v>2220</v>
      </c>
      <c r="C45" s="466">
        <v>22529</v>
      </c>
      <c r="D45" s="466">
        <v>3201</v>
      </c>
      <c r="E45" s="466">
        <v>10163</v>
      </c>
      <c r="F45" s="466">
        <v>26182</v>
      </c>
      <c r="G45" s="466">
        <v>42481</v>
      </c>
      <c r="H45" s="466">
        <v>34</v>
      </c>
      <c r="I45" s="467"/>
      <c r="J45" s="467"/>
      <c r="K45" s="1694">
        <f>SUM(C45:J45)</f>
        <v>104590</v>
      </c>
      <c r="L45" s="466">
        <v>114134</v>
      </c>
    </row>
    <row r="46" spans="1:14" x14ac:dyDescent="0.2">
      <c r="A46" s="1526" t="s">
        <v>870</v>
      </c>
      <c r="B46" s="615">
        <v>2230</v>
      </c>
      <c r="C46" s="466"/>
      <c r="D46" s="466"/>
      <c r="E46" s="466">
        <v>3878</v>
      </c>
      <c r="F46" s="466"/>
      <c r="G46" s="466"/>
      <c r="H46" s="466"/>
      <c r="I46" s="467"/>
      <c r="J46" s="467"/>
      <c r="K46" s="1694">
        <f>SUM(C46:J46)</f>
        <v>3878</v>
      </c>
      <c r="L46" s="466">
        <v>3878</v>
      </c>
    </row>
    <row r="47" spans="1:14" ht="12.75" customHeight="1" thickBot="1" x14ac:dyDescent="0.25">
      <c r="A47" s="1690" t="s">
        <v>582</v>
      </c>
      <c r="B47" s="1691" t="s">
        <v>32</v>
      </c>
      <c r="C47" s="1692">
        <f>SUM(C44:C46)</f>
        <v>28957</v>
      </c>
      <c r="D47" s="1692">
        <f t="shared" ref="D47:K47" si="4">SUM(D44:D46)</f>
        <v>4084</v>
      </c>
      <c r="E47" s="1692">
        <f t="shared" si="4"/>
        <v>42068</v>
      </c>
      <c r="F47" s="1692">
        <f t="shared" si="4"/>
        <v>36550</v>
      </c>
      <c r="G47" s="1692">
        <f t="shared" si="4"/>
        <v>89793</v>
      </c>
      <c r="H47" s="1692">
        <f t="shared" si="4"/>
        <v>645</v>
      </c>
      <c r="I47" s="1692">
        <f t="shared" si="4"/>
        <v>0</v>
      </c>
      <c r="J47" s="1692">
        <f t="shared" si="4"/>
        <v>0</v>
      </c>
      <c r="K47" s="1692">
        <f t="shared" si="4"/>
        <v>202097</v>
      </c>
      <c r="L47" s="1692">
        <f>SUM(L44:L46)</f>
        <v>202857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16956</v>
      </c>
      <c r="F49" s="481">
        <v>474</v>
      </c>
      <c r="G49" s="481"/>
      <c r="H49" s="481">
        <v>3567</v>
      </c>
      <c r="I49" s="467"/>
      <c r="J49" s="467"/>
      <c r="K49" s="1694">
        <f>SUM(C49:J49)</f>
        <v>20997</v>
      </c>
      <c r="L49" s="481">
        <v>20997</v>
      </c>
    </row>
    <row r="50" spans="1:14" x14ac:dyDescent="0.2">
      <c r="A50" s="1526" t="s">
        <v>872</v>
      </c>
      <c r="B50" s="615">
        <v>2320</v>
      </c>
      <c r="C50" s="466">
        <v>128936</v>
      </c>
      <c r="D50" s="466">
        <v>19284</v>
      </c>
      <c r="E50" s="466">
        <v>6612</v>
      </c>
      <c r="F50" s="466">
        <v>1997</v>
      </c>
      <c r="G50" s="466"/>
      <c r="H50" s="466">
        <v>3756</v>
      </c>
      <c r="I50" s="467"/>
      <c r="J50" s="467"/>
      <c r="K50" s="1694">
        <f>SUM(C50:J50)</f>
        <v>160585</v>
      </c>
      <c r="L50" s="466">
        <v>160586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128936</v>
      </c>
      <c r="D53" s="1692">
        <f t="shared" ref="D53:L53" si="5">SUM(D49:D52)</f>
        <v>19284</v>
      </c>
      <c r="E53" s="1692">
        <f t="shared" si="5"/>
        <v>23568</v>
      </c>
      <c r="F53" s="1692">
        <f t="shared" si="5"/>
        <v>2471</v>
      </c>
      <c r="G53" s="1692">
        <f t="shared" si="5"/>
        <v>0</v>
      </c>
      <c r="H53" s="1692">
        <f t="shared" si="5"/>
        <v>7323</v>
      </c>
      <c r="I53" s="1692">
        <f t="shared" si="5"/>
        <v>0</v>
      </c>
      <c r="J53" s="1692">
        <f t="shared" si="5"/>
        <v>0</v>
      </c>
      <c r="K53" s="1692">
        <f t="shared" si="5"/>
        <v>181582</v>
      </c>
      <c r="L53" s="1692">
        <f t="shared" si="5"/>
        <v>181583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92519</v>
      </c>
      <c r="D55" s="481">
        <v>2423</v>
      </c>
      <c r="E55" s="481">
        <v>769</v>
      </c>
      <c r="F55" s="481">
        <v>3870</v>
      </c>
      <c r="G55" s="481"/>
      <c r="H55" s="481">
        <v>7753</v>
      </c>
      <c r="I55" s="467"/>
      <c r="J55" s="467"/>
      <c r="K55" s="1694">
        <f>SUM(C55:J55)</f>
        <v>107334</v>
      </c>
      <c r="L55" s="481">
        <v>107334</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92519</v>
      </c>
      <c r="D57" s="1696">
        <f t="shared" ref="D57:K57" si="6">SUM(D55:D56)</f>
        <v>2423</v>
      </c>
      <c r="E57" s="1696">
        <f t="shared" si="6"/>
        <v>769</v>
      </c>
      <c r="F57" s="1696">
        <f t="shared" si="6"/>
        <v>3870</v>
      </c>
      <c r="G57" s="1696">
        <f t="shared" si="6"/>
        <v>0</v>
      </c>
      <c r="H57" s="1696">
        <f t="shared" si="6"/>
        <v>7753</v>
      </c>
      <c r="I57" s="1696">
        <f t="shared" si="6"/>
        <v>0</v>
      </c>
      <c r="J57" s="1696">
        <f t="shared" si="6"/>
        <v>0</v>
      </c>
      <c r="K57" s="1696">
        <f t="shared" si="6"/>
        <v>107334</v>
      </c>
      <c r="L57" s="1692">
        <f>SUM(L55:L56)</f>
        <v>107334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41620</v>
      </c>
      <c r="D59" s="481"/>
      <c r="E59" s="481">
        <v>71</v>
      </c>
      <c r="F59" s="481">
        <v>777</v>
      </c>
      <c r="G59" s="481"/>
      <c r="H59" s="481">
        <v>1682</v>
      </c>
      <c r="I59" s="467"/>
      <c r="J59" s="467"/>
      <c r="K59" s="1694">
        <f t="shared" ref="K59:K64" si="7">SUM(C59:J59)</f>
        <v>44150</v>
      </c>
      <c r="L59" s="481">
        <v>44126</v>
      </c>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35932</v>
      </c>
      <c r="D63" s="466">
        <v>3600</v>
      </c>
      <c r="E63" s="466">
        <v>1299</v>
      </c>
      <c r="F63" s="466">
        <v>76116</v>
      </c>
      <c r="G63" s="466">
        <v>48081</v>
      </c>
      <c r="H63" s="466">
        <v>233</v>
      </c>
      <c r="I63" s="467"/>
      <c r="J63" s="467"/>
      <c r="K63" s="1694">
        <f t="shared" si="7"/>
        <v>165261</v>
      </c>
      <c r="L63" s="466">
        <v>165282</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77552</v>
      </c>
      <c r="D65" s="1692">
        <f t="shared" ref="D65:L65" si="8">SUM(D59:D64)</f>
        <v>3600</v>
      </c>
      <c r="E65" s="1692">
        <f t="shared" si="8"/>
        <v>1370</v>
      </c>
      <c r="F65" s="1692">
        <f t="shared" si="8"/>
        <v>76893</v>
      </c>
      <c r="G65" s="1692">
        <f t="shared" si="8"/>
        <v>48081</v>
      </c>
      <c r="H65" s="1692">
        <f t="shared" si="8"/>
        <v>1915</v>
      </c>
      <c r="I65" s="1692">
        <f t="shared" si="8"/>
        <v>0</v>
      </c>
      <c r="J65" s="1692">
        <f t="shared" si="8"/>
        <v>0</v>
      </c>
      <c r="K65" s="1692">
        <f t="shared" si="8"/>
        <v>209411</v>
      </c>
      <c r="L65" s="1692">
        <f t="shared" si="8"/>
        <v>209408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1035</v>
      </c>
      <c r="F73" s="573"/>
      <c r="G73" s="573"/>
      <c r="H73" s="573"/>
      <c r="I73" s="531"/>
      <c r="J73" s="531"/>
      <c r="K73" s="1692">
        <f>SUM(C73:J73)</f>
        <v>1035</v>
      </c>
      <c r="L73" s="576"/>
      <c r="M73" s="610"/>
      <c r="N73" s="610"/>
    </row>
    <row r="74" spans="1:14" ht="12.75" customHeight="1" thickTop="1" thickBot="1" x14ac:dyDescent="0.25">
      <c r="A74" s="1690" t="s">
        <v>865</v>
      </c>
      <c r="B74" s="1698">
        <v>2000</v>
      </c>
      <c r="C74" s="1699">
        <f>SUM(C42,C47,C53,C57,C65,C72,C73)</f>
        <v>430853</v>
      </c>
      <c r="D74" s="1699">
        <f t="shared" ref="D74:K74" si="10">SUM(D42,D47,D53,D57,D65,D72,D73)</f>
        <v>40932</v>
      </c>
      <c r="E74" s="1699">
        <f t="shared" si="10"/>
        <v>74505</v>
      </c>
      <c r="F74" s="1699">
        <f t="shared" si="10"/>
        <v>120841</v>
      </c>
      <c r="G74" s="1699">
        <f t="shared" si="10"/>
        <v>137874</v>
      </c>
      <c r="H74" s="1699">
        <f t="shared" si="10"/>
        <v>18765</v>
      </c>
      <c r="I74" s="1699">
        <f t="shared" si="10"/>
        <v>0</v>
      </c>
      <c r="J74" s="1699">
        <f t="shared" si="10"/>
        <v>0</v>
      </c>
      <c r="K74" s="1699">
        <f t="shared" si="10"/>
        <v>823770</v>
      </c>
      <c r="L74" s="1699">
        <f>SUM(L42,L47,L53,L57,L65,L72,L73)</f>
        <v>823493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1035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80051</v>
      </c>
      <c r="F79" s="617"/>
      <c r="G79" s="617"/>
      <c r="H79" s="466"/>
      <c r="I79" s="477"/>
      <c r="J79" s="477"/>
      <c r="K79" s="1693">
        <f t="shared" si="11"/>
        <v>80051</v>
      </c>
      <c r="L79" s="466">
        <v>79252</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3586</v>
      </c>
      <c r="I83" s="477"/>
      <c r="J83" s="477"/>
      <c r="K83" s="1693">
        <f t="shared" si="11"/>
        <v>3586</v>
      </c>
      <c r="L83" s="466">
        <v>2278</v>
      </c>
    </row>
    <row r="84" spans="1:12" ht="13.5" thickBot="1" x14ac:dyDescent="0.25">
      <c r="A84" s="1690" t="s">
        <v>1565</v>
      </c>
      <c r="B84" s="1700">
        <v>4100</v>
      </c>
      <c r="C84" s="617"/>
      <c r="D84" s="617"/>
      <c r="E84" s="1692">
        <f>SUM(E78:E83)</f>
        <v>80051</v>
      </c>
      <c r="F84" s="617"/>
      <c r="G84" s="617"/>
      <c r="H84" s="1692">
        <f>SUM(H78:H83)</f>
        <v>3586</v>
      </c>
      <c r="I84" s="477"/>
      <c r="J84" s="477"/>
      <c r="K84" s="1692">
        <f>SUM(K78:K83)</f>
        <v>83637</v>
      </c>
      <c r="L84" s="1692">
        <f>SUM(L78:L83)</f>
        <v>81530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80051</v>
      </c>
      <c r="F102" s="617"/>
      <c r="G102" s="617"/>
      <c r="H102" s="1699">
        <f>SUM(H84,H92,H100,H101)</f>
        <v>3586</v>
      </c>
      <c r="I102" s="477"/>
      <c r="J102" s="477"/>
      <c r="K102" s="1699">
        <f>SUM(K84,K92,K100,K101)</f>
        <v>83637</v>
      </c>
      <c r="L102" s="1699">
        <f>SUM(L84,L92,L100,L101)</f>
        <v>81530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1858067</v>
      </c>
      <c r="D114" s="1692">
        <f t="shared" ref="D114:K114" si="13">SUM(D33,D74,D75,D102,D112,D113)</f>
        <v>260416</v>
      </c>
      <c r="E114" s="1692">
        <f t="shared" si="13"/>
        <v>203137</v>
      </c>
      <c r="F114" s="1692">
        <f t="shared" si="13"/>
        <v>192055</v>
      </c>
      <c r="G114" s="1692">
        <f t="shared" si="13"/>
        <v>144297</v>
      </c>
      <c r="H114" s="1692">
        <f>SUM(H33,H74,H75,H102,H112,H113)</f>
        <v>45369</v>
      </c>
      <c r="I114" s="1692">
        <f t="shared" si="13"/>
        <v>0</v>
      </c>
      <c r="J114" s="1692">
        <f t="shared" si="13"/>
        <v>0</v>
      </c>
      <c r="K114" s="1692">
        <f t="shared" si="13"/>
        <v>2703341</v>
      </c>
      <c r="L114" s="1692">
        <f>SUM(L33,L74,L75,L102,L112,L113)</f>
        <v>2730012</v>
      </c>
    </row>
    <row r="115" spans="1:14" ht="13.5" thickTop="1" x14ac:dyDescent="0.2">
      <c r="A115" s="2206" t="s">
        <v>1053</v>
      </c>
      <c r="B115" s="2207"/>
      <c r="C115" s="619"/>
      <c r="D115" s="619"/>
      <c r="E115" s="619"/>
      <c r="F115" s="619"/>
      <c r="G115" s="619"/>
      <c r="H115" s="619"/>
      <c r="I115" s="619"/>
      <c r="J115" s="619"/>
      <c r="K115" s="1706">
        <f>'Revenues 9-14'!C275-'Expenditures 15-22'!K114</f>
        <v>320370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117506</v>
      </c>
      <c r="D124" s="466">
        <v>6995</v>
      </c>
      <c r="E124" s="466">
        <v>57428</v>
      </c>
      <c r="F124" s="466">
        <v>109405</v>
      </c>
      <c r="G124" s="466">
        <v>3247</v>
      </c>
      <c r="H124" s="466">
        <v>143</v>
      </c>
      <c r="I124" s="467"/>
      <c r="J124" s="467"/>
      <c r="K124" s="1692">
        <f>SUM(C124:J124)</f>
        <v>294724</v>
      </c>
      <c r="L124" s="466">
        <v>299802</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117506</v>
      </c>
      <c r="D127" s="1692">
        <f t="shared" ref="D127:L127" si="14">SUM(D122:D126)</f>
        <v>6995</v>
      </c>
      <c r="E127" s="1692">
        <f t="shared" si="14"/>
        <v>57428</v>
      </c>
      <c r="F127" s="1692">
        <f t="shared" si="14"/>
        <v>109405</v>
      </c>
      <c r="G127" s="1692">
        <f t="shared" si="14"/>
        <v>3247</v>
      </c>
      <c r="H127" s="1692">
        <f t="shared" si="14"/>
        <v>143</v>
      </c>
      <c r="I127" s="1692">
        <f t="shared" si="14"/>
        <v>0</v>
      </c>
      <c r="J127" s="1692">
        <f t="shared" si="14"/>
        <v>0</v>
      </c>
      <c r="K127" s="1692">
        <f t="shared" si="14"/>
        <v>294724</v>
      </c>
      <c r="L127" s="1692">
        <f t="shared" si="14"/>
        <v>299802</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117506</v>
      </c>
      <c r="D129" s="1699">
        <f t="shared" ref="D129:L129" si="15">SUM(D120,D127,D128)</f>
        <v>6995</v>
      </c>
      <c r="E129" s="1699">
        <f t="shared" si="15"/>
        <v>57428</v>
      </c>
      <c r="F129" s="1699">
        <f t="shared" si="15"/>
        <v>109405</v>
      </c>
      <c r="G129" s="1699">
        <f t="shared" si="15"/>
        <v>3247</v>
      </c>
      <c r="H129" s="1699">
        <f t="shared" si="15"/>
        <v>143</v>
      </c>
      <c r="I129" s="1699">
        <f t="shared" si="15"/>
        <v>0</v>
      </c>
      <c r="J129" s="1699">
        <f t="shared" si="15"/>
        <v>0</v>
      </c>
      <c r="K129" s="1699">
        <f t="shared" si="15"/>
        <v>294724</v>
      </c>
      <c r="L129" s="1699">
        <f t="shared" si="15"/>
        <v>299802</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6" t="s">
        <v>641</v>
      </c>
      <c r="B151" s="2178"/>
      <c r="C151" s="1692">
        <f>SUM(C129,C130,C139,C149,C150)</f>
        <v>117506</v>
      </c>
      <c r="D151" s="1692">
        <f t="shared" ref="D151:K151" si="16">SUM(D129,D130,D139,D149,D150)</f>
        <v>6995</v>
      </c>
      <c r="E151" s="1692">
        <f t="shared" si="16"/>
        <v>57428</v>
      </c>
      <c r="F151" s="1692">
        <f t="shared" si="16"/>
        <v>109405</v>
      </c>
      <c r="G151" s="1692">
        <f t="shared" si="16"/>
        <v>3247</v>
      </c>
      <c r="H151" s="1692">
        <f t="shared" si="16"/>
        <v>143</v>
      </c>
      <c r="I151" s="1692">
        <f t="shared" si="16"/>
        <v>0</v>
      </c>
      <c r="J151" s="1692">
        <f t="shared" si="16"/>
        <v>0</v>
      </c>
      <c r="K151" s="1692">
        <f t="shared" si="16"/>
        <v>294724</v>
      </c>
      <c r="L151" s="1692">
        <f>SUM(L129,L130,L139,L149,L150)</f>
        <v>299802</v>
      </c>
    </row>
    <row r="152" spans="1:14" ht="12.75" customHeight="1" thickTop="1" x14ac:dyDescent="0.2">
      <c r="A152" s="2199" t="s">
        <v>1240</v>
      </c>
      <c r="B152" s="2200"/>
      <c r="C152" s="619"/>
      <c r="D152" s="619"/>
      <c r="E152" s="619"/>
      <c r="F152" s="619"/>
      <c r="G152" s="619"/>
      <c r="H152" s="619"/>
      <c r="I152" s="619"/>
      <c r="J152" s="617"/>
      <c r="K152" s="1706">
        <f>'Revenues 9-14'!D275-'Expenditures 15-22'!K151</f>
        <v>31242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34910</v>
      </c>
      <c r="I169" s="617"/>
      <c r="J169" s="617"/>
      <c r="K169" s="1693">
        <f>SUM(C169:H169)</f>
        <v>34910</v>
      </c>
      <c r="L169" s="657">
        <v>34910</v>
      </c>
    </row>
    <row r="170" spans="1:14" ht="33.75" customHeight="1" x14ac:dyDescent="0.2">
      <c r="A170" s="670" t="s">
        <v>1769</v>
      </c>
      <c r="B170" s="672" t="s">
        <v>31</v>
      </c>
      <c r="C170" s="617"/>
      <c r="D170" s="617"/>
      <c r="E170" s="617"/>
      <c r="F170" s="617"/>
      <c r="G170" s="617"/>
      <c r="H170" s="569">
        <v>352000</v>
      </c>
      <c r="I170" s="617"/>
      <c r="J170" s="617"/>
      <c r="K170" s="1693">
        <f>SUM(C170:J170)</f>
        <v>352000</v>
      </c>
      <c r="L170" s="569">
        <v>352000</v>
      </c>
    </row>
    <row r="171" spans="1:14" ht="15.75" customHeight="1" x14ac:dyDescent="0.2">
      <c r="A171" s="622" t="s">
        <v>790</v>
      </c>
      <c r="B171" s="673" t="s">
        <v>86</v>
      </c>
      <c r="C171" s="617"/>
      <c r="D171" s="617"/>
      <c r="E171" s="466"/>
      <c r="F171" s="617"/>
      <c r="G171" s="617"/>
      <c r="H171" s="569">
        <v>35995</v>
      </c>
      <c r="I171" s="477"/>
      <c r="J171" s="617"/>
      <c r="K171" s="1693">
        <f>SUM(C171:J171)</f>
        <v>35995</v>
      </c>
      <c r="L171" s="569">
        <v>35995</v>
      </c>
    </row>
    <row r="172" spans="1:14" ht="12.75" customHeight="1" thickBot="1" x14ac:dyDescent="0.25">
      <c r="A172" s="1690" t="s">
        <v>659</v>
      </c>
      <c r="B172" s="1691" t="s">
        <v>513</v>
      </c>
      <c r="C172" s="617"/>
      <c r="D172" s="617"/>
      <c r="E172" s="1699">
        <f>SUM(E168,E169,E170,E171)</f>
        <v>0</v>
      </c>
      <c r="F172" s="617"/>
      <c r="G172" s="617"/>
      <c r="H172" s="1699">
        <f>SUM(H168,H169,H170,H171)</f>
        <v>422905</v>
      </c>
      <c r="I172" s="639"/>
      <c r="J172" s="617"/>
      <c r="K172" s="1699">
        <f>SUM(K168,K169,K170,K171)</f>
        <v>422905</v>
      </c>
      <c r="L172" s="1699">
        <f>SUM(L168,L169,L170,L171)</f>
        <v>422905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422905</v>
      </c>
      <c r="I174" s="639"/>
      <c r="J174" s="617"/>
      <c r="K174" s="1699">
        <f>SUM(K160,K172,K173)</f>
        <v>422905</v>
      </c>
      <c r="L174" s="1699">
        <f>SUM(L160,L172,L173)</f>
        <v>422905</v>
      </c>
    </row>
    <row r="175" spans="1:14" ht="13.5" thickTop="1" x14ac:dyDescent="0.2">
      <c r="A175" s="2206" t="s">
        <v>1053</v>
      </c>
      <c r="B175" s="2207"/>
      <c r="C175" s="617"/>
      <c r="D175" s="617"/>
      <c r="E175" s="617"/>
      <c r="F175" s="617"/>
      <c r="G175" s="617"/>
      <c r="H175" s="619"/>
      <c r="I175" s="617"/>
      <c r="J175" s="617"/>
      <c r="K175" s="1706">
        <f>'Revenues 9-14'!E275-'Expenditures 15-22'!K174</f>
        <v>-15575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118466</v>
      </c>
      <c r="D182" s="466">
        <v>12071</v>
      </c>
      <c r="E182" s="466">
        <v>11084</v>
      </c>
      <c r="F182" s="466">
        <v>25436</v>
      </c>
      <c r="G182" s="466">
        <v>911</v>
      </c>
      <c r="H182" s="466">
        <v>254</v>
      </c>
      <c r="I182" s="467"/>
      <c r="J182" s="467"/>
      <c r="K182" s="1693">
        <f>SUM(C182:J182)</f>
        <v>168222</v>
      </c>
      <c r="L182" s="466">
        <v>173281</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118466</v>
      </c>
      <c r="D184" s="1699">
        <f t="shared" ref="D184:J184" si="17">SUM(D180,D182,D183)</f>
        <v>12071</v>
      </c>
      <c r="E184" s="1699">
        <f t="shared" si="17"/>
        <v>11084</v>
      </c>
      <c r="F184" s="1699">
        <f t="shared" si="17"/>
        <v>25436</v>
      </c>
      <c r="G184" s="1699">
        <f t="shared" si="17"/>
        <v>911</v>
      </c>
      <c r="H184" s="1699">
        <f t="shared" si="17"/>
        <v>254</v>
      </c>
      <c r="I184" s="1699">
        <f t="shared" si="17"/>
        <v>0</v>
      </c>
      <c r="J184" s="1699">
        <f t="shared" si="17"/>
        <v>0</v>
      </c>
      <c r="K184" s="1699">
        <f>SUM(K180,K182,K183)</f>
        <v>168222</v>
      </c>
      <c r="L184" s="1699">
        <f>SUM(L180, L182:L183)</f>
        <v>173281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118466</v>
      </c>
      <c r="D210" s="1692">
        <f>SUM(D184,D185)</f>
        <v>12071</v>
      </c>
      <c r="E210" s="1692">
        <f>SUM(E184,E185,E196)</f>
        <v>11084</v>
      </c>
      <c r="F210" s="1692">
        <f>SUM(F184,F185)</f>
        <v>25436</v>
      </c>
      <c r="G210" s="1692">
        <f>SUM(G184,G185)</f>
        <v>911</v>
      </c>
      <c r="H210" s="1692">
        <f>SUM(H184,H185,H196,H208,H209)</f>
        <v>254</v>
      </c>
      <c r="I210" s="1692">
        <f>SUM(I184,I185)</f>
        <v>0</v>
      </c>
      <c r="J210" s="1692">
        <f>SUM(J184,J185)</f>
        <v>0</v>
      </c>
      <c r="K210" s="1693">
        <f>SUM(K184,K185,K196,K208,K209)</f>
        <v>168222</v>
      </c>
      <c r="L210" s="1692">
        <f>SUM(L184,L185,L196,L208,L209)</f>
        <v>173281</v>
      </c>
    </row>
    <row r="211" spans="1:14" ht="13.5" thickTop="1" x14ac:dyDescent="0.2">
      <c r="A211" s="2206" t="s">
        <v>1053</v>
      </c>
      <c r="B211" s="2207"/>
      <c r="C211" s="619"/>
      <c r="D211" s="619"/>
      <c r="E211" s="619"/>
      <c r="F211" s="619"/>
      <c r="G211" s="619"/>
      <c r="H211" s="619"/>
      <c r="I211" s="617"/>
      <c r="J211" s="617"/>
      <c r="K211" s="1706">
        <f>'Revenues 9-14'!F275-'Expenditures 15-22'!K210</f>
        <v>63241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11525</v>
      </c>
      <c r="E215" s="617"/>
      <c r="F215" s="617"/>
      <c r="G215" s="617"/>
      <c r="H215" s="617"/>
      <c r="I215" s="617"/>
      <c r="J215" s="617"/>
      <c r="K215" s="1693">
        <f>D215</f>
        <v>11525</v>
      </c>
      <c r="L215" s="466">
        <v>21548</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23654</v>
      </c>
      <c r="E217" s="617"/>
      <c r="F217" s="617"/>
      <c r="G217" s="617"/>
      <c r="H217" s="617"/>
      <c r="I217" s="617"/>
      <c r="J217" s="617"/>
      <c r="K217" s="1693">
        <f t="shared" si="19"/>
        <v>23654</v>
      </c>
      <c r="L217" s="466">
        <v>23654</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14</v>
      </c>
      <c r="E219" s="617"/>
      <c r="F219" s="617"/>
      <c r="G219" s="617"/>
      <c r="H219" s="617"/>
      <c r="I219" s="617"/>
      <c r="J219" s="617"/>
      <c r="K219" s="1693">
        <f t="shared" si="19"/>
        <v>14</v>
      </c>
      <c r="L219" s="466">
        <v>14</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2873</v>
      </c>
      <c r="E222" s="617"/>
      <c r="F222" s="617"/>
      <c r="G222" s="617"/>
      <c r="H222" s="617"/>
      <c r="I222" s="617"/>
      <c r="J222" s="617"/>
      <c r="K222" s="1693">
        <f t="shared" si="19"/>
        <v>2873</v>
      </c>
      <c r="L222" s="466">
        <v>2873</v>
      </c>
    </row>
    <row r="223" spans="1:14" x14ac:dyDescent="0.2">
      <c r="A223" s="1526" t="s">
        <v>1020</v>
      </c>
      <c r="B223" s="615">
        <v>1500</v>
      </c>
      <c r="C223" s="617"/>
      <c r="D223" s="466">
        <v>2205</v>
      </c>
      <c r="E223" s="617"/>
      <c r="F223" s="617"/>
      <c r="G223" s="617"/>
      <c r="H223" s="617"/>
      <c r="I223" s="617"/>
      <c r="J223" s="617"/>
      <c r="K223" s="1693">
        <f t="shared" si="19"/>
        <v>2205</v>
      </c>
      <c r="L223" s="466">
        <v>2205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493</v>
      </c>
      <c r="E226" s="617"/>
      <c r="F226" s="617"/>
      <c r="G226" s="617"/>
      <c r="H226" s="617"/>
      <c r="I226" s="617"/>
      <c r="J226" s="617"/>
      <c r="K226" s="1693">
        <f t="shared" si="19"/>
        <v>493</v>
      </c>
      <c r="L226" s="466">
        <v>493</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40764</v>
      </c>
      <c r="E229" s="617"/>
      <c r="F229" s="617"/>
      <c r="G229" s="617"/>
      <c r="H229" s="617"/>
      <c r="I229" s="617"/>
      <c r="J229" s="617"/>
      <c r="K229" s="1692">
        <f>SUM(K215:K228)</f>
        <v>40764</v>
      </c>
      <c r="L229" s="1692">
        <f>SUM(L215:L228)</f>
        <v>50787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903</v>
      </c>
      <c r="E233" s="617"/>
      <c r="F233" s="617"/>
      <c r="G233" s="617"/>
      <c r="H233" s="617"/>
      <c r="I233" s="617"/>
      <c r="J233" s="617"/>
      <c r="K233" s="1693">
        <f t="shared" si="20"/>
        <v>903</v>
      </c>
      <c r="L233" s="466">
        <v>903</v>
      </c>
    </row>
    <row r="234" spans="1:12" x14ac:dyDescent="0.2">
      <c r="A234" s="1526" t="s">
        <v>207</v>
      </c>
      <c r="B234" s="615">
        <v>2130</v>
      </c>
      <c r="C234" s="617"/>
      <c r="D234" s="466">
        <v>6979</v>
      </c>
      <c r="E234" s="617"/>
      <c r="F234" s="617"/>
      <c r="G234" s="617"/>
      <c r="H234" s="617"/>
      <c r="I234" s="617"/>
      <c r="J234" s="617"/>
      <c r="K234" s="1693">
        <f t="shared" si="20"/>
        <v>6979</v>
      </c>
      <c r="L234" s="466">
        <v>6979</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7882</v>
      </c>
      <c r="E238" s="617"/>
      <c r="F238" s="617"/>
      <c r="G238" s="617"/>
      <c r="H238" s="617"/>
      <c r="I238" s="617"/>
      <c r="J238" s="617"/>
      <c r="K238" s="1692">
        <f>SUM(K232:K237)</f>
        <v>7882</v>
      </c>
      <c r="L238" s="1692">
        <f>SUM(L232:L237)</f>
        <v>7882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403</v>
      </c>
      <c r="E240" s="617"/>
      <c r="F240" s="617"/>
      <c r="G240" s="617"/>
      <c r="H240" s="617"/>
      <c r="I240" s="617"/>
      <c r="J240" s="617"/>
      <c r="K240" s="1694">
        <f>D240</f>
        <v>403</v>
      </c>
      <c r="L240" s="481">
        <v>403</v>
      </c>
    </row>
    <row r="241" spans="1:12" x14ac:dyDescent="0.2">
      <c r="A241" s="1526" t="s">
        <v>869</v>
      </c>
      <c r="B241" s="615">
        <v>2220</v>
      </c>
      <c r="C241" s="617"/>
      <c r="D241" s="466">
        <v>3431</v>
      </c>
      <c r="E241" s="617"/>
      <c r="F241" s="617"/>
      <c r="G241" s="617"/>
      <c r="H241" s="617"/>
      <c r="I241" s="617"/>
      <c r="J241" s="617"/>
      <c r="K241" s="1694">
        <f>D241</f>
        <v>3431</v>
      </c>
      <c r="L241" s="466">
        <v>3432</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3834</v>
      </c>
      <c r="E243" s="617"/>
      <c r="F243" s="617"/>
      <c r="G243" s="617"/>
      <c r="H243" s="617"/>
      <c r="I243" s="617"/>
      <c r="J243" s="617"/>
      <c r="K243" s="1692">
        <f>SUM(K240:K242)</f>
        <v>3834</v>
      </c>
      <c r="L243" s="1692">
        <f>SUM(L240:L242)</f>
        <v>3835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7061</v>
      </c>
      <c r="E246" s="617"/>
      <c r="F246" s="617"/>
      <c r="G246" s="617"/>
      <c r="H246" s="617"/>
      <c r="I246" s="617"/>
      <c r="J246" s="617"/>
      <c r="K246" s="1694">
        <f t="shared" ref="K246:K256" si="21">D246</f>
        <v>7061</v>
      </c>
      <c r="L246" s="466">
        <v>7061</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7061</v>
      </c>
      <c r="E257" s="617"/>
      <c r="F257" s="617"/>
      <c r="G257" s="617"/>
      <c r="H257" s="617"/>
      <c r="I257" s="617"/>
      <c r="J257" s="617"/>
      <c r="K257" s="1692">
        <f>SUM(K245:K256)</f>
        <v>7061</v>
      </c>
      <c r="L257" s="1692">
        <f>SUM(L245:L256)</f>
        <v>7061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12516</v>
      </c>
      <c r="E259" s="617"/>
      <c r="F259" s="617"/>
      <c r="G259" s="617"/>
      <c r="H259" s="617"/>
      <c r="I259" s="617"/>
      <c r="J259" s="617"/>
      <c r="K259" s="1694">
        <f>D259</f>
        <v>12516</v>
      </c>
      <c r="L259" s="481">
        <v>9977</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12516</v>
      </c>
      <c r="E261" s="617"/>
      <c r="F261" s="617"/>
      <c r="G261" s="617"/>
      <c r="H261" s="617"/>
      <c r="I261" s="617"/>
      <c r="J261" s="617"/>
      <c r="K261" s="1692">
        <f>SUM(K259:K260)</f>
        <v>12516</v>
      </c>
      <c r="L261" s="1692">
        <f>SUM(L259:L260)</f>
        <v>9977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5799</v>
      </c>
      <c r="E263" s="617"/>
      <c r="F263" s="617"/>
      <c r="G263" s="617"/>
      <c r="H263" s="617"/>
      <c r="I263" s="617"/>
      <c r="J263" s="617"/>
      <c r="K263" s="1694">
        <f>D263</f>
        <v>5799</v>
      </c>
      <c r="L263" s="481">
        <v>8338</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23009</v>
      </c>
      <c r="E266" s="617"/>
      <c r="F266" s="617"/>
      <c r="G266" s="617"/>
      <c r="H266" s="617"/>
      <c r="I266" s="617"/>
      <c r="J266" s="617"/>
      <c r="K266" s="1694">
        <f t="shared" si="22"/>
        <v>23009</v>
      </c>
      <c r="L266" s="466">
        <v>23009</v>
      </c>
    </row>
    <row r="267" spans="1:14" x14ac:dyDescent="0.2">
      <c r="A267" s="1526" t="s">
        <v>1010</v>
      </c>
      <c r="B267" s="615">
        <v>2550</v>
      </c>
      <c r="C267" s="617"/>
      <c r="D267" s="466">
        <v>20233</v>
      </c>
      <c r="E267" s="617"/>
      <c r="F267" s="617"/>
      <c r="G267" s="617"/>
      <c r="H267" s="617"/>
      <c r="I267" s="617"/>
      <c r="J267" s="617"/>
      <c r="K267" s="1694">
        <f t="shared" si="22"/>
        <v>20233</v>
      </c>
      <c r="L267" s="466">
        <v>20233</v>
      </c>
    </row>
    <row r="268" spans="1:14" x14ac:dyDescent="0.2">
      <c r="A268" s="1526" t="s">
        <v>102</v>
      </c>
      <c r="B268" s="615">
        <v>2560</v>
      </c>
      <c r="C268" s="617"/>
      <c r="D268" s="466">
        <v>5656</v>
      </c>
      <c r="E268" s="617"/>
      <c r="F268" s="617"/>
      <c r="G268" s="617"/>
      <c r="H268" s="617"/>
      <c r="I268" s="617"/>
      <c r="J268" s="617"/>
      <c r="K268" s="1694">
        <f t="shared" si="22"/>
        <v>5656</v>
      </c>
      <c r="L268" s="466">
        <v>5656</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54697</v>
      </c>
      <c r="E270" s="617"/>
      <c r="F270" s="617"/>
      <c r="G270" s="617"/>
      <c r="H270" s="617"/>
      <c r="I270" s="617"/>
      <c r="J270" s="617"/>
      <c r="K270" s="1692">
        <f>SUM(K263:K269)</f>
        <v>54697</v>
      </c>
      <c r="L270" s="1692">
        <f>SUM(L263:L269)</f>
        <v>57236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85990</v>
      </c>
      <c r="E279" s="617"/>
      <c r="F279" s="617"/>
      <c r="G279" s="617"/>
      <c r="H279" s="617"/>
      <c r="I279" s="617"/>
      <c r="J279" s="617"/>
      <c r="K279" s="1699">
        <f>SUM(K238,K243,K257,K261,K270,K277,K278)</f>
        <v>85990</v>
      </c>
      <c r="L279" s="1699">
        <f>SUM(L238,L243,L257,L261,L270,L277,L278)</f>
        <v>85991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7" t="s">
        <v>526</v>
      </c>
      <c r="B295" s="2198"/>
      <c r="C295" s="617"/>
      <c r="D295" s="1692">
        <f>SUM(D229,D279,D280,D285)</f>
        <v>126754</v>
      </c>
      <c r="E295" s="617"/>
      <c r="F295" s="617"/>
      <c r="G295" s="617"/>
      <c r="H295" s="1692">
        <f>H293</f>
        <v>0</v>
      </c>
      <c r="I295" s="617"/>
      <c r="J295" s="617"/>
      <c r="K295" s="1692">
        <f>SUM(K229,K279,K280,K285,K293,K294)</f>
        <v>126754</v>
      </c>
      <c r="L295" s="1692">
        <f>SUM(L229,L279,L280,L285,L293,L294)</f>
        <v>136778</v>
      </c>
    </row>
    <row r="296" spans="1:14" ht="13.5" thickTop="1" x14ac:dyDescent="0.2">
      <c r="A296" s="2206" t="s">
        <v>1053</v>
      </c>
      <c r="B296" s="2207"/>
      <c r="C296" s="617"/>
      <c r="D296" s="619"/>
      <c r="E296" s="617"/>
      <c r="F296" s="617"/>
      <c r="G296" s="617"/>
      <c r="H296" s="688"/>
      <c r="I296" s="617"/>
      <c r="J296" s="617"/>
      <c r="K296" s="1706">
        <f>'Revenues 9-14'!G275-'Expenditures 15-22'!K295</f>
        <v>19182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3818</v>
      </c>
      <c r="F301" s="466"/>
      <c r="G301" s="466"/>
      <c r="H301" s="466"/>
      <c r="I301" s="467"/>
      <c r="J301" s="467"/>
      <c r="K301" s="1693">
        <f>SUM(C301:J301)</f>
        <v>3818</v>
      </c>
      <c r="L301" s="467">
        <v>8818</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3818</v>
      </c>
      <c r="F303" s="1699">
        <f t="shared" si="23"/>
        <v>0</v>
      </c>
      <c r="G303" s="1699">
        <f t="shared" si="23"/>
        <v>0</v>
      </c>
      <c r="H303" s="1699">
        <f t="shared" si="23"/>
        <v>0</v>
      </c>
      <c r="I303" s="1699">
        <f t="shared" si="23"/>
        <v>0</v>
      </c>
      <c r="J303" s="1699">
        <f t="shared" si="23"/>
        <v>0</v>
      </c>
      <c r="K303" s="1699">
        <f t="shared" si="23"/>
        <v>3818</v>
      </c>
      <c r="L303" s="1699">
        <f t="shared" si="23"/>
        <v>8818</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4" t="s">
        <v>295</v>
      </c>
      <c r="B312" s="2195"/>
      <c r="C312" s="1692">
        <f>SUM(C303)</f>
        <v>0</v>
      </c>
      <c r="D312" s="1692">
        <f>SUM(D303)</f>
        <v>0</v>
      </c>
      <c r="E312" s="1692">
        <f>SUM(E303,E310)</f>
        <v>3818</v>
      </c>
      <c r="F312" s="1692">
        <f>SUM(F303)</f>
        <v>0</v>
      </c>
      <c r="G312" s="1692">
        <f>SUM(G303)</f>
        <v>0</v>
      </c>
      <c r="H312" s="1692">
        <f>SUM(H303,H310)</f>
        <v>0</v>
      </c>
      <c r="I312" s="1692">
        <f>SUM(I303)</f>
        <v>0</v>
      </c>
      <c r="J312" s="1692">
        <f>SUM(J303)</f>
        <v>0</v>
      </c>
      <c r="K312" s="1692">
        <f>SUM(K303,K310,K311)</f>
        <v>3818</v>
      </c>
      <c r="L312" s="1692">
        <f>SUM(L303,L310,L311)</f>
        <v>8818</v>
      </c>
      <c r="M312" s="666"/>
      <c r="N312" s="666"/>
    </row>
    <row r="313" spans="1:14" ht="13.5" thickTop="1" x14ac:dyDescent="0.2">
      <c r="A313" s="2190" t="s">
        <v>1053</v>
      </c>
      <c r="B313" s="2191"/>
      <c r="C313" s="627"/>
      <c r="D313" s="627"/>
      <c r="E313" s="627"/>
      <c r="F313" s="627"/>
      <c r="G313" s="627"/>
      <c r="H313" s="627"/>
      <c r="I313" s="627"/>
      <c r="J313" s="627"/>
      <c r="K313" s="1707">
        <f>'Revenues 9-14'!H275-'Expenditures 15-22'!K312</f>
        <v>-495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17154</v>
      </c>
      <c r="F320" s="467"/>
      <c r="G320" s="467"/>
      <c r="H320" s="467"/>
      <c r="I320" s="467"/>
      <c r="J320" s="467"/>
      <c r="K320" s="1693">
        <f t="shared" ref="K320:K327" si="24">SUM(C320:J320)</f>
        <v>17154</v>
      </c>
      <c r="L320" s="467">
        <v>27000</v>
      </c>
      <c r="M320" s="666"/>
      <c r="N320" s="666"/>
    </row>
    <row r="321" spans="1:14" s="675" customFormat="1" x14ac:dyDescent="0.2">
      <c r="A321" s="1541" t="s">
        <v>318</v>
      </c>
      <c r="B321" s="698" t="s">
        <v>301</v>
      </c>
      <c r="C321" s="467"/>
      <c r="D321" s="467"/>
      <c r="E321" s="467">
        <v>4685</v>
      </c>
      <c r="F321" s="467"/>
      <c r="G321" s="467"/>
      <c r="H321" s="467"/>
      <c r="I321" s="467"/>
      <c r="J321" s="467"/>
      <c r="K321" s="1693">
        <f t="shared" si="24"/>
        <v>4685</v>
      </c>
      <c r="L321" s="467">
        <v>4685</v>
      </c>
      <c r="M321" s="666"/>
      <c r="N321" s="666"/>
    </row>
    <row r="322" spans="1:14" s="675" customFormat="1" x14ac:dyDescent="0.2">
      <c r="A322" s="1541" t="s">
        <v>256</v>
      </c>
      <c r="B322" s="698" t="s">
        <v>302</v>
      </c>
      <c r="C322" s="467"/>
      <c r="D322" s="467"/>
      <c r="E322" s="467">
        <v>14671</v>
      </c>
      <c r="F322" s="467"/>
      <c r="G322" s="467"/>
      <c r="H322" s="467"/>
      <c r="I322" s="467"/>
      <c r="J322" s="467"/>
      <c r="K322" s="1693">
        <f t="shared" si="24"/>
        <v>14671</v>
      </c>
      <c r="L322" s="467">
        <v>14671</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v>436</v>
      </c>
      <c r="G325" s="467"/>
      <c r="H325" s="467"/>
      <c r="I325" s="467"/>
      <c r="J325" s="467"/>
      <c r="K325" s="1693">
        <f t="shared" si="24"/>
        <v>436</v>
      </c>
      <c r="L325" s="467">
        <v>437</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41578</v>
      </c>
      <c r="F327" s="467"/>
      <c r="G327" s="467"/>
      <c r="H327" s="467"/>
      <c r="I327" s="467"/>
      <c r="J327" s="467"/>
      <c r="K327" s="1693">
        <f t="shared" si="24"/>
        <v>41578</v>
      </c>
      <c r="L327" s="467">
        <v>41578</v>
      </c>
      <c r="M327" s="666"/>
      <c r="N327" s="666"/>
    </row>
    <row r="328" spans="1:14" s="675" customFormat="1" x14ac:dyDescent="0.2">
      <c r="A328" s="1542" t="s">
        <v>492</v>
      </c>
      <c r="B328" s="691" t="s">
        <v>1194</v>
      </c>
      <c r="C328" s="474"/>
      <c r="D328" s="474"/>
      <c r="E328" s="474">
        <v>26668</v>
      </c>
      <c r="F328" s="474"/>
      <c r="G328" s="474"/>
      <c r="H328" s="474"/>
      <c r="I328" s="474"/>
      <c r="J328" s="474"/>
      <c r="K328" s="1721">
        <f>SUM(C328:J328)</f>
        <v>26668</v>
      </c>
      <c r="L328" s="474">
        <v>26668</v>
      </c>
      <c r="M328" s="666"/>
      <c r="N328" s="666"/>
    </row>
    <row r="329" spans="1:14" s="675" customFormat="1" x14ac:dyDescent="0.2">
      <c r="A329" s="1542" t="s">
        <v>1195</v>
      </c>
      <c r="B329" s="691" t="s">
        <v>1196</v>
      </c>
      <c r="C329" s="474"/>
      <c r="D329" s="474"/>
      <c r="E329" s="474">
        <v>3872</v>
      </c>
      <c r="F329" s="474"/>
      <c r="G329" s="474"/>
      <c r="H329" s="474"/>
      <c r="I329" s="474"/>
      <c r="J329" s="474"/>
      <c r="K329" s="1721">
        <f>SUM(C329:J329)</f>
        <v>3872</v>
      </c>
      <c r="L329" s="474">
        <v>3872</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108628</v>
      </c>
      <c r="F330" s="1692">
        <f t="shared" si="25"/>
        <v>436</v>
      </c>
      <c r="G330" s="1692">
        <f t="shared" si="25"/>
        <v>0</v>
      </c>
      <c r="H330" s="1692">
        <f t="shared" si="25"/>
        <v>0</v>
      </c>
      <c r="I330" s="1692">
        <f t="shared" si="25"/>
        <v>0</v>
      </c>
      <c r="J330" s="1692">
        <f t="shared" si="25"/>
        <v>0</v>
      </c>
      <c r="K330" s="1692">
        <f>SUM(K319:K329)</f>
        <v>109064</v>
      </c>
      <c r="L330" s="1692">
        <f>SUM(L319:L329)</f>
        <v>118911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108628</v>
      </c>
      <c r="F342" s="1692">
        <f>SUM(F330)</f>
        <v>436</v>
      </c>
      <c r="G342" s="1692">
        <f>SUM(G330)</f>
        <v>0</v>
      </c>
      <c r="H342" s="1692">
        <f>SUM(H330,H334,H340)</f>
        <v>0</v>
      </c>
      <c r="I342" s="1692">
        <f>SUM(I330)</f>
        <v>0</v>
      </c>
      <c r="J342" s="1692">
        <f>SUM(J330)</f>
        <v>0</v>
      </c>
      <c r="K342" s="1692">
        <f>SUM(K330,K334,K340)</f>
        <v>109064</v>
      </c>
      <c r="L342" s="1699">
        <f>SUM(L330,L340,L341)</f>
        <v>118911</v>
      </c>
    </row>
    <row r="343" spans="1:14" ht="12.75" customHeight="1" thickTop="1" x14ac:dyDescent="0.2">
      <c r="A343" s="2192" t="s">
        <v>1053</v>
      </c>
      <c r="B343" s="2193"/>
      <c r="C343" s="617"/>
      <c r="D343" s="617"/>
      <c r="E343" s="617"/>
      <c r="F343" s="617"/>
      <c r="G343" s="617"/>
      <c r="H343" s="617"/>
      <c r="I343" s="617"/>
      <c r="J343" s="617"/>
      <c r="K343" s="1706">
        <f>'Revenues 9-14'!J275-'Expenditures 15-22'!K342</f>
        <v>41321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5806</v>
      </c>
      <c r="F348" s="466">
        <v>4907</v>
      </c>
      <c r="G348" s="466">
        <v>563317</v>
      </c>
      <c r="H348" s="466"/>
      <c r="I348" s="467"/>
      <c r="J348" s="467"/>
      <c r="K348" s="1693">
        <f>SUM(C348:J348)</f>
        <v>574030</v>
      </c>
      <c r="L348" s="466">
        <v>594029</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5806</v>
      </c>
      <c r="F350" s="1692">
        <f t="shared" si="26"/>
        <v>4907</v>
      </c>
      <c r="G350" s="1692">
        <f t="shared" si="26"/>
        <v>563317</v>
      </c>
      <c r="H350" s="1692">
        <f t="shared" si="26"/>
        <v>0</v>
      </c>
      <c r="I350" s="1692">
        <f t="shared" si="26"/>
        <v>0</v>
      </c>
      <c r="J350" s="1692">
        <f t="shared" si="26"/>
        <v>0</v>
      </c>
      <c r="K350" s="1692">
        <f t="shared" si="26"/>
        <v>574030</v>
      </c>
      <c r="L350" s="1692">
        <f t="shared" si="26"/>
        <v>594029</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5806</v>
      </c>
      <c r="F352" s="1692">
        <f t="shared" si="27"/>
        <v>4907</v>
      </c>
      <c r="G352" s="1692">
        <f t="shared" si="27"/>
        <v>563317</v>
      </c>
      <c r="H352" s="1692">
        <f t="shared" si="27"/>
        <v>0</v>
      </c>
      <c r="I352" s="1692">
        <f t="shared" si="27"/>
        <v>0</v>
      </c>
      <c r="J352" s="1692">
        <f t="shared" si="27"/>
        <v>0</v>
      </c>
      <c r="K352" s="1692">
        <f t="shared" si="27"/>
        <v>574030</v>
      </c>
      <c r="L352" s="1692">
        <f t="shared" si="27"/>
        <v>594029</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5806</v>
      </c>
      <c r="F367" s="1692">
        <f t="shared" si="28"/>
        <v>4907</v>
      </c>
      <c r="G367" s="1692">
        <f t="shared" si="28"/>
        <v>563317</v>
      </c>
      <c r="H367" s="1692">
        <f t="shared" si="28"/>
        <v>0</v>
      </c>
      <c r="I367" s="1692">
        <f t="shared" si="28"/>
        <v>0</v>
      </c>
      <c r="J367" s="1692">
        <f t="shared" si="28"/>
        <v>0</v>
      </c>
      <c r="K367" s="1692">
        <f t="shared" si="28"/>
        <v>574030</v>
      </c>
      <c r="L367" s="1692">
        <f t="shared" si="28"/>
        <v>594029</v>
      </c>
    </row>
    <row r="368" spans="1:14" ht="13.5" thickTop="1" x14ac:dyDescent="0.2">
      <c r="A368" s="2206" t="s">
        <v>1053</v>
      </c>
      <c r="B368" s="2207"/>
      <c r="C368" s="655"/>
      <c r="D368" s="655"/>
      <c r="E368" s="627"/>
      <c r="F368" s="627"/>
      <c r="G368" s="627"/>
      <c r="H368" s="627"/>
      <c r="I368" s="627"/>
      <c r="J368" s="624"/>
      <c r="K368" s="1693">
        <f>'Revenues 9-14'!K275-'Expenditures 15-22'!K367</f>
        <v>-537929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gridLinesSet="0"/>
  <pageMargins left="1" right="0.3" top="1" bottom="1"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2018-11-05T19:06:12Z</cp:lastPrinted>
  <dcterms:created xsi:type="dcterms:W3CDTF">2003-10-29T19:06:34Z</dcterms:created>
  <dcterms:modified xsi:type="dcterms:W3CDTF">2018-12-21T19:06:29Z</dcterms:modified>
</cp:coreProperties>
</file>